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D:\auto 2026\P035\"/>
    </mc:Choice>
  </mc:AlternateContent>
  <xr:revisionPtr revIDLastSave="0" documentId="13_ncr:1_{DB3A6A5B-B5B8-49FE-BC79-5AE107FF2792}" xr6:coauthVersionLast="47" xr6:coauthVersionMax="47" xr10:uidLastSave="{00000000-0000-0000-0000-000000000000}"/>
  <bookViews>
    <workbookView xWindow="-110" yWindow="-110" windowWidth="19420" windowHeight="11500" firstSheet="17" activeTab="21" xr2:uid="{7282ABF8-E9F8-4DE9-8DFE-9482A8C19ED1}"/>
  </bookViews>
  <sheets>
    <sheet name="Revision&amp;Assumption" sheetId="16" r:id="rId1"/>
    <sheet name="IDL MX 2 shifts1" sheetId="17" r:id="rId2"/>
    <sheet name="Main sheet_SMT and Assembly" sheetId="1" r:id="rId3"/>
    <sheet name="Solder paste" sheetId="31" r:id="rId4"/>
    <sheet name="P035 RFQ_ (B面) " sheetId="21" r:id="rId5"/>
    <sheet name="P035  RFQ（T面）" sheetId="22" r:id="rId6"/>
    <sheet name="P035 RFQ AXI" sheetId="23" r:id="rId7"/>
    <sheet name="P035  RFQ（ICT）" sheetId="24" r:id="rId8"/>
    <sheet name="P035  RFQ（Depanel) " sheetId="25" r:id="rId9"/>
    <sheet name="P035  RFQ（FVT)" sheetId="26" r:id="rId10"/>
    <sheet name="P035 Mar.4th  2026 EEBOM" sheetId="30" state="hidden" r:id="rId11"/>
    <sheet name="EEBOM Feb.2nd2026" sheetId="28" state="hidden" r:id="rId12"/>
    <sheet name="EEBOM 512 " sheetId="9" state="hidden" r:id="rId13"/>
    <sheet name="P035 Mar.4th  2026 EEBOM format" sheetId="32" r:id="rId14"/>
    <sheet name="Process Concept Jan31version" sheetId="29" r:id="rId15"/>
    <sheet name="Process Concept Oct09version" sheetId="10" state="hidden" r:id="rId16"/>
    <sheet name="tooling cost analysis" sheetId="12" r:id="rId17"/>
    <sheet name="P035 0131version" sheetId="27" r:id="rId18"/>
    <sheet name="P035 0903 version" sheetId="11" state="hidden" r:id="rId19"/>
    <sheet name="Packing" sheetId="13" r:id="rId20"/>
    <sheet name="Exchange Rate" sheetId="14" r:id="rId21"/>
    <sheet name="TLA Investment  " sheetId="15"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12" hidden="1">'EEBOM 512 '!$A$2:$AB$169</definedName>
    <definedName name="_xlnm._FilterDatabase" localSheetId="11" hidden="1">'EEBOM Feb.2nd2026'!$A$1:$IC$239</definedName>
    <definedName name="_xlnm._FilterDatabase" localSheetId="1" hidden="1">'IDL MX 2 shifts1'!$A$1:$P$28</definedName>
    <definedName name="_xlnm._FilterDatabase" localSheetId="10" hidden="1">'P035 Mar.4th  2026 EEBOM'!$A$2:$AC$252</definedName>
    <definedName name="_xlnm._FilterDatabase" localSheetId="13" hidden="1">'P035 Mar.4th  2026 EEBOM format'!$A$2:$AC$253</definedName>
    <definedName name="_xlnm._FilterDatabase" localSheetId="16" hidden="1">'tooling cost analysis'!$A$8:$L$8</definedName>
    <definedName name="category" localSheetId="12">#REF!</definedName>
    <definedName name="category" localSheetId="21">#REF!</definedName>
    <definedName name="category">#REF!</definedName>
    <definedName name="company" localSheetId="12">#REF!</definedName>
    <definedName name="company" localSheetId="21">#REF!</definedName>
    <definedName name="company">#REF!</definedName>
    <definedName name="costcenter" localSheetId="12">#REF!</definedName>
    <definedName name="costcenter" localSheetId="21">#REF!</definedName>
    <definedName name="costcenter">#REF!</definedName>
    <definedName name="datedoc" localSheetId="12">#REF!</definedName>
    <definedName name="datedoc" localSheetId="21">#REF!</definedName>
    <definedName name="datedoc">#REF!</definedName>
    <definedName name="documentno" localSheetId="12">#REF!</definedName>
    <definedName name="documentno" localSheetId="21">#REF!</definedName>
    <definedName name="documentno">#REF!</definedName>
    <definedName name="endcust" localSheetId="12">#REF!</definedName>
    <definedName name="endcust" localSheetId="21">#REF!</definedName>
    <definedName name="endcust">#REF!</definedName>
    <definedName name="Exchange" localSheetId="12">'[1]Exchange Rate'!$B$4</definedName>
    <definedName name="Exchange" localSheetId="1">'[2]Exchange Rate'!$B$4</definedName>
    <definedName name="Exchange" localSheetId="8">#REF!</definedName>
    <definedName name="Exchange" localSheetId="9">#REF!</definedName>
    <definedName name="Exchange" localSheetId="7">#REF!</definedName>
    <definedName name="Exchange" localSheetId="17">#REF!</definedName>
    <definedName name="Exchange" localSheetId="18">#REF!</definedName>
    <definedName name="Exchange" localSheetId="6">#REF!</definedName>
    <definedName name="Exchange" localSheetId="4">#REF!</definedName>
    <definedName name="Exchange" localSheetId="21">'[3]Exchange Rate'!$B$4</definedName>
    <definedName name="Exchange" localSheetId="16">#REF!</definedName>
    <definedName name="Exchange">'Exchange Rate'!$B$4</definedName>
    <definedName name="ExchangeRate" localSheetId="12">#REF!</definedName>
    <definedName name="ExchangeRate" localSheetId="8">#REF!</definedName>
    <definedName name="ExchangeRate" localSheetId="9">#REF!</definedName>
    <definedName name="ExchangeRate" localSheetId="7">#REF!</definedName>
    <definedName name="ExchangeRate" localSheetId="17">#REF!</definedName>
    <definedName name="ExchangeRate" localSheetId="18">#REF!</definedName>
    <definedName name="ExchangeRate" localSheetId="6">#REF!</definedName>
    <definedName name="ExchangeRate" localSheetId="4">#REF!</definedName>
    <definedName name="ExchangeRate" localSheetId="21">#REF!</definedName>
    <definedName name="ExchangeRate" localSheetId="16">#REF!</definedName>
    <definedName name="ExchangeRate">#REF!</definedName>
    <definedName name="isincludebudgetstatus" localSheetId="12">#REF!</definedName>
    <definedName name="isincludebudgetstatus" localSheetId="21">#REF!</definedName>
    <definedName name="isincludebudgetstatus">#REF!</definedName>
    <definedName name="isnotincludeus" localSheetId="12">#REF!</definedName>
    <definedName name="isnotincludeus" localSheetId="21">#REF!</definedName>
    <definedName name="isnotincludeus">#REF!</definedName>
    <definedName name="localcurrencyamt" localSheetId="12">#REF!</definedName>
    <definedName name="localcurrencyamt" localSheetId="21">#REF!</definedName>
    <definedName name="localcurrencyamt">#REF!</definedName>
    <definedName name="N" localSheetId="12">#REF!</definedName>
    <definedName name="N" localSheetId="21">#REF!</definedName>
    <definedName name="N">#REF!</definedName>
    <definedName name="name" localSheetId="12">#REF!</definedName>
    <definedName name="name" localSheetId="21">#REF!</definedName>
    <definedName name="name">#REF!</definedName>
    <definedName name="_xlnm.Print_Area" localSheetId="8">'P035  RFQ（Depanel) '!$A$6:$N$9</definedName>
    <definedName name="_xlnm.Print_Area" localSheetId="9">'P035  RFQ（FVT)'!$A$6:$N$9</definedName>
    <definedName name="_xlnm.Print_Area" localSheetId="7">'P035  RFQ（ICT）'!$A$6:$N$9</definedName>
    <definedName name="_xlnm.Print_Area" localSheetId="5">'P035  RFQ（T面）'!$A$6:$N$15</definedName>
    <definedName name="_xlnm.Print_Area" localSheetId="6">'P035 RFQ AXI'!$A$6:$N$9</definedName>
    <definedName name="_xlnm.Print_Area" localSheetId="4">'P035 RFQ_ (B面) '!$A$6:$N$15</definedName>
    <definedName name="_xlnm.Print_Area" localSheetId="19">Packing!$A$1:$J$28</definedName>
    <definedName name="projectCategory" localSheetId="12">#REF!</definedName>
    <definedName name="projectCategory" localSheetId="21">#REF!</definedName>
    <definedName name="projectCategory">#REF!</definedName>
    <definedName name="projectdesc" localSheetId="12">#REF!</definedName>
    <definedName name="projectdesc" localSheetId="21">#REF!</definedName>
    <definedName name="projectdesc">#REF!</definedName>
    <definedName name="projectName" localSheetId="12">#REF!</definedName>
    <definedName name="projectName" localSheetId="21">#REF!</definedName>
    <definedName name="projectName">#REF!</definedName>
    <definedName name="projecttitle" localSheetId="12">#REF!</definedName>
    <definedName name="projecttitle" localSheetId="21">#REF!</definedName>
    <definedName name="projecttitle">#REF!</definedName>
    <definedName name="projecttype" localSheetId="12">#REF!</definedName>
    <definedName name="projecttype" localSheetId="21">#REF!</definedName>
    <definedName name="projecttype">#REF!</definedName>
    <definedName name="SdtlAndUdtlTotal" localSheetId="12">#REF!</definedName>
    <definedName name="SdtlAndUdtlTotal" localSheetId="21">#REF!</definedName>
    <definedName name="SdtlAndUdtlTotal">#REF!</definedName>
    <definedName name="Sdtlline" localSheetId="12">#REF!</definedName>
    <definedName name="Sdtlline" localSheetId="21">#REF!</definedName>
    <definedName name="Sdtlline">#REF!</definedName>
    <definedName name="SdtlList" localSheetId="12">#REF!</definedName>
    <definedName name="SdtlList" localSheetId="21">#REF!</definedName>
    <definedName name="SdtlList">#REF!</definedName>
    <definedName name="SdtlSubtotal" localSheetId="12">#REF!</definedName>
    <definedName name="SdtlSubtotal" localSheetId="21">#REF!</definedName>
    <definedName name="SdtlSubtotal">#REF!</definedName>
    <definedName name="Sequipment" localSheetId="12">#REF!</definedName>
    <definedName name="Sequipment" localSheetId="21">#REF!</definedName>
    <definedName name="Sequipment">#REF!</definedName>
    <definedName name="Sequipmentqty" localSheetId="12">#REF!</definedName>
    <definedName name="Sequipmentqty" localSheetId="21">#REF!</definedName>
    <definedName name="Sequipmentqty">#REF!</definedName>
    <definedName name="Stotalamount" localSheetId="12">#REF!</definedName>
    <definedName name="Stotalamount" localSheetId="21">#REF!</definedName>
    <definedName name="Stotalamount">#REF!</definedName>
    <definedName name="Sunitprice" localSheetId="12">#REF!</definedName>
    <definedName name="Sunitprice" localSheetId="21">#REF!</definedName>
    <definedName name="Sunitprice">#REF!</definedName>
    <definedName name="time" localSheetId="12">#REF!</definedName>
    <definedName name="time" localSheetId="21">#REF!</definedName>
    <definedName name="time">#REF!</definedName>
    <definedName name="Udtlline" localSheetId="12">#REF!</definedName>
    <definedName name="Udtlline" localSheetId="21">#REF!</definedName>
    <definedName name="Udtlline">#REF!</definedName>
    <definedName name="UdtlList" localSheetId="12">#REF!</definedName>
    <definedName name="UdtlList" localSheetId="21">#REF!</definedName>
    <definedName name="UdtlList">#REF!</definedName>
    <definedName name="UdtlSubtotal" localSheetId="12">#REF!</definedName>
    <definedName name="UdtlSubtotal" localSheetId="21">#REF!</definedName>
    <definedName name="UdtlSubtotal">#REF!</definedName>
    <definedName name="Uequipment" localSheetId="12">#REF!</definedName>
    <definedName name="Uequipment" localSheetId="21">#REF!</definedName>
    <definedName name="Uequipment">#REF!</definedName>
    <definedName name="Uequipmentnum" localSheetId="12">#REF!</definedName>
    <definedName name="Uequipmentnum" localSheetId="21">#REF!</definedName>
    <definedName name="Uequipmentnum">#REF!</definedName>
    <definedName name="UserList" localSheetId="12">#REF!</definedName>
    <definedName name="UserList" localSheetId="21">#REF!</definedName>
    <definedName name="UserList">#REF!</definedName>
    <definedName name="Utotalamount" localSheetId="12">#REF!</definedName>
    <definedName name="Utotalamount" localSheetId="21">#REF!</definedName>
    <definedName name="Utotalamount">#REF!</definedName>
    <definedName name="Uunitprice" localSheetId="12">#REF!</definedName>
    <definedName name="Uunitprice" localSheetId="21">#REF!</definedName>
    <definedName name="Uunitpric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15" l="1"/>
  <c r="B10" i="15" s="1"/>
  <c r="F10" i="1" l="1"/>
  <c r="E15" i="21"/>
  <c r="G64" i="1" s="1"/>
  <c r="D64" i="1" s="1"/>
  <c r="J15" i="12"/>
  <c r="R252" i="32"/>
  <c r="T252" i="32" s="1"/>
  <c r="R251" i="32"/>
  <c r="S251" i="32" s="1"/>
  <c r="R250" i="32"/>
  <c r="R249" i="32"/>
  <c r="T249" i="32" s="1"/>
  <c r="O248" i="32"/>
  <c r="R248" i="32" s="1"/>
  <c r="R247" i="32"/>
  <c r="R246" i="32"/>
  <c r="R245" i="32"/>
  <c r="R244" i="32"/>
  <c r="J244" i="32"/>
  <c r="R243" i="32"/>
  <c r="J243" i="32"/>
  <c r="R242" i="32"/>
  <c r="T242" i="32" s="1"/>
  <c r="P242" i="32"/>
  <c r="Q242" i="32" s="1"/>
  <c r="J242" i="32"/>
  <c r="R241" i="32"/>
  <c r="S241" i="32" s="1"/>
  <c r="P241" i="32"/>
  <c r="Q241" i="32" s="1"/>
  <c r="J241" i="32"/>
  <c r="R240" i="32"/>
  <c r="S240" i="32" s="1"/>
  <c r="J240" i="32"/>
  <c r="R239" i="32"/>
  <c r="S239" i="32" s="1"/>
  <c r="P239" i="32"/>
  <c r="Q239" i="32" s="1"/>
  <c r="J239" i="32"/>
  <c r="R238" i="32"/>
  <c r="J238" i="32"/>
  <c r="R237" i="32"/>
  <c r="T237" i="32" s="1"/>
  <c r="P237" i="32"/>
  <c r="Q237" i="32" s="1"/>
  <c r="J237" i="32"/>
  <c r="R236" i="32"/>
  <c r="S236" i="32" s="1"/>
  <c r="P236" i="32"/>
  <c r="Q236" i="32" s="1"/>
  <c r="J236" i="32"/>
  <c r="R235" i="32"/>
  <c r="S235" i="32" s="1"/>
  <c r="P235" i="32"/>
  <c r="Q235" i="32" s="1"/>
  <c r="J235" i="32"/>
  <c r="R234" i="32"/>
  <c r="P234" i="32"/>
  <c r="Q234" i="32" s="1"/>
  <c r="J234" i="32"/>
  <c r="R233" i="32"/>
  <c r="S233" i="32" s="1"/>
  <c r="P233" i="32"/>
  <c r="Q233" i="32" s="1"/>
  <c r="J233" i="32"/>
  <c r="R232" i="32"/>
  <c r="T232" i="32" s="1"/>
  <c r="P232" i="32"/>
  <c r="Q232" i="32" s="1"/>
  <c r="J232" i="32"/>
  <c r="AB231" i="32"/>
  <c r="R231" i="32"/>
  <c r="J231" i="32"/>
  <c r="O230" i="32"/>
  <c r="R230" i="32" s="1"/>
  <c r="R229" i="32"/>
  <c r="S229" i="32" s="1"/>
  <c r="J229" i="32"/>
  <c r="R228" i="32"/>
  <c r="T228" i="32" s="1"/>
  <c r="P228" i="32"/>
  <c r="Q228" i="32" s="1"/>
  <c r="J228" i="32"/>
  <c r="R227" i="32"/>
  <c r="S227" i="32" s="1"/>
  <c r="P227" i="32"/>
  <c r="Q227" i="32" s="1"/>
  <c r="J227" i="32"/>
  <c r="R226" i="32"/>
  <c r="S226" i="32" s="1"/>
  <c r="J226" i="32"/>
  <c r="R225" i="32"/>
  <c r="S225" i="32" s="1"/>
  <c r="J225" i="32"/>
  <c r="R224" i="32"/>
  <c r="T224" i="32" s="1"/>
  <c r="J224" i="32"/>
  <c r="R223" i="32"/>
  <c r="J223" i="32"/>
  <c r="R222" i="32"/>
  <c r="J222" i="32"/>
  <c r="R221" i="32"/>
  <c r="J221" i="32"/>
  <c r="R220" i="32"/>
  <c r="P220" i="32"/>
  <c r="Q220" i="32" s="1"/>
  <c r="J220" i="32"/>
  <c r="R219" i="32"/>
  <c r="J219" i="32"/>
  <c r="R218" i="32"/>
  <c r="J218" i="32"/>
  <c r="R217" i="32"/>
  <c r="T217" i="32" s="1"/>
  <c r="P217" i="32"/>
  <c r="Q217" i="32" s="1"/>
  <c r="J217" i="32"/>
  <c r="R216" i="32"/>
  <c r="J216" i="32"/>
  <c r="R215" i="32"/>
  <c r="S215" i="32" s="1"/>
  <c r="J215" i="32"/>
  <c r="R214" i="32"/>
  <c r="J214" i="32"/>
  <c r="R213" i="32"/>
  <c r="J213" i="32"/>
  <c r="R212" i="32"/>
  <c r="P212" i="32"/>
  <c r="Q212" i="32" s="1"/>
  <c r="J212" i="32"/>
  <c r="R211" i="32"/>
  <c r="J211" i="32"/>
  <c r="R210" i="32"/>
  <c r="J210" i="32"/>
  <c r="R209" i="32"/>
  <c r="J209" i="32"/>
  <c r="R208" i="32"/>
  <c r="P208" i="32"/>
  <c r="Q208" i="32" s="1"/>
  <c r="J208" i="32"/>
  <c r="R207" i="32"/>
  <c r="J207" i="32"/>
  <c r="R206" i="32"/>
  <c r="J206" i="32"/>
  <c r="R205" i="32"/>
  <c r="J205" i="32"/>
  <c r="R204" i="32"/>
  <c r="T204" i="32" s="1"/>
  <c r="P204" i="32"/>
  <c r="Q204" i="32" s="1"/>
  <c r="J204" i="32"/>
  <c r="R203" i="32"/>
  <c r="J203" i="32"/>
  <c r="R202" i="32"/>
  <c r="J202" i="32"/>
  <c r="R201" i="32"/>
  <c r="J201" i="32"/>
  <c r="R200" i="32"/>
  <c r="P200" i="32"/>
  <c r="Q200" i="32" s="1"/>
  <c r="J200" i="32"/>
  <c r="R199" i="32"/>
  <c r="J199" i="32"/>
  <c r="R198" i="32"/>
  <c r="J198" i="32"/>
  <c r="R197" i="32"/>
  <c r="J197" i="32"/>
  <c r="R196" i="32"/>
  <c r="J196" i="32"/>
  <c r="R195" i="32"/>
  <c r="J195" i="32"/>
  <c r="R194" i="32"/>
  <c r="J194" i="32"/>
  <c r="R193" i="32"/>
  <c r="J193" i="32"/>
  <c r="R192" i="32"/>
  <c r="P192" i="32"/>
  <c r="Q192" i="32" s="1"/>
  <c r="J192" i="32"/>
  <c r="R191" i="32"/>
  <c r="J191" i="32"/>
  <c r="R190" i="32"/>
  <c r="S190" i="32" s="1"/>
  <c r="P190" i="32"/>
  <c r="Q190" i="32" s="1"/>
  <c r="J190" i="32"/>
  <c r="R189" i="32"/>
  <c r="J189" i="32"/>
  <c r="R188" i="32"/>
  <c r="J188" i="32"/>
  <c r="R187" i="32"/>
  <c r="J187" i="32"/>
  <c r="R186" i="32"/>
  <c r="S186" i="32" s="1"/>
  <c r="P186" i="32"/>
  <c r="Q186" i="32" s="1"/>
  <c r="J186" i="32"/>
  <c r="R185" i="32"/>
  <c r="J185" i="32"/>
  <c r="R184" i="32"/>
  <c r="J184" i="32"/>
  <c r="R183" i="32"/>
  <c r="J183" i="32"/>
  <c r="R182" i="32"/>
  <c r="P182" i="32"/>
  <c r="Q182" i="32" s="1"/>
  <c r="J182" i="32"/>
  <c r="R181" i="32"/>
  <c r="J181" i="32"/>
  <c r="O180" i="32"/>
  <c r="R180" i="32" s="1"/>
  <c r="R179" i="32"/>
  <c r="J179" i="32"/>
  <c r="R178" i="32"/>
  <c r="J178" i="32"/>
  <c r="R177" i="32"/>
  <c r="T177" i="32" s="1"/>
  <c r="J177" i="32"/>
  <c r="R176" i="32"/>
  <c r="J176" i="32"/>
  <c r="R175" i="32"/>
  <c r="J175" i="32"/>
  <c r="R174" i="32"/>
  <c r="J174" i="32"/>
  <c r="R173" i="32"/>
  <c r="P173" i="32"/>
  <c r="Q173" i="32" s="1"/>
  <c r="J173" i="32"/>
  <c r="R172" i="32"/>
  <c r="J172" i="32"/>
  <c r="R171" i="32"/>
  <c r="J171" i="32"/>
  <c r="R170" i="32"/>
  <c r="J170" i="32"/>
  <c r="R169" i="32"/>
  <c r="P169" i="32"/>
  <c r="Q169" i="32" s="1"/>
  <c r="J169" i="32"/>
  <c r="R168" i="32"/>
  <c r="J168" i="32"/>
  <c r="R167" i="32"/>
  <c r="J167" i="32"/>
  <c r="R166" i="32"/>
  <c r="J166" i="32"/>
  <c r="R165" i="32"/>
  <c r="T165" i="32" s="1"/>
  <c r="J165" i="32"/>
  <c r="R164" i="32"/>
  <c r="J164" i="32"/>
  <c r="R163" i="32"/>
  <c r="J163" i="32"/>
  <c r="O162" i="32"/>
  <c r="R162" i="32" s="1"/>
  <c r="S162" i="32" s="1"/>
  <c r="R161" i="32"/>
  <c r="J161" i="32"/>
  <c r="R160" i="32"/>
  <c r="J160" i="32"/>
  <c r="R159" i="32"/>
  <c r="P159" i="32"/>
  <c r="Q159" i="32" s="1"/>
  <c r="J159" i="32"/>
  <c r="R158" i="32"/>
  <c r="J158" i="32"/>
  <c r="R157" i="32"/>
  <c r="J157" i="32"/>
  <c r="R156" i="32"/>
  <c r="T156" i="32" s="1"/>
  <c r="P156" i="32"/>
  <c r="Q156" i="32" s="1"/>
  <c r="J156" i="32"/>
  <c r="R155" i="32"/>
  <c r="J155" i="32"/>
  <c r="R154" i="32"/>
  <c r="J154" i="32"/>
  <c r="R153" i="32"/>
  <c r="J153" i="32"/>
  <c r="R152" i="32"/>
  <c r="T152" i="32" s="1"/>
  <c r="P152" i="32"/>
  <c r="Q152" i="32" s="1"/>
  <c r="J152" i="32"/>
  <c r="R151" i="32"/>
  <c r="J151" i="32"/>
  <c r="R150" i="32"/>
  <c r="T150" i="32" s="1"/>
  <c r="J150" i="32"/>
  <c r="R149" i="32"/>
  <c r="J149" i="32"/>
  <c r="R148" i="32"/>
  <c r="J148" i="32"/>
  <c r="R147" i="32"/>
  <c r="J147" i="32"/>
  <c r="R146" i="32"/>
  <c r="P146" i="32"/>
  <c r="Q146" i="32" s="1"/>
  <c r="J146" i="32"/>
  <c r="R145" i="32"/>
  <c r="J145" i="32"/>
  <c r="R144" i="32"/>
  <c r="J144" i="32"/>
  <c r="R143" i="32"/>
  <c r="J143" i="32"/>
  <c r="R142" i="32"/>
  <c r="S144" i="32" s="1"/>
  <c r="P142" i="32"/>
  <c r="Q142" i="32" s="1"/>
  <c r="J142" i="32"/>
  <c r="R141" i="32"/>
  <c r="J141" i="32"/>
  <c r="R140" i="32"/>
  <c r="J140" i="32"/>
  <c r="R139" i="32"/>
  <c r="T139" i="32" s="1"/>
  <c r="P139" i="32"/>
  <c r="Q139" i="32" s="1"/>
  <c r="J139" i="32"/>
  <c r="R138" i="32"/>
  <c r="T138" i="32" s="1"/>
  <c r="P138" i="32"/>
  <c r="Q138" i="32" s="1"/>
  <c r="J138" i="32"/>
  <c r="R137" i="32"/>
  <c r="S137" i="32" s="1"/>
  <c r="J137" i="32"/>
  <c r="R136" i="32"/>
  <c r="J136" i="32"/>
  <c r="R135" i="32"/>
  <c r="J135" i="32"/>
  <c r="R134" i="32"/>
  <c r="J134" i="32"/>
  <c r="R133" i="32"/>
  <c r="T133" i="32" s="1"/>
  <c r="J133" i="32"/>
  <c r="R132" i="32"/>
  <c r="J132" i="32"/>
  <c r="R131" i="32"/>
  <c r="J131" i="32"/>
  <c r="R130" i="32"/>
  <c r="J130" i="32"/>
  <c r="R129" i="32"/>
  <c r="J129" i="32"/>
  <c r="R128" i="32"/>
  <c r="S131" i="32" s="1"/>
  <c r="P128" i="32"/>
  <c r="Q128" i="32" s="1"/>
  <c r="J128" i="32"/>
  <c r="R127" i="32"/>
  <c r="J127" i="32"/>
  <c r="R126" i="32"/>
  <c r="J126" i="32"/>
  <c r="R125" i="32"/>
  <c r="J125" i="32"/>
  <c r="R124" i="32"/>
  <c r="P124" i="32"/>
  <c r="Q124" i="32" s="1"/>
  <c r="J124" i="32"/>
  <c r="R123" i="32"/>
  <c r="J123" i="32"/>
  <c r="R122" i="32"/>
  <c r="J122" i="32"/>
  <c r="R121" i="32"/>
  <c r="J121" i="32"/>
  <c r="R120" i="32"/>
  <c r="T120" i="32" s="1"/>
  <c r="P120" i="32"/>
  <c r="Q120" i="32" s="1"/>
  <c r="J120" i="32"/>
  <c r="R119" i="32"/>
  <c r="J119" i="32"/>
  <c r="R118" i="32"/>
  <c r="J118" i="32"/>
  <c r="R117" i="32"/>
  <c r="J117" i="32"/>
  <c r="R116" i="32"/>
  <c r="P116" i="32"/>
  <c r="Q116" i="32" s="1"/>
  <c r="J116" i="32"/>
  <c r="R115" i="32"/>
  <c r="J115" i="32"/>
  <c r="R114" i="32"/>
  <c r="J114" i="32"/>
  <c r="R113" i="32"/>
  <c r="T113" i="32" s="1"/>
  <c r="P113" i="32"/>
  <c r="Q113" i="32" s="1"/>
  <c r="J113" i="32"/>
  <c r="R112" i="32"/>
  <c r="J112" i="32"/>
  <c r="R111" i="32"/>
  <c r="J111" i="32"/>
  <c r="R110" i="32"/>
  <c r="J110" i="32"/>
  <c r="R109" i="32"/>
  <c r="J109" i="32"/>
  <c r="R108" i="32"/>
  <c r="J108" i="32"/>
  <c r="R107" i="32"/>
  <c r="J107" i="32"/>
  <c r="R106" i="32"/>
  <c r="J106" i="32"/>
  <c r="R105" i="32"/>
  <c r="S105" i="32" s="1"/>
  <c r="J105" i="32"/>
  <c r="R104" i="32"/>
  <c r="T104" i="32" s="1"/>
  <c r="J104" i="32"/>
  <c r="R103" i="32"/>
  <c r="J103" i="32"/>
  <c r="R102" i="32"/>
  <c r="J102" i="32"/>
  <c r="R101" i="32"/>
  <c r="T101" i="32" s="1"/>
  <c r="J101" i="32"/>
  <c r="R100" i="32"/>
  <c r="J100" i="32"/>
  <c r="O99" i="32"/>
  <c r="R99" i="32" s="1"/>
  <c r="T99" i="32" s="1"/>
  <c r="AB98" i="32"/>
  <c r="R98" i="32"/>
  <c r="P98" i="32"/>
  <c r="Q98" i="32" s="1"/>
  <c r="J98" i="32"/>
  <c r="R97" i="32"/>
  <c r="S97" i="32" s="1"/>
  <c r="P97" i="32"/>
  <c r="Q97" i="32" s="1"/>
  <c r="J97" i="32"/>
  <c r="R96" i="32"/>
  <c r="T96" i="32" s="1"/>
  <c r="P96" i="32"/>
  <c r="Q96" i="32" s="1"/>
  <c r="J96" i="32"/>
  <c r="R95" i="32"/>
  <c r="T95" i="32" s="1"/>
  <c r="J95" i="32"/>
  <c r="R94" i="32"/>
  <c r="J94" i="32"/>
  <c r="R93" i="32"/>
  <c r="T93" i="32" s="1"/>
  <c r="J93" i="32"/>
  <c r="R92" i="32"/>
  <c r="S92" i="32" s="1"/>
  <c r="J92" i="32"/>
  <c r="R91" i="32"/>
  <c r="J91" i="32"/>
  <c r="R90" i="32"/>
  <c r="J90" i="32"/>
  <c r="R89" i="32"/>
  <c r="J89" i="32"/>
  <c r="R88" i="32"/>
  <c r="J88" i="32"/>
  <c r="R87" i="32"/>
  <c r="T87" i="32" s="1"/>
  <c r="J87" i="32"/>
  <c r="R86" i="32"/>
  <c r="T86" i="32" s="1"/>
  <c r="J86" i="32"/>
  <c r="R85" i="32"/>
  <c r="J85" i="32"/>
  <c r="R84" i="32"/>
  <c r="J84" i="32"/>
  <c r="R83" i="32"/>
  <c r="J83" i="32"/>
  <c r="R82" i="32"/>
  <c r="J82" i="32"/>
  <c r="R81" i="32"/>
  <c r="J81" i="32"/>
  <c r="R80" i="32"/>
  <c r="J80" i="32"/>
  <c r="R79" i="32"/>
  <c r="J79" i="32"/>
  <c r="R78" i="32"/>
  <c r="T78" i="32" s="1"/>
  <c r="J78" i="32"/>
  <c r="R77" i="32"/>
  <c r="J77" i="32"/>
  <c r="R76" i="32"/>
  <c r="J76" i="32"/>
  <c r="R75" i="32"/>
  <c r="P75" i="32"/>
  <c r="Q75" i="32" s="1"/>
  <c r="J75" i="32"/>
  <c r="R74" i="32"/>
  <c r="T74" i="32" s="1"/>
  <c r="J74" i="32"/>
  <c r="R73" i="32"/>
  <c r="J73" i="32"/>
  <c r="R72" i="32"/>
  <c r="S74" i="32" s="1"/>
  <c r="P72" i="32"/>
  <c r="Q72" i="32" s="1"/>
  <c r="J72" i="32"/>
  <c r="R71" i="32"/>
  <c r="T71" i="32" s="1"/>
  <c r="J71" i="32"/>
  <c r="R70" i="32"/>
  <c r="J70" i="32"/>
  <c r="R69" i="32"/>
  <c r="P69" i="32"/>
  <c r="Q69" i="32" s="1"/>
  <c r="J69" i="32"/>
  <c r="R68" i="32"/>
  <c r="T68" i="32" s="1"/>
  <c r="J68" i="32"/>
  <c r="R67" i="32"/>
  <c r="J67" i="32"/>
  <c r="R66" i="32"/>
  <c r="J66" i="32"/>
  <c r="R65" i="32"/>
  <c r="J65" i="32"/>
  <c r="R64" i="32"/>
  <c r="J64" i="32"/>
  <c r="R63" i="32"/>
  <c r="T63" i="32" s="1"/>
  <c r="P63" i="32"/>
  <c r="Q63" i="32" s="1"/>
  <c r="J63" i="32"/>
  <c r="R62" i="32"/>
  <c r="J62" i="32"/>
  <c r="R61" i="32"/>
  <c r="J61" i="32"/>
  <c r="R60" i="32"/>
  <c r="J60" i="32"/>
  <c r="R59" i="32"/>
  <c r="J59" i="32"/>
  <c r="AB58" i="32"/>
  <c r="R58" i="32"/>
  <c r="J58" i="32"/>
  <c r="AB57" i="32"/>
  <c r="R57" i="32"/>
  <c r="J57" i="32"/>
  <c r="AB56" i="32"/>
  <c r="R56" i="32"/>
  <c r="J56" i="32"/>
  <c r="AB55" i="32"/>
  <c r="R55" i="32"/>
  <c r="J55" i="32"/>
  <c r="AB54" i="32"/>
  <c r="R54" i="32"/>
  <c r="J54" i="32"/>
  <c r="AB53" i="32"/>
  <c r="R53" i="32"/>
  <c r="J53" i="32"/>
  <c r="AB52" i="32"/>
  <c r="R52" i="32"/>
  <c r="P52" i="32"/>
  <c r="Q52" i="32" s="1"/>
  <c r="J52" i="32"/>
  <c r="AB51" i="32"/>
  <c r="R51" i="32"/>
  <c r="J51" i="32"/>
  <c r="R50" i="32"/>
  <c r="J50" i="32"/>
  <c r="R49" i="32"/>
  <c r="J49" i="32"/>
  <c r="R48" i="32"/>
  <c r="T48" i="32" s="1"/>
  <c r="P48" i="32"/>
  <c r="Q48" i="32" s="1"/>
  <c r="J48" i="32"/>
  <c r="R47" i="32"/>
  <c r="J47" i="32"/>
  <c r="R46" i="32"/>
  <c r="J46" i="32"/>
  <c r="R45" i="32"/>
  <c r="J45" i="32"/>
  <c r="AB44" i="32"/>
  <c r="R44" i="32"/>
  <c r="J44" i="32"/>
  <c r="AB43" i="32"/>
  <c r="R43" i="32"/>
  <c r="S44" i="32" s="1"/>
  <c r="P43" i="32"/>
  <c r="Q43" i="32" s="1"/>
  <c r="J43" i="32"/>
  <c r="R42" i="32"/>
  <c r="J42" i="32"/>
  <c r="R41" i="32"/>
  <c r="J41" i="32"/>
  <c r="R40" i="32"/>
  <c r="T40" i="32" s="1"/>
  <c r="P40" i="32"/>
  <c r="Q40" i="32" s="1"/>
  <c r="J40" i="32"/>
  <c r="R39" i="32"/>
  <c r="J39" i="32"/>
  <c r="R38" i="32"/>
  <c r="S38" i="32" s="1"/>
  <c r="P38" i="32"/>
  <c r="Q38" i="32" s="1"/>
  <c r="J38" i="32"/>
  <c r="R37" i="32"/>
  <c r="J37" i="32"/>
  <c r="R36" i="32"/>
  <c r="T36" i="32" s="1"/>
  <c r="P36" i="32"/>
  <c r="Q36" i="32" s="1"/>
  <c r="J36" i="32"/>
  <c r="R35" i="32"/>
  <c r="J35" i="32"/>
  <c r="R34" i="32"/>
  <c r="J34" i="32"/>
  <c r="R33" i="32"/>
  <c r="T33" i="32" s="1"/>
  <c r="J33" i="32"/>
  <c r="R32" i="32"/>
  <c r="T32" i="32" s="1"/>
  <c r="P32" i="32"/>
  <c r="Q32" i="32" s="1"/>
  <c r="J32" i="32"/>
  <c r="R31" i="32"/>
  <c r="T31" i="32" s="1"/>
  <c r="J31" i="32"/>
  <c r="R30" i="32"/>
  <c r="J30" i="32"/>
  <c r="R29" i="32"/>
  <c r="T29" i="32" s="1"/>
  <c r="P29" i="32"/>
  <c r="Q29" i="32" s="1"/>
  <c r="J29" i="32"/>
  <c r="R28" i="32"/>
  <c r="J28" i="32"/>
  <c r="R27" i="32"/>
  <c r="J27" i="32"/>
  <c r="R26" i="32"/>
  <c r="J26" i="32"/>
  <c r="R25" i="32"/>
  <c r="S25" i="32" s="1"/>
  <c r="J25" i="32"/>
  <c r="R24" i="32"/>
  <c r="J24" i="32"/>
  <c r="R23" i="32"/>
  <c r="T23" i="32" s="1"/>
  <c r="J23" i="32"/>
  <c r="R22" i="32"/>
  <c r="S22" i="32" s="1"/>
  <c r="P22" i="32"/>
  <c r="Q22" i="32" s="1"/>
  <c r="J22" i="32"/>
  <c r="R21" i="32"/>
  <c r="T21" i="32" s="1"/>
  <c r="P21" i="32"/>
  <c r="Q21" i="32" s="1"/>
  <c r="J21" i="32"/>
  <c r="R20" i="32"/>
  <c r="P20" i="32"/>
  <c r="Q20" i="32" s="1"/>
  <c r="J20" i="32"/>
  <c r="R19" i="32"/>
  <c r="J19" i="32"/>
  <c r="R18" i="32"/>
  <c r="S18" i="32" s="1"/>
  <c r="J18" i="32"/>
  <c r="R17" i="32"/>
  <c r="S17" i="32" s="1"/>
  <c r="J17" i="32"/>
  <c r="R16" i="32"/>
  <c r="J16" i="32"/>
  <c r="R15" i="32"/>
  <c r="P15" i="32"/>
  <c r="Q15" i="32" s="1"/>
  <c r="J15" i="32"/>
  <c r="R14" i="32"/>
  <c r="J14" i="32"/>
  <c r="R13" i="32"/>
  <c r="J13" i="32"/>
  <c r="R12" i="32"/>
  <c r="J12" i="32"/>
  <c r="R11" i="32"/>
  <c r="T11" i="32" s="1"/>
  <c r="J11" i="32"/>
  <c r="R10" i="32"/>
  <c r="J10" i="32"/>
  <c r="R9" i="32"/>
  <c r="J9" i="32"/>
  <c r="R8" i="32"/>
  <c r="J8" i="32"/>
  <c r="R7" i="32"/>
  <c r="J7" i="32"/>
  <c r="R6" i="32"/>
  <c r="J6" i="32"/>
  <c r="R5" i="32"/>
  <c r="J5" i="32"/>
  <c r="R4" i="32"/>
  <c r="T4" i="32" s="1"/>
  <c r="J4" i="32"/>
  <c r="R3" i="32"/>
  <c r="S3" i="32" s="1"/>
  <c r="J3" i="32"/>
  <c r="T253" i="30"/>
  <c r="T230" i="30"/>
  <c r="T245" i="30"/>
  <c r="T252" i="30"/>
  <c r="T249" i="30"/>
  <c r="S252" i="30"/>
  <c r="S251" i="30"/>
  <c r="S250" i="30"/>
  <c r="S249" i="30"/>
  <c r="S248" i="30"/>
  <c r="S247" i="30"/>
  <c r="S246" i="30"/>
  <c r="S245" i="30"/>
  <c r="T99" i="30"/>
  <c r="S162" i="30"/>
  <c r="R246" i="30"/>
  <c r="R245" i="30"/>
  <c r="R230" i="30"/>
  <c r="R180" i="30"/>
  <c r="R162" i="30"/>
  <c r="R99" i="30"/>
  <c r="O252" i="30"/>
  <c r="R252" i="30" s="1"/>
  <c r="O251" i="30"/>
  <c r="R251" i="30" s="1"/>
  <c r="O250" i="30"/>
  <c r="R250" i="30" s="1"/>
  <c r="O249" i="30"/>
  <c r="R249" i="30" s="1"/>
  <c r="O248" i="30"/>
  <c r="R248" i="30" s="1"/>
  <c r="O247" i="30"/>
  <c r="R247" i="30" s="1"/>
  <c r="O246" i="30"/>
  <c r="O245" i="30"/>
  <c r="O230" i="30"/>
  <c r="O180" i="30"/>
  <c r="O162" i="30"/>
  <c r="O99" i="30"/>
  <c r="F20" i="1"/>
  <c r="AB231" i="30"/>
  <c r="AB98" i="30"/>
  <c r="AB58" i="30"/>
  <c r="AB57" i="30"/>
  <c r="AB56" i="30"/>
  <c r="AB55" i="30"/>
  <c r="AB54" i="30"/>
  <c r="AB53" i="30"/>
  <c r="AB52" i="30"/>
  <c r="AB51" i="30"/>
  <c r="AB44" i="30"/>
  <c r="AB43" i="30"/>
  <c r="J4" i="30"/>
  <c r="J5" i="30"/>
  <c r="J6" i="30"/>
  <c r="J7" i="30"/>
  <c r="J8" i="30"/>
  <c r="J9" i="30"/>
  <c r="J10" i="30"/>
  <c r="J11" i="30"/>
  <c r="J12"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3" i="30"/>
  <c r="J164" i="30"/>
  <c r="J165" i="30"/>
  <c r="J166" i="30"/>
  <c r="J167" i="30"/>
  <c r="J168" i="30"/>
  <c r="J169" i="30"/>
  <c r="J170" i="30"/>
  <c r="J171" i="30"/>
  <c r="J172" i="30"/>
  <c r="J173" i="30"/>
  <c r="J174" i="30"/>
  <c r="J175" i="30"/>
  <c r="J176" i="30"/>
  <c r="J177" i="30"/>
  <c r="J178" i="30"/>
  <c r="J179"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J214" i="30"/>
  <c r="J215" i="30"/>
  <c r="J216" i="30"/>
  <c r="J217" i="30"/>
  <c r="J218" i="30"/>
  <c r="J219" i="30"/>
  <c r="J220" i="30"/>
  <c r="J221" i="30"/>
  <c r="J222" i="30"/>
  <c r="J223" i="30"/>
  <c r="J224" i="30"/>
  <c r="J225" i="30"/>
  <c r="J226" i="30"/>
  <c r="J227" i="30"/>
  <c r="J228" i="30"/>
  <c r="J229" i="30"/>
  <c r="J231" i="30"/>
  <c r="J232" i="30"/>
  <c r="J233" i="30"/>
  <c r="J234" i="30"/>
  <c r="J235" i="30"/>
  <c r="J236" i="30"/>
  <c r="J237" i="30"/>
  <c r="J238" i="30"/>
  <c r="J239" i="30"/>
  <c r="J240" i="30"/>
  <c r="J241" i="30"/>
  <c r="J242" i="30"/>
  <c r="J243" i="30"/>
  <c r="J244" i="30"/>
  <c r="J3" i="30"/>
  <c r="R4" i="30"/>
  <c r="T4" i="30"/>
  <c r="R11" i="30"/>
  <c r="T11" i="30"/>
  <c r="R15" i="30"/>
  <c r="T15" i="30"/>
  <c r="R20" i="30"/>
  <c r="S20" i="30" s="1"/>
  <c r="T20" i="30"/>
  <c r="R21" i="30"/>
  <c r="S21" i="30" s="1"/>
  <c r="T21" i="30"/>
  <c r="R23" i="30"/>
  <c r="T23" i="30" s="1"/>
  <c r="R25" i="30"/>
  <c r="T25" i="30" s="1"/>
  <c r="R29" i="30"/>
  <c r="T29" i="30" s="1"/>
  <c r="R31" i="30"/>
  <c r="T31" i="30"/>
  <c r="R32" i="30"/>
  <c r="S32" i="30" s="1"/>
  <c r="T32" i="30"/>
  <c r="R33" i="30"/>
  <c r="T33" i="30"/>
  <c r="R36" i="30"/>
  <c r="T36" i="30"/>
  <c r="R38" i="30"/>
  <c r="T38" i="30"/>
  <c r="R40" i="30"/>
  <c r="R43" i="30"/>
  <c r="R48" i="30"/>
  <c r="T48" i="30"/>
  <c r="R52" i="30"/>
  <c r="S52" i="30" s="1"/>
  <c r="R63" i="30"/>
  <c r="T63" i="30"/>
  <c r="R68" i="30"/>
  <c r="T68" i="30"/>
  <c r="R71" i="30"/>
  <c r="T71" i="30"/>
  <c r="R74" i="30"/>
  <c r="S74" i="30" s="1"/>
  <c r="T74" i="30"/>
  <c r="R75" i="30"/>
  <c r="S75" i="30" s="1"/>
  <c r="R78" i="30"/>
  <c r="T78" i="30" s="1"/>
  <c r="R86" i="30"/>
  <c r="S86" i="30" s="1"/>
  <c r="T86" i="30"/>
  <c r="R87" i="30"/>
  <c r="S87" i="30" s="1"/>
  <c r="T87" i="30"/>
  <c r="R88" i="30"/>
  <c r="S88" i="30" s="1"/>
  <c r="R92" i="30"/>
  <c r="T92" i="30"/>
  <c r="R93" i="30"/>
  <c r="T93" i="30"/>
  <c r="R95" i="30"/>
  <c r="T95" i="30"/>
  <c r="R96" i="30"/>
  <c r="T96" i="30" s="1"/>
  <c r="R97" i="30"/>
  <c r="T97" i="30" s="1"/>
  <c r="R98" i="30"/>
  <c r="R101" i="30"/>
  <c r="T101" i="30" s="1"/>
  <c r="R104" i="30"/>
  <c r="T104" i="30"/>
  <c r="R113" i="30"/>
  <c r="T113" i="30" s="1"/>
  <c r="R116" i="30"/>
  <c r="T116" i="30" s="1"/>
  <c r="R120" i="30"/>
  <c r="T120" i="30" s="1"/>
  <c r="R124" i="30"/>
  <c r="T124" i="30" s="1"/>
  <c r="R128" i="30"/>
  <c r="T128" i="30" s="1"/>
  <c r="R133" i="30"/>
  <c r="T133" i="30" s="1"/>
  <c r="R138" i="30"/>
  <c r="T138" i="30" s="1"/>
  <c r="R139" i="30"/>
  <c r="T139" i="30" s="1"/>
  <c r="R142" i="30"/>
  <c r="T142" i="30" s="1"/>
  <c r="R146" i="30"/>
  <c r="R150" i="30"/>
  <c r="T150" i="30"/>
  <c r="R152" i="30"/>
  <c r="T152" i="30" s="1"/>
  <c r="R156" i="30"/>
  <c r="T156" i="30" s="1"/>
  <c r="R159" i="30"/>
  <c r="T159" i="30" s="1"/>
  <c r="R165" i="30"/>
  <c r="T165" i="30" s="1"/>
  <c r="R169" i="30"/>
  <c r="T169" i="30" s="1"/>
  <c r="R173" i="30"/>
  <c r="T173" i="30" s="1"/>
  <c r="R177" i="30"/>
  <c r="T177" i="30"/>
  <c r="R182" i="30"/>
  <c r="R186" i="30"/>
  <c r="R190" i="30"/>
  <c r="T190" i="30" s="1"/>
  <c r="R192" i="30"/>
  <c r="T192" i="30" s="1"/>
  <c r="R197" i="30"/>
  <c r="T197" i="30" s="1"/>
  <c r="R200" i="30"/>
  <c r="T200" i="30" s="1"/>
  <c r="R204" i="30"/>
  <c r="T204" i="30" s="1"/>
  <c r="R208" i="30"/>
  <c r="T208" i="30" s="1"/>
  <c r="R212" i="30"/>
  <c r="T212" i="30"/>
  <c r="R217" i="30"/>
  <c r="T217" i="30" s="1"/>
  <c r="R220" i="30"/>
  <c r="T220" i="30" s="1"/>
  <c r="R224" i="30"/>
  <c r="T224" i="30" s="1"/>
  <c r="R225" i="30"/>
  <c r="T225" i="30" s="1"/>
  <c r="R226" i="30"/>
  <c r="S226" i="30" s="1"/>
  <c r="R227" i="30"/>
  <c r="S227" i="30" s="1"/>
  <c r="R228" i="30"/>
  <c r="S228" i="30" s="1"/>
  <c r="R229" i="30"/>
  <c r="T229" i="30" s="1"/>
  <c r="R231" i="30"/>
  <c r="R232" i="30"/>
  <c r="T232" i="30" s="1"/>
  <c r="R233" i="30"/>
  <c r="T233" i="30" s="1"/>
  <c r="R234" i="30"/>
  <c r="S235" i="30" s="1"/>
  <c r="R236" i="30"/>
  <c r="S236" i="30" s="1"/>
  <c r="R237" i="30"/>
  <c r="T237" i="30" s="1"/>
  <c r="R239" i="30"/>
  <c r="T239" i="30" s="1"/>
  <c r="R241" i="30"/>
  <c r="S241" i="30" s="1"/>
  <c r="R242" i="30"/>
  <c r="T242" i="30" s="1"/>
  <c r="F12" i="1"/>
  <c r="G13" i="13"/>
  <c r="G14" i="13"/>
  <c r="G15" i="13"/>
  <c r="G16" i="13"/>
  <c r="G17" i="13"/>
  <c r="G12" i="13"/>
  <c r="F19" i="13"/>
  <c r="C3" i="31"/>
  <c r="E3" i="31"/>
  <c r="G3" i="31"/>
  <c r="E2" i="31"/>
  <c r="G2" i="31"/>
  <c r="R244" i="30"/>
  <c r="R243" i="30"/>
  <c r="P242" i="30"/>
  <c r="Q242" i="30"/>
  <c r="P241" i="30"/>
  <c r="Q241" i="30" s="1"/>
  <c r="R240" i="30"/>
  <c r="P239" i="30"/>
  <c r="Q239" i="30" s="1"/>
  <c r="R238" i="30"/>
  <c r="P237" i="30"/>
  <c r="Q237" i="30"/>
  <c r="P236" i="30"/>
  <c r="Q236" i="30" s="1"/>
  <c r="R235" i="30"/>
  <c r="P235" i="30"/>
  <c r="Q235" i="30"/>
  <c r="P234" i="30"/>
  <c r="Q234" i="30"/>
  <c r="P233" i="30"/>
  <c r="Q233" i="30" s="1"/>
  <c r="S232" i="30"/>
  <c r="P232" i="30"/>
  <c r="Q232" i="30"/>
  <c r="P228" i="30"/>
  <c r="Q228" i="30" s="1"/>
  <c r="P227" i="30"/>
  <c r="Q227" i="30"/>
  <c r="R223" i="30"/>
  <c r="R221" i="30"/>
  <c r="R222" i="30"/>
  <c r="P220" i="30"/>
  <c r="Q220" i="30"/>
  <c r="R219" i="30"/>
  <c r="R216" i="30"/>
  <c r="R218" i="30"/>
  <c r="P217" i="30"/>
  <c r="Q217" i="30"/>
  <c r="R215" i="30"/>
  <c r="R214" i="30"/>
  <c r="R213" i="30"/>
  <c r="P212" i="30"/>
  <c r="Q212" i="30" s="1"/>
  <c r="R211" i="30"/>
  <c r="R209" i="30"/>
  <c r="R210" i="30"/>
  <c r="P208" i="30"/>
  <c r="Q208" i="30" s="1"/>
  <c r="R207" i="30"/>
  <c r="S207" i="30" s="1"/>
  <c r="R206" i="30"/>
  <c r="R205" i="30"/>
  <c r="S205" i="30" s="1"/>
  <c r="P204" i="30"/>
  <c r="Q204" i="30"/>
  <c r="R203" i="30"/>
  <c r="R202" i="30"/>
  <c r="R201" i="30"/>
  <c r="P200" i="30"/>
  <c r="Q200" i="30" s="1"/>
  <c r="R199" i="30"/>
  <c r="S197" i="30" s="1"/>
  <c r="R196" i="30"/>
  <c r="R198" i="30"/>
  <c r="R195" i="30"/>
  <c r="R193" i="30"/>
  <c r="R194" i="30"/>
  <c r="P192" i="30"/>
  <c r="Q192" i="30" s="1"/>
  <c r="R191" i="30"/>
  <c r="S191" i="30" s="1"/>
  <c r="P190" i="30"/>
  <c r="Q190" i="30"/>
  <c r="R189" i="30"/>
  <c r="R187" i="30"/>
  <c r="R188" i="30"/>
  <c r="S189" i="30" s="1"/>
  <c r="P186" i="30"/>
  <c r="Q186" i="30"/>
  <c r="R185" i="30"/>
  <c r="R184" i="30"/>
  <c r="R183" i="30"/>
  <c r="P182" i="30"/>
  <c r="Q182" i="30" s="1"/>
  <c r="R181" i="30"/>
  <c r="R179" i="30"/>
  <c r="R178" i="30"/>
  <c r="R176" i="30"/>
  <c r="R175" i="30"/>
  <c r="R172" i="30"/>
  <c r="R174" i="30"/>
  <c r="P173" i="30"/>
  <c r="Q173" i="30"/>
  <c r="R171" i="30"/>
  <c r="R170" i="30"/>
  <c r="P169" i="30"/>
  <c r="Q169" i="30"/>
  <c r="R168" i="30"/>
  <c r="R164" i="30"/>
  <c r="R166" i="30"/>
  <c r="R167" i="30"/>
  <c r="R163" i="30"/>
  <c r="R161" i="30"/>
  <c r="R160" i="30"/>
  <c r="P159" i="30"/>
  <c r="Q159" i="30"/>
  <c r="R158" i="30"/>
  <c r="R157" i="30"/>
  <c r="P156" i="30"/>
  <c r="Q156" i="30" s="1"/>
  <c r="R155" i="30"/>
  <c r="S157" i="30" s="1"/>
  <c r="R154" i="30"/>
  <c r="S154" i="30" s="1"/>
  <c r="R153" i="30"/>
  <c r="S153" i="30" s="1"/>
  <c r="P152" i="30"/>
  <c r="Q152" i="30"/>
  <c r="R151" i="30"/>
  <c r="R149" i="30"/>
  <c r="R147" i="30"/>
  <c r="R148" i="30"/>
  <c r="P146" i="30"/>
  <c r="Q146" i="30"/>
  <c r="R145" i="30"/>
  <c r="R143" i="30"/>
  <c r="R144" i="30"/>
  <c r="P142" i="30"/>
  <c r="Q142" i="30"/>
  <c r="R141" i="30"/>
  <c r="R140" i="30"/>
  <c r="P139" i="30"/>
  <c r="Q139" i="30"/>
  <c r="R137" i="30"/>
  <c r="P138" i="30"/>
  <c r="Q138" i="30" s="1"/>
  <c r="R136" i="30"/>
  <c r="R135" i="30"/>
  <c r="R134" i="30"/>
  <c r="S134" i="30" s="1"/>
  <c r="R132" i="30"/>
  <c r="R131" i="30"/>
  <c r="R129" i="30"/>
  <c r="R130" i="30"/>
  <c r="S129" i="30"/>
  <c r="P128" i="30"/>
  <c r="Q128" i="30" s="1"/>
  <c r="R127" i="30"/>
  <c r="R125" i="30"/>
  <c r="R126" i="30"/>
  <c r="S126" i="30"/>
  <c r="P124" i="30"/>
  <c r="Q124" i="30" s="1"/>
  <c r="R123" i="30"/>
  <c r="R122" i="30"/>
  <c r="R121" i="30"/>
  <c r="P120" i="30"/>
  <c r="Q120" i="30" s="1"/>
  <c r="R119" i="30"/>
  <c r="R118" i="30"/>
  <c r="R117" i="30"/>
  <c r="P116" i="30"/>
  <c r="Q116" i="30"/>
  <c r="R115" i="30"/>
  <c r="R112" i="30"/>
  <c r="R114" i="30"/>
  <c r="P113" i="30"/>
  <c r="Q113" i="30"/>
  <c r="R111" i="30"/>
  <c r="R110" i="30"/>
  <c r="R105" i="30"/>
  <c r="R106" i="30"/>
  <c r="R107" i="30"/>
  <c r="R108" i="30"/>
  <c r="R3" i="30"/>
  <c r="R5" i="30"/>
  <c r="R6" i="30"/>
  <c r="R7" i="30"/>
  <c r="S7" i="30" s="1"/>
  <c r="R8" i="30"/>
  <c r="R9" i="30"/>
  <c r="R10" i="30"/>
  <c r="R12" i="30"/>
  <c r="R13" i="30"/>
  <c r="R14" i="30"/>
  <c r="S14" i="30" s="1"/>
  <c r="R16" i="30"/>
  <c r="R17" i="30"/>
  <c r="S17" i="30" s="1"/>
  <c r="R18" i="30"/>
  <c r="R19" i="30"/>
  <c r="R22" i="30"/>
  <c r="R24" i="30"/>
  <c r="R26" i="30"/>
  <c r="R27" i="30"/>
  <c r="R28" i="30"/>
  <c r="R30" i="30"/>
  <c r="S30" i="30" s="1"/>
  <c r="R34" i="30"/>
  <c r="R35" i="30"/>
  <c r="R37" i="30"/>
  <c r="R39" i="30"/>
  <c r="R41" i="30"/>
  <c r="R42" i="30"/>
  <c r="S42" i="30" s="1"/>
  <c r="R44" i="30"/>
  <c r="S44" i="30" s="1"/>
  <c r="R45" i="30"/>
  <c r="S48" i="30" s="1"/>
  <c r="R46" i="30"/>
  <c r="R47" i="30"/>
  <c r="R49" i="30"/>
  <c r="R50" i="30"/>
  <c r="R51" i="30"/>
  <c r="R53" i="30"/>
  <c r="R54" i="30"/>
  <c r="R55" i="30"/>
  <c r="R56" i="30"/>
  <c r="R57" i="30"/>
  <c r="R58" i="30"/>
  <c r="R59" i="30"/>
  <c r="S63" i="30" s="1"/>
  <c r="R60" i="30"/>
  <c r="R61" i="30"/>
  <c r="R62" i="30"/>
  <c r="R64" i="30"/>
  <c r="S64" i="30" s="1"/>
  <c r="R65" i="30"/>
  <c r="R66" i="30"/>
  <c r="R67" i="30"/>
  <c r="R69" i="30"/>
  <c r="R70" i="30"/>
  <c r="S70" i="30" s="1"/>
  <c r="R72" i="30"/>
  <c r="R73" i="30"/>
  <c r="R76" i="30"/>
  <c r="R77" i="30"/>
  <c r="R79" i="30"/>
  <c r="R80" i="30"/>
  <c r="R81" i="30"/>
  <c r="R82" i="30"/>
  <c r="R83" i="30"/>
  <c r="R84" i="30"/>
  <c r="R85" i="30"/>
  <c r="S79" i="30" s="1"/>
  <c r="R89" i="30"/>
  <c r="R90" i="30"/>
  <c r="R91" i="30"/>
  <c r="R94" i="30"/>
  <c r="R100" i="30"/>
  <c r="R102" i="30"/>
  <c r="R103" i="30"/>
  <c r="R109" i="30"/>
  <c r="P98" i="30"/>
  <c r="Q98" i="30" s="1"/>
  <c r="P97" i="30"/>
  <c r="Q97" i="30" s="1"/>
  <c r="P96" i="30"/>
  <c r="Q96" i="30"/>
  <c r="S95" i="30"/>
  <c r="S94" i="30"/>
  <c r="S77" i="30"/>
  <c r="P75" i="30"/>
  <c r="Q75" i="30" s="1"/>
  <c r="P72" i="30"/>
  <c r="Q72" i="30" s="1"/>
  <c r="P69" i="30"/>
  <c r="Q69" i="30"/>
  <c r="S66" i="30"/>
  <c r="S65" i="30"/>
  <c r="P63" i="30"/>
  <c r="Q63" i="30" s="1"/>
  <c r="P52" i="30"/>
  <c r="Q52" i="30" s="1"/>
  <c r="P48" i="30"/>
  <c r="Q48" i="30"/>
  <c r="P43" i="30"/>
  <c r="Q43" i="30"/>
  <c r="P40" i="30"/>
  <c r="Q40" i="30" s="1"/>
  <c r="P38" i="30"/>
  <c r="Q38" i="30" s="1"/>
  <c r="P36" i="30"/>
  <c r="Q36" i="30" s="1"/>
  <c r="P32" i="30"/>
  <c r="Q32" i="30"/>
  <c r="P29" i="30"/>
  <c r="Q29" i="30"/>
  <c r="P22" i="30"/>
  <c r="Q22" i="30" s="1"/>
  <c r="P21" i="30"/>
  <c r="Q21" i="30" s="1"/>
  <c r="P20" i="30"/>
  <c r="Q20" i="30"/>
  <c r="P15" i="30"/>
  <c r="Q15" i="30"/>
  <c r="H2" i="31"/>
  <c r="I2" i="31"/>
  <c r="H3" i="31"/>
  <c r="I3" i="31"/>
  <c r="S92" i="30"/>
  <c r="S150" i="30"/>
  <c r="S68" i="30"/>
  <c r="S36" i="30"/>
  <c r="S151" i="30"/>
  <c r="S152" i="30"/>
  <c r="S229" i="30"/>
  <c r="S31" i="30"/>
  <c r="S97" i="30"/>
  <c r="S128" i="30"/>
  <c r="S190" i="30"/>
  <c r="S10" i="30"/>
  <c r="S33" i="30"/>
  <c r="S38" i="30"/>
  <c r="F18" i="1"/>
  <c r="D84" i="1"/>
  <c r="M65" i="1"/>
  <c r="M64" i="1"/>
  <c r="G69" i="1"/>
  <c r="G68" i="1"/>
  <c r="G67" i="1"/>
  <c r="G66" i="1"/>
  <c r="G65" i="1"/>
  <c r="B71" i="1"/>
  <c r="B70" i="1"/>
  <c r="M1000" i="29" a="1"/>
  <c r="M1000" i="29" s="1"/>
  <c r="P1000" i="29" s="1"/>
  <c r="D1000" i="29"/>
  <c r="M999" i="29"/>
  <c r="P999" i="29" s="1"/>
  <c r="M999" i="29" a="1"/>
  <c r="D999" i="29"/>
  <c r="M998" i="29" a="1"/>
  <c r="M998" i="29" s="1"/>
  <c r="P998" i="29" s="1"/>
  <c r="D998" i="29"/>
  <c r="M997" i="29" a="1"/>
  <c r="M997" i="29" s="1"/>
  <c r="P997" i="29" s="1"/>
  <c r="D997" i="29"/>
  <c r="M996" i="29" a="1"/>
  <c r="M996" i="29" s="1"/>
  <c r="P996" i="29" s="1"/>
  <c r="D996" i="29"/>
  <c r="M995" i="29" a="1"/>
  <c r="M995" i="29" s="1"/>
  <c r="P995" i="29" s="1"/>
  <c r="D995" i="29"/>
  <c r="M994" i="29" a="1"/>
  <c r="M994" i="29" s="1"/>
  <c r="P994" i="29" s="1"/>
  <c r="D994" i="29"/>
  <c r="M993" i="29" a="1"/>
  <c r="M993" i="29" s="1"/>
  <c r="P993" i="29" s="1"/>
  <c r="D993" i="29"/>
  <c r="M992" i="29" a="1"/>
  <c r="M992" i="29" s="1"/>
  <c r="P992" i="29" s="1"/>
  <c r="D992" i="29"/>
  <c r="M991" i="29" a="1"/>
  <c r="M991" i="29" s="1"/>
  <c r="P991" i="29" s="1"/>
  <c r="D991" i="29"/>
  <c r="M990" i="29" a="1"/>
  <c r="M990" i="29"/>
  <c r="P990" i="29" s="1"/>
  <c r="D990" i="29"/>
  <c r="M989" i="29" a="1"/>
  <c r="M989" i="29" s="1"/>
  <c r="P989" i="29" s="1"/>
  <c r="D989" i="29"/>
  <c r="M988" i="29" a="1"/>
  <c r="M988" i="29" s="1"/>
  <c r="P988" i="29" s="1"/>
  <c r="D988" i="29"/>
  <c r="M987" i="29" a="1"/>
  <c r="M987" i="29" s="1"/>
  <c r="P987" i="29" s="1"/>
  <c r="D987" i="29"/>
  <c r="M986" i="29" a="1"/>
  <c r="M986" i="29" s="1"/>
  <c r="P986" i="29" s="1"/>
  <c r="D986" i="29"/>
  <c r="M985" i="29" a="1"/>
  <c r="M985" i="29" s="1"/>
  <c r="P985" i="29" s="1"/>
  <c r="D985" i="29"/>
  <c r="M984" i="29"/>
  <c r="P984" i="29" s="1"/>
  <c r="M984" i="29" a="1"/>
  <c r="D984" i="29"/>
  <c r="M983" i="29"/>
  <c r="P983" i="29" s="1"/>
  <c r="M983" i="29" a="1"/>
  <c r="D983" i="29"/>
  <c r="M982" i="29" a="1"/>
  <c r="M982" i="29" s="1"/>
  <c r="P982" i="29" s="1"/>
  <c r="D982" i="29"/>
  <c r="M981" i="29" a="1"/>
  <c r="M981" i="29" s="1"/>
  <c r="P981" i="29" s="1"/>
  <c r="D981" i="29"/>
  <c r="M980" i="29" a="1"/>
  <c r="M980" i="29" s="1"/>
  <c r="P980" i="29" s="1"/>
  <c r="D980" i="29"/>
  <c r="M979" i="29" a="1"/>
  <c r="M979" i="29" s="1"/>
  <c r="P979" i="29" s="1"/>
  <c r="D979" i="29"/>
  <c r="M978" i="29" a="1"/>
  <c r="M978" i="29" s="1"/>
  <c r="P978" i="29" s="1"/>
  <c r="D978" i="29"/>
  <c r="M977" i="29" a="1"/>
  <c r="M977" i="29" s="1"/>
  <c r="P977" i="29" s="1"/>
  <c r="D977" i="29"/>
  <c r="M976" i="29" a="1"/>
  <c r="M976" i="29" s="1"/>
  <c r="P976" i="29" s="1"/>
  <c r="D976" i="29"/>
  <c r="M975" i="29" a="1"/>
  <c r="M975" i="29" s="1"/>
  <c r="P975" i="29" s="1"/>
  <c r="D975" i="29"/>
  <c r="M974" i="29" a="1"/>
  <c r="M974" i="29" s="1"/>
  <c r="P974" i="29" s="1"/>
  <c r="D974" i="29"/>
  <c r="M973" i="29" a="1"/>
  <c r="M973" i="29" s="1"/>
  <c r="P973" i="29" s="1"/>
  <c r="D973" i="29"/>
  <c r="M972" i="29" a="1"/>
  <c r="M972" i="29" s="1"/>
  <c r="P972" i="29" s="1"/>
  <c r="D972" i="29"/>
  <c r="M971" i="29" a="1"/>
  <c r="M971" i="29" s="1"/>
  <c r="P971" i="29" s="1"/>
  <c r="D971" i="29"/>
  <c r="M970" i="29" a="1"/>
  <c r="M970" i="29" s="1"/>
  <c r="P970" i="29" s="1"/>
  <c r="D970" i="29"/>
  <c r="M969" i="29" a="1"/>
  <c r="M969" i="29" s="1"/>
  <c r="P969" i="29" s="1"/>
  <c r="D969" i="29"/>
  <c r="M968" i="29" a="1"/>
  <c r="M968" i="29" s="1"/>
  <c r="P968" i="29" s="1"/>
  <c r="D968" i="29"/>
  <c r="M967" i="29"/>
  <c r="P967" i="29" s="1"/>
  <c r="M967" i="29" a="1"/>
  <c r="D967" i="29"/>
  <c r="M966" i="29" a="1"/>
  <c r="M966" i="29" s="1"/>
  <c r="P966" i="29" s="1"/>
  <c r="D966" i="29"/>
  <c r="M965" i="29" a="1"/>
  <c r="M965" i="29" s="1"/>
  <c r="P965" i="29" s="1"/>
  <c r="D965" i="29"/>
  <c r="M964" i="29" a="1"/>
  <c r="M964" i="29" s="1"/>
  <c r="P964" i="29" s="1"/>
  <c r="D964" i="29"/>
  <c r="M963" i="29" a="1"/>
  <c r="M963" i="29" s="1"/>
  <c r="P963" i="29" s="1"/>
  <c r="D963" i="29"/>
  <c r="M962" i="29" a="1"/>
  <c r="M962" i="29" s="1"/>
  <c r="P962" i="29" s="1"/>
  <c r="D962" i="29"/>
  <c r="M961" i="29" a="1"/>
  <c r="M961" i="29" s="1"/>
  <c r="P961" i="29" s="1"/>
  <c r="D961" i="29"/>
  <c r="M960" i="29" a="1"/>
  <c r="M960" i="29" s="1"/>
  <c r="P960" i="29" s="1"/>
  <c r="D960" i="29"/>
  <c r="M959" i="29" a="1"/>
  <c r="M959" i="29" s="1"/>
  <c r="P959" i="29" s="1"/>
  <c r="D959" i="29"/>
  <c r="M958" i="29" a="1"/>
  <c r="M958" i="29"/>
  <c r="P958" i="29" s="1"/>
  <c r="D958" i="29"/>
  <c r="M957" i="29" a="1"/>
  <c r="M957" i="29" s="1"/>
  <c r="P957" i="29" s="1"/>
  <c r="D957" i="29"/>
  <c r="M956" i="29" a="1"/>
  <c r="M956" i="29" s="1"/>
  <c r="P956" i="29" s="1"/>
  <c r="D956" i="29"/>
  <c r="M955" i="29" a="1"/>
  <c r="M955" i="29" s="1"/>
  <c r="P955" i="29" s="1"/>
  <c r="D955" i="29"/>
  <c r="M954" i="29" a="1"/>
  <c r="M954" i="29" s="1"/>
  <c r="P954" i="29" s="1"/>
  <c r="D954" i="29"/>
  <c r="M953" i="29" a="1"/>
  <c r="M953" i="29" s="1"/>
  <c r="P953" i="29" s="1"/>
  <c r="D953" i="29"/>
  <c r="M952" i="29" a="1"/>
  <c r="M952" i="29" s="1"/>
  <c r="P952" i="29" s="1"/>
  <c r="D952" i="29"/>
  <c r="M951" i="29"/>
  <c r="P951" i="29" s="1"/>
  <c r="M951" i="29" a="1"/>
  <c r="D951" i="29"/>
  <c r="M950" i="29" a="1"/>
  <c r="M950" i="29" s="1"/>
  <c r="P950" i="29" s="1"/>
  <c r="D950" i="29"/>
  <c r="M949" i="29" a="1"/>
  <c r="M949" i="29" s="1"/>
  <c r="P949" i="29" s="1"/>
  <c r="D949" i="29"/>
  <c r="M948" i="29" a="1"/>
  <c r="M948" i="29" s="1"/>
  <c r="P948" i="29" s="1"/>
  <c r="D948" i="29"/>
  <c r="M947" i="29" a="1"/>
  <c r="M947" i="29" s="1"/>
  <c r="P947" i="29" s="1"/>
  <c r="D947" i="29"/>
  <c r="M946" i="29" a="1"/>
  <c r="M946" i="29" s="1"/>
  <c r="P946" i="29" s="1"/>
  <c r="D946" i="29"/>
  <c r="M945" i="29" a="1"/>
  <c r="M945" i="29" s="1"/>
  <c r="P945" i="29" s="1"/>
  <c r="D945" i="29"/>
  <c r="M944" i="29" a="1"/>
  <c r="M944" i="29" s="1"/>
  <c r="P944" i="29" s="1"/>
  <c r="D944" i="29"/>
  <c r="M943" i="29" a="1"/>
  <c r="M943" i="29" s="1"/>
  <c r="P943" i="29" s="1"/>
  <c r="D943" i="29"/>
  <c r="M942" i="29" a="1"/>
  <c r="M942" i="29" s="1"/>
  <c r="P942" i="29" s="1"/>
  <c r="D942" i="29"/>
  <c r="M941" i="29" a="1"/>
  <c r="M941" i="29" s="1"/>
  <c r="P941" i="29" s="1"/>
  <c r="D941" i="29"/>
  <c r="M940" i="29" a="1"/>
  <c r="M940" i="29" s="1"/>
  <c r="P940" i="29" s="1"/>
  <c r="D940" i="29"/>
  <c r="M939" i="29" a="1"/>
  <c r="M939" i="29" s="1"/>
  <c r="P939" i="29" s="1"/>
  <c r="D939" i="29"/>
  <c r="M938" i="29" a="1"/>
  <c r="M938" i="29" s="1"/>
  <c r="P938" i="29" s="1"/>
  <c r="D938" i="29"/>
  <c r="M937" i="29" a="1"/>
  <c r="M937" i="29" s="1"/>
  <c r="P937" i="29" s="1"/>
  <c r="D937" i="29"/>
  <c r="M936" i="29" a="1"/>
  <c r="M936" i="29" s="1"/>
  <c r="P936" i="29" s="1"/>
  <c r="D936" i="29"/>
  <c r="M935" i="29"/>
  <c r="P935" i="29" s="1"/>
  <c r="M935" i="29" a="1"/>
  <c r="D935" i="29"/>
  <c r="M934" i="29" a="1"/>
  <c r="M934" i="29" s="1"/>
  <c r="P934" i="29" s="1"/>
  <c r="D934" i="29"/>
  <c r="M933" i="29" a="1"/>
  <c r="M933" i="29" s="1"/>
  <c r="P933" i="29" s="1"/>
  <c r="D933" i="29"/>
  <c r="M932" i="29" a="1"/>
  <c r="M932" i="29" s="1"/>
  <c r="P932" i="29" s="1"/>
  <c r="D932" i="29"/>
  <c r="M931" i="29" a="1"/>
  <c r="M931" i="29" s="1"/>
  <c r="P931" i="29" s="1"/>
  <c r="D931" i="29"/>
  <c r="M930" i="29" a="1"/>
  <c r="M930" i="29" s="1"/>
  <c r="P930" i="29" s="1"/>
  <c r="D930" i="29"/>
  <c r="M929" i="29" a="1"/>
  <c r="M929" i="29" s="1"/>
  <c r="P929" i="29" s="1"/>
  <c r="D929" i="29"/>
  <c r="M928" i="29" a="1"/>
  <c r="M928" i="29" s="1"/>
  <c r="P928" i="29" s="1"/>
  <c r="D928" i="29"/>
  <c r="M927" i="29" a="1"/>
  <c r="M927" i="29" s="1"/>
  <c r="P927" i="29" s="1"/>
  <c r="D927" i="29"/>
  <c r="M926" i="29" a="1"/>
  <c r="M926" i="29" s="1"/>
  <c r="P926" i="29" s="1"/>
  <c r="D926" i="29"/>
  <c r="M925" i="29" a="1"/>
  <c r="M925" i="29" s="1"/>
  <c r="P925" i="29" s="1"/>
  <c r="D925" i="29"/>
  <c r="M924" i="29" a="1"/>
  <c r="M924" i="29" s="1"/>
  <c r="P924" i="29" s="1"/>
  <c r="D924" i="29"/>
  <c r="M923" i="29" a="1"/>
  <c r="M923" i="29" s="1"/>
  <c r="P923" i="29" s="1"/>
  <c r="D923" i="29"/>
  <c r="M922" i="29" a="1"/>
  <c r="M922" i="29" s="1"/>
  <c r="P922" i="29" s="1"/>
  <c r="D922" i="29"/>
  <c r="M921" i="29" a="1"/>
  <c r="M921" i="29" s="1"/>
  <c r="P921" i="29" s="1"/>
  <c r="D921" i="29"/>
  <c r="M920" i="29" a="1"/>
  <c r="M920" i="29" s="1"/>
  <c r="P920" i="29" s="1"/>
  <c r="D920" i="29"/>
  <c r="M919" i="29"/>
  <c r="P919" i="29" s="1"/>
  <c r="M919" i="29" a="1"/>
  <c r="D919" i="29"/>
  <c r="M918" i="29" a="1"/>
  <c r="M918" i="29" s="1"/>
  <c r="P918" i="29" s="1"/>
  <c r="D918" i="29"/>
  <c r="M917" i="29" a="1"/>
  <c r="M917" i="29" s="1"/>
  <c r="P917" i="29" s="1"/>
  <c r="D917" i="29"/>
  <c r="M916" i="29" a="1"/>
  <c r="M916" i="29" s="1"/>
  <c r="P916" i="29" s="1"/>
  <c r="D916" i="29"/>
  <c r="M915" i="29" a="1"/>
  <c r="M915" i="29" s="1"/>
  <c r="P915" i="29" s="1"/>
  <c r="D915" i="29"/>
  <c r="M914" i="29" a="1"/>
  <c r="M914" i="29" s="1"/>
  <c r="P914" i="29" s="1"/>
  <c r="D914" i="29"/>
  <c r="M913" i="29" a="1"/>
  <c r="M913" i="29" s="1"/>
  <c r="P913" i="29" s="1"/>
  <c r="D913" i="29"/>
  <c r="M912" i="29" a="1"/>
  <c r="M912" i="29" s="1"/>
  <c r="P912" i="29" s="1"/>
  <c r="D912" i="29"/>
  <c r="M911" i="29" a="1"/>
  <c r="M911" i="29" s="1"/>
  <c r="P911" i="29" s="1"/>
  <c r="D911" i="29"/>
  <c r="M910" i="29" a="1"/>
  <c r="M910" i="29" s="1"/>
  <c r="P910" i="29" s="1"/>
  <c r="D910" i="29"/>
  <c r="M909" i="29" a="1"/>
  <c r="M909" i="29" s="1"/>
  <c r="P909" i="29" s="1"/>
  <c r="D909" i="29"/>
  <c r="M908" i="29" a="1"/>
  <c r="M908" i="29" s="1"/>
  <c r="P908" i="29" s="1"/>
  <c r="D908" i="29"/>
  <c r="M907" i="29" a="1"/>
  <c r="M907" i="29" s="1"/>
  <c r="P907" i="29" s="1"/>
  <c r="D907" i="29"/>
  <c r="M906" i="29" a="1"/>
  <c r="M906" i="29" s="1"/>
  <c r="P906" i="29" s="1"/>
  <c r="D906" i="29"/>
  <c r="M905" i="29" a="1"/>
  <c r="M905" i="29" s="1"/>
  <c r="P905" i="29" s="1"/>
  <c r="D905" i="29"/>
  <c r="M904" i="29" a="1"/>
  <c r="M904" i="29" s="1"/>
  <c r="P904" i="29" s="1"/>
  <c r="D904" i="29"/>
  <c r="M903" i="29"/>
  <c r="P903" i="29" s="1"/>
  <c r="M903" i="29" a="1"/>
  <c r="D903" i="29"/>
  <c r="M902" i="29" a="1"/>
  <c r="M902" i="29" s="1"/>
  <c r="P902" i="29" s="1"/>
  <c r="D902" i="29"/>
  <c r="M901" i="29" a="1"/>
  <c r="M901" i="29" s="1"/>
  <c r="P901" i="29" s="1"/>
  <c r="D901" i="29"/>
  <c r="M900" i="29" a="1"/>
  <c r="M900" i="29" s="1"/>
  <c r="P900" i="29" s="1"/>
  <c r="D900" i="29"/>
  <c r="M899" i="29" a="1"/>
  <c r="M899" i="29" s="1"/>
  <c r="P899" i="29" s="1"/>
  <c r="D899" i="29"/>
  <c r="M898" i="29" a="1"/>
  <c r="M898" i="29" s="1"/>
  <c r="P898" i="29" s="1"/>
  <c r="D898" i="29"/>
  <c r="M897" i="29" a="1"/>
  <c r="M897" i="29" s="1"/>
  <c r="P897" i="29" s="1"/>
  <c r="D897" i="29"/>
  <c r="M896" i="29" a="1"/>
  <c r="M896" i="29" s="1"/>
  <c r="P896" i="29" s="1"/>
  <c r="D896" i="29"/>
  <c r="M895" i="29" a="1"/>
  <c r="M895" i="29" s="1"/>
  <c r="P895" i="29" s="1"/>
  <c r="D895" i="29"/>
  <c r="P894" i="29"/>
  <c r="M894" i="29" a="1"/>
  <c r="M894" i="29"/>
  <c r="D894" i="29"/>
  <c r="M893" i="29" a="1"/>
  <c r="M893" i="29" s="1"/>
  <c r="P893" i="29" s="1"/>
  <c r="D893" i="29"/>
  <c r="M892" i="29" a="1"/>
  <c r="M892" i="29" s="1"/>
  <c r="P892" i="29" s="1"/>
  <c r="D892" i="29"/>
  <c r="M891" i="29" a="1"/>
  <c r="M891" i="29" s="1"/>
  <c r="P891" i="29" s="1"/>
  <c r="D891" i="29"/>
  <c r="M890" i="29"/>
  <c r="P890" i="29" s="1"/>
  <c r="M890" i="29" a="1"/>
  <c r="D890" i="29"/>
  <c r="M889" i="29" a="1"/>
  <c r="M889" i="29" s="1"/>
  <c r="P889" i="29" s="1"/>
  <c r="D889" i="29"/>
  <c r="M888" i="29" a="1"/>
  <c r="M888" i="29" s="1"/>
  <c r="P888" i="29" s="1"/>
  <c r="D888" i="29"/>
  <c r="M887" i="29"/>
  <c r="P887" i="29" s="1"/>
  <c r="M887" i="29" a="1"/>
  <c r="D887" i="29"/>
  <c r="M886" i="29" a="1"/>
  <c r="M886" i="29" s="1"/>
  <c r="P886" i="29" s="1"/>
  <c r="D886" i="29"/>
  <c r="M885" i="29" a="1"/>
  <c r="M885" i="29" s="1"/>
  <c r="P885" i="29" s="1"/>
  <c r="D885" i="29"/>
  <c r="M884" i="29" a="1"/>
  <c r="M884" i="29" s="1"/>
  <c r="P884" i="29" s="1"/>
  <c r="D884" i="29"/>
  <c r="M883" i="29" a="1"/>
  <c r="M883" i="29" s="1"/>
  <c r="P883" i="29" s="1"/>
  <c r="D883" i="29"/>
  <c r="M882" i="29" a="1"/>
  <c r="M882" i="29" s="1"/>
  <c r="P882" i="29" s="1"/>
  <c r="D882" i="29"/>
  <c r="M881" i="29" a="1"/>
  <c r="M881" i="29"/>
  <c r="P881" i="29" s="1"/>
  <c r="D881" i="29"/>
  <c r="M880" i="29" a="1"/>
  <c r="M880" i="29" s="1"/>
  <c r="P880" i="29" s="1"/>
  <c r="D880" i="29"/>
  <c r="M879" i="29" a="1"/>
  <c r="M879" i="29" s="1"/>
  <c r="P879" i="29" s="1"/>
  <c r="D879" i="29"/>
  <c r="P878" i="29"/>
  <c r="M878" i="29" a="1"/>
  <c r="M878" i="29"/>
  <c r="D878" i="29"/>
  <c r="M877" i="29" a="1"/>
  <c r="M877" i="29" s="1"/>
  <c r="P877" i="29" s="1"/>
  <c r="D877" i="29"/>
  <c r="M876" i="29" a="1"/>
  <c r="M876" i="29" s="1"/>
  <c r="P876" i="29" s="1"/>
  <c r="D876" i="29"/>
  <c r="M875" i="29" a="1"/>
  <c r="M875" i="29" s="1"/>
  <c r="P875" i="29" s="1"/>
  <c r="D875" i="29"/>
  <c r="M874" i="29"/>
  <c r="P874" i="29" s="1"/>
  <c r="M874" i="29" a="1"/>
  <c r="D874" i="29"/>
  <c r="M873" i="29" a="1"/>
  <c r="M873" i="29" s="1"/>
  <c r="P873" i="29" s="1"/>
  <c r="D873" i="29"/>
  <c r="M872" i="29" a="1"/>
  <c r="M872" i="29" s="1"/>
  <c r="P872" i="29" s="1"/>
  <c r="D872" i="29"/>
  <c r="M871" i="29"/>
  <c r="P871" i="29" s="1"/>
  <c r="M871" i="29" a="1"/>
  <c r="D871" i="29"/>
  <c r="M870" i="29" a="1"/>
  <c r="M870" i="29" s="1"/>
  <c r="P870" i="29" s="1"/>
  <c r="D870" i="29"/>
  <c r="M869" i="29" a="1"/>
  <c r="M869" i="29" s="1"/>
  <c r="P869" i="29" s="1"/>
  <c r="D869" i="29"/>
  <c r="M868" i="29" a="1"/>
  <c r="M868" i="29" s="1"/>
  <c r="P868" i="29" s="1"/>
  <c r="D868" i="29"/>
  <c r="M867" i="29" a="1"/>
  <c r="M867" i="29" s="1"/>
  <c r="P867" i="29" s="1"/>
  <c r="D867" i="29"/>
  <c r="M866" i="29" a="1"/>
  <c r="M866" i="29" s="1"/>
  <c r="P866" i="29" s="1"/>
  <c r="D866" i="29"/>
  <c r="M865" i="29" a="1"/>
  <c r="M865" i="29" s="1"/>
  <c r="P865" i="29" s="1"/>
  <c r="D865" i="29"/>
  <c r="M864" i="29" a="1"/>
  <c r="M864" i="29"/>
  <c r="P864" i="29" s="1"/>
  <c r="D864" i="29"/>
  <c r="M863" i="29" a="1"/>
  <c r="M863" i="29" s="1"/>
  <c r="P863" i="29" s="1"/>
  <c r="D863" i="29"/>
  <c r="P862" i="29"/>
  <c r="M862" i="29" a="1"/>
  <c r="M862" i="29"/>
  <c r="D862" i="29"/>
  <c r="M861" i="29" a="1"/>
  <c r="M861" i="29" s="1"/>
  <c r="P861" i="29" s="1"/>
  <c r="D861" i="29"/>
  <c r="M860" i="29" a="1"/>
  <c r="M860" i="29" s="1"/>
  <c r="P860" i="29" s="1"/>
  <c r="D860" i="29"/>
  <c r="M859" i="29" a="1"/>
  <c r="M859" i="29" s="1"/>
  <c r="P859" i="29" s="1"/>
  <c r="D859" i="29"/>
  <c r="M858" i="29"/>
  <c r="P858" i="29" s="1"/>
  <c r="M858" i="29" a="1"/>
  <c r="D858" i="29"/>
  <c r="M857" i="29" a="1"/>
  <c r="M857" i="29" s="1"/>
  <c r="P857" i="29" s="1"/>
  <c r="D857" i="29"/>
  <c r="M856" i="29" a="1"/>
  <c r="M856" i="29" s="1"/>
  <c r="P856" i="29" s="1"/>
  <c r="D856" i="29"/>
  <c r="M855" i="29"/>
  <c r="P855" i="29" s="1"/>
  <c r="M855" i="29" a="1"/>
  <c r="D855" i="29"/>
  <c r="M854" i="29" a="1"/>
  <c r="M854" i="29" s="1"/>
  <c r="P854" i="29" s="1"/>
  <c r="D854" i="29"/>
  <c r="M853" i="29" a="1"/>
  <c r="M853" i="29" s="1"/>
  <c r="P853" i="29" s="1"/>
  <c r="D853" i="29"/>
  <c r="M852" i="29" a="1"/>
  <c r="M852" i="29" s="1"/>
  <c r="P852" i="29" s="1"/>
  <c r="D852" i="29"/>
  <c r="M851" i="29" a="1"/>
  <c r="M851" i="29" s="1"/>
  <c r="P851" i="29" s="1"/>
  <c r="D851" i="29"/>
  <c r="M850" i="29"/>
  <c r="P850" i="29" s="1"/>
  <c r="M850" i="29" a="1"/>
  <c r="D850" i="29"/>
  <c r="M849" i="29" a="1"/>
  <c r="M849" i="29" s="1"/>
  <c r="P849" i="29" s="1"/>
  <c r="D849" i="29"/>
  <c r="M848" i="29" a="1"/>
  <c r="M848" i="29" s="1"/>
  <c r="P848" i="29" s="1"/>
  <c r="D848" i="29"/>
  <c r="M847" i="29"/>
  <c r="P847" i="29" s="1"/>
  <c r="M847" i="29" a="1"/>
  <c r="D847" i="29"/>
  <c r="M846" i="29" a="1"/>
  <c r="M846" i="29" s="1"/>
  <c r="P846" i="29" s="1"/>
  <c r="D846" i="29"/>
  <c r="M845" i="29" a="1"/>
  <c r="M845" i="29" s="1"/>
  <c r="P845" i="29" s="1"/>
  <c r="D845" i="29"/>
  <c r="M844" i="29" a="1"/>
  <c r="M844" i="29" s="1"/>
  <c r="P844" i="29" s="1"/>
  <c r="D844" i="29"/>
  <c r="M843" i="29" a="1"/>
  <c r="M843" i="29" s="1"/>
  <c r="P843" i="29" s="1"/>
  <c r="D843" i="29"/>
  <c r="M842" i="29"/>
  <c r="P842" i="29" s="1"/>
  <c r="M842" i="29" a="1"/>
  <c r="D842" i="29"/>
  <c r="M841" i="29" a="1"/>
  <c r="M841" i="29" s="1"/>
  <c r="P841" i="29" s="1"/>
  <c r="D841" i="29"/>
  <c r="M840" i="29" a="1"/>
  <c r="M840" i="29" s="1"/>
  <c r="P840" i="29" s="1"/>
  <c r="D840" i="29"/>
  <c r="M839" i="29"/>
  <c r="P839" i="29" s="1"/>
  <c r="M839" i="29" a="1"/>
  <c r="D839" i="29"/>
  <c r="M838" i="29" a="1"/>
  <c r="M838" i="29" s="1"/>
  <c r="P838" i="29" s="1"/>
  <c r="D838" i="29"/>
  <c r="M837" i="29" a="1"/>
  <c r="M837" i="29" s="1"/>
  <c r="P837" i="29" s="1"/>
  <c r="D837" i="29"/>
  <c r="M836" i="29" a="1"/>
  <c r="M836" i="29" s="1"/>
  <c r="P836" i="29" s="1"/>
  <c r="D836" i="29"/>
  <c r="M835" i="29" a="1"/>
  <c r="M835" i="29" s="1"/>
  <c r="P835" i="29" s="1"/>
  <c r="D835" i="29"/>
  <c r="M834" i="29" a="1"/>
  <c r="M834" i="29" s="1"/>
  <c r="P834" i="29" s="1"/>
  <c r="D834" i="29"/>
  <c r="M833" i="29" a="1"/>
  <c r="M833" i="29" s="1"/>
  <c r="P833" i="29" s="1"/>
  <c r="D833" i="29"/>
  <c r="M832" i="29" a="1"/>
  <c r="M832" i="29"/>
  <c r="P832" i="29" s="1"/>
  <c r="D832" i="29"/>
  <c r="M831" i="29" a="1"/>
  <c r="M831" i="29" s="1"/>
  <c r="P831" i="29" s="1"/>
  <c r="D831" i="29"/>
  <c r="M830" i="29" a="1"/>
  <c r="M830" i="29" s="1"/>
  <c r="P830" i="29" s="1"/>
  <c r="D830" i="29"/>
  <c r="M829" i="29" a="1"/>
  <c r="M829" i="29" s="1"/>
  <c r="P829" i="29" s="1"/>
  <c r="D829" i="29"/>
  <c r="M828" i="29" a="1"/>
  <c r="M828" i="29" s="1"/>
  <c r="P828" i="29" s="1"/>
  <c r="D828" i="29"/>
  <c r="M827" i="29"/>
  <c r="P827" i="29" s="1"/>
  <c r="M827" i="29" a="1"/>
  <c r="D827" i="29"/>
  <c r="M826" i="29"/>
  <c r="P826" i="29" s="1"/>
  <c r="M826" i="29" a="1"/>
  <c r="D826" i="29"/>
  <c r="M825" i="29" a="1"/>
  <c r="M825" i="29" s="1"/>
  <c r="P825" i="29" s="1"/>
  <c r="D825" i="29"/>
  <c r="M824" i="29" a="1"/>
  <c r="M824" i="29" s="1"/>
  <c r="P824" i="29" s="1"/>
  <c r="D824" i="29"/>
  <c r="P823" i="29"/>
  <c r="M823" i="29"/>
  <c r="M823" i="29" a="1"/>
  <c r="D823" i="29"/>
  <c r="M822" i="29"/>
  <c r="P822" i="29" s="1"/>
  <c r="M822" i="29" a="1"/>
  <c r="D822" i="29"/>
  <c r="M821" i="29" a="1"/>
  <c r="M821" i="29" s="1"/>
  <c r="P821" i="29" s="1"/>
  <c r="D821" i="29"/>
  <c r="M820" i="29" a="1"/>
  <c r="M820" i="29" s="1"/>
  <c r="P820" i="29" s="1"/>
  <c r="D820" i="29"/>
  <c r="M819" i="29" a="1"/>
  <c r="M819" i="29" s="1"/>
  <c r="P819" i="29" s="1"/>
  <c r="D819" i="29"/>
  <c r="M818" i="29" a="1"/>
  <c r="M818" i="29" s="1"/>
  <c r="P818" i="29" s="1"/>
  <c r="D818" i="29"/>
  <c r="M817" i="29" a="1"/>
  <c r="M817" i="29" s="1"/>
  <c r="P817" i="29" s="1"/>
  <c r="D817" i="29"/>
  <c r="M816" i="29" a="1"/>
  <c r="M816" i="29" s="1"/>
  <c r="P816" i="29" s="1"/>
  <c r="D816" i="29"/>
  <c r="M815" i="29" a="1"/>
  <c r="M815" i="29" s="1"/>
  <c r="P815" i="29" s="1"/>
  <c r="D815" i="29"/>
  <c r="P814" i="29"/>
  <c r="M814" i="29" a="1"/>
  <c r="M814" i="29"/>
  <c r="D814" i="29"/>
  <c r="M813" i="29" a="1"/>
  <c r="M813" i="29" s="1"/>
  <c r="P813" i="29" s="1"/>
  <c r="D813" i="29"/>
  <c r="M812" i="29" a="1"/>
  <c r="M812" i="29" s="1"/>
  <c r="P812" i="29" s="1"/>
  <c r="D812" i="29"/>
  <c r="P811" i="29"/>
  <c r="M811" i="29"/>
  <c r="M811" i="29" a="1"/>
  <c r="D811" i="29"/>
  <c r="M810" i="29"/>
  <c r="P810" i="29" s="1"/>
  <c r="M810" i="29" a="1"/>
  <c r="D810" i="29"/>
  <c r="M809" i="29" a="1"/>
  <c r="M809" i="29"/>
  <c r="P809" i="29" s="1"/>
  <c r="D809" i="29"/>
  <c r="M808" i="29" a="1"/>
  <c r="M808" i="29" s="1"/>
  <c r="P808" i="29" s="1"/>
  <c r="D808" i="29"/>
  <c r="M807" i="29"/>
  <c r="P807" i="29" s="1"/>
  <c r="M807" i="29" a="1"/>
  <c r="D807" i="29"/>
  <c r="M806" i="29" a="1"/>
  <c r="M806" i="29" s="1"/>
  <c r="P806" i="29" s="1"/>
  <c r="D806" i="29"/>
  <c r="M805" i="29" a="1"/>
  <c r="M805" i="29" s="1"/>
  <c r="P805" i="29" s="1"/>
  <c r="D805" i="29"/>
  <c r="M804" i="29" a="1"/>
  <c r="M804" i="29" s="1"/>
  <c r="P804" i="29" s="1"/>
  <c r="D804" i="29"/>
  <c r="P803" i="29"/>
  <c r="M803" i="29"/>
  <c r="M803" i="29" a="1"/>
  <c r="D803" i="29"/>
  <c r="M802" i="29" a="1"/>
  <c r="M802" i="29" s="1"/>
  <c r="P802" i="29" s="1"/>
  <c r="D802" i="29"/>
  <c r="M801" i="29" a="1"/>
  <c r="M801" i="29" s="1"/>
  <c r="P801" i="29" s="1"/>
  <c r="D801" i="29"/>
  <c r="M800" i="29" a="1"/>
  <c r="M800" i="29"/>
  <c r="P800" i="29" s="1"/>
  <c r="D800" i="29"/>
  <c r="M799" i="29" a="1"/>
  <c r="M799" i="29" s="1"/>
  <c r="P799" i="29" s="1"/>
  <c r="D799" i="29"/>
  <c r="M798" i="29" a="1"/>
  <c r="M798" i="29" s="1"/>
  <c r="P798" i="29" s="1"/>
  <c r="D798" i="29"/>
  <c r="M797" i="29" a="1"/>
  <c r="M797" i="29" s="1"/>
  <c r="P797" i="29" s="1"/>
  <c r="D797" i="29"/>
  <c r="M796" i="29" a="1"/>
  <c r="M796" i="29" s="1"/>
  <c r="P796" i="29" s="1"/>
  <c r="D796" i="29"/>
  <c r="M795" i="29" a="1"/>
  <c r="M795" i="29" s="1"/>
  <c r="P795" i="29" s="1"/>
  <c r="D795" i="29"/>
  <c r="M794" i="29" a="1"/>
  <c r="M794" i="29" s="1"/>
  <c r="P794" i="29" s="1"/>
  <c r="D794" i="29"/>
  <c r="M793" i="29" a="1"/>
  <c r="M793" i="29" s="1"/>
  <c r="P793" i="29" s="1"/>
  <c r="D793" i="29"/>
  <c r="M792" i="29" a="1"/>
  <c r="M792" i="29" s="1"/>
  <c r="P792" i="29" s="1"/>
  <c r="D792" i="29"/>
  <c r="M791" i="29"/>
  <c r="P791" i="29" s="1"/>
  <c r="M791" i="29" a="1"/>
  <c r="D791" i="29"/>
  <c r="M790" i="29"/>
  <c r="P790" i="29" s="1"/>
  <c r="M790" i="29" a="1"/>
  <c r="D790" i="29"/>
  <c r="M789" i="29" a="1"/>
  <c r="M789" i="29" s="1"/>
  <c r="P789" i="29" s="1"/>
  <c r="D789" i="29"/>
  <c r="M788" i="29" a="1"/>
  <c r="M788" i="29" s="1"/>
  <c r="P788" i="29" s="1"/>
  <c r="D788" i="29"/>
  <c r="M787" i="29" a="1"/>
  <c r="M787" i="29" s="1"/>
  <c r="P787" i="29" s="1"/>
  <c r="D787" i="29"/>
  <c r="M786" i="29" a="1"/>
  <c r="M786" i="29" s="1"/>
  <c r="P786" i="29" s="1"/>
  <c r="D786" i="29"/>
  <c r="M785" i="29" a="1"/>
  <c r="M785" i="29" s="1"/>
  <c r="P785" i="29" s="1"/>
  <c r="D785" i="29"/>
  <c r="M784" i="29" a="1"/>
  <c r="M784" i="29" s="1"/>
  <c r="P784" i="29" s="1"/>
  <c r="D784" i="29"/>
  <c r="M783" i="29" a="1"/>
  <c r="M783" i="29" s="1"/>
  <c r="P783" i="29" s="1"/>
  <c r="D783" i="29"/>
  <c r="M782" i="29" a="1"/>
  <c r="M782" i="29" s="1"/>
  <c r="P782" i="29" s="1"/>
  <c r="D782" i="29"/>
  <c r="M781" i="29" a="1"/>
  <c r="M781" i="29" s="1"/>
  <c r="P781" i="29" s="1"/>
  <c r="D781" i="29"/>
  <c r="M780" i="29" a="1"/>
  <c r="M780" i="29" s="1"/>
  <c r="P780" i="29" s="1"/>
  <c r="D780" i="29"/>
  <c r="M779" i="29" a="1"/>
  <c r="M779" i="29" s="1"/>
  <c r="P779" i="29" s="1"/>
  <c r="D779" i="29"/>
  <c r="M778" i="29" a="1"/>
  <c r="M778" i="29" s="1"/>
  <c r="P778" i="29" s="1"/>
  <c r="D778" i="29"/>
  <c r="M777" i="29" a="1"/>
  <c r="M777" i="29" s="1"/>
  <c r="P777" i="29" s="1"/>
  <c r="D777" i="29"/>
  <c r="M776" i="29" a="1"/>
  <c r="M776" i="29" s="1"/>
  <c r="P776" i="29" s="1"/>
  <c r="D776" i="29"/>
  <c r="M775" i="29"/>
  <c r="P775" i="29" s="1"/>
  <c r="M775" i="29" a="1"/>
  <c r="D775" i="29"/>
  <c r="M774" i="29"/>
  <c r="P774" i="29" s="1"/>
  <c r="M774" i="29" a="1"/>
  <c r="D774" i="29"/>
  <c r="M773" i="29" a="1"/>
  <c r="M773" i="29" s="1"/>
  <c r="P773" i="29" s="1"/>
  <c r="D773" i="29"/>
  <c r="M772" i="29" a="1"/>
  <c r="M772" i="29" s="1"/>
  <c r="P772" i="29" s="1"/>
  <c r="D772" i="29"/>
  <c r="M771" i="29" a="1"/>
  <c r="M771" i="29" s="1"/>
  <c r="P771" i="29" s="1"/>
  <c r="D771" i="29"/>
  <c r="M770" i="29" a="1"/>
  <c r="M770" i="29" s="1"/>
  <c r="P770" i="29" s="1"/>
  <c r="D770" i="29"/>
  <c r="M769" i="29" a="1"/>
  <c r="M769" i="29" s="1"/>
  <c r="P769" i="29" s="1"/>
  <c r="D769" i="29"/>
  <c r="M768" i="29" a="1"/>
  <c r="M768" i="29" s="1"/>
  <c r="P768" i="29" s="1"/>
  <c r="D768" i="29"/>
  <c r="M767" i="29" a="1"/>
  <c r="M767" i="29" s="1"/>
  <c r="P767" i="29" s="1"/>
  <c r="D767" i="29"/>
  <c r="M766" i="29" a="1"/>
  <c r="M766" i="29" s="1"/>
  <c r="P766" i="29" s="1"/>
  <c r="D766" i="29"/>
  <c r="M765" i="29" a="1"/>
  <c r="M765" i="29" s="1"/>
  <c r="P765" i="29" s="1"/>
  <c r="D765" i="29"/>
  <c r="M764" i="29" a="1"/>
  <c r="M764" i="29" s="1"/>
  <c r="P764" i="29" s="1"/>
  <c r="D764" i="29"/>
  <c r="M763" i="29" a="1"/>
  <c r="M763" i="29" s="1"/>
  <c r="P763" i="29" s="1"/>
  <c r="D763" i="29"/>
  <c r="M762" i="29"/>
  <c r="P762" i="29" s="1"/>
  <c r="M762" i="29" a="1"/>
  <c r="D762" i="29"/>
  <c r="M761" i="29" a="1"/>
  <c r="M761" i="29" s="1"/>
  <c r="P761" i="29" s="1"/>
  <c r="D761" i="29"/>
  <c r="M760" i="29" a="1"/>
  <c r="M760" i="29" s="1"/>
  <c r="P760" i="29" s="1"/>
  <c r="D760" i="29"/>
  <c r="M759" i="29" a="1"/>
  <c r="M759" i="29" s="1"/>
  <c r="P759" i="29" s="1"/>
  <c r="D759" i="29"/>
  <c r="M758" i="29"/>
  <c r="P758" i="29" s="1"/>
  <c r="M758" i="29" a="1"/>
  <c r="D758" i="29"/>
  <c r="M757" i="29" a="1"/>
  <c r="M757" i="29" s="1"/>
  <c r="P757" i="29" s="1"/>
  <c r="D757" i="29"/>
  <c r="M756" i="29" a="1"/>
  <c r="M756" i="29" s="1"/>
  <c r="P756" i="29" s="1"/>
  <c r="D756" i="29"/>
  <c r="M755" i="29" a="1"/>
  <c r="M755" i="29" s="1"/>
  <c r="P755" i="29" s="1"/>
  <c r="D755" i="29"/>
  <c r="M754" i="29" a="1"/>
  <c r="M754" i="29" s="1"/>
  <c r="P754" i="29" s="1"/>
  <c r="D754" i="29"/>
  <c r="M753" i="29" a="1"/>
  <c r="M753" i="29" s="1"/>
  <c r="P753" i="29" s="1"/>
  <c r="D753" i="29"/>
  <c r="M752" i="29" a="1"/>
  <c r="M752" i="29" s="1"/>
  <c r="P752" i="29" s="1"/>
  <c r="D752" i="29"/>
  <c r="P751" i="29"/>
  <c r="M751" i="29" a="1"/>
  <c r="M751" i="29"/>
  <c r="D751" i="29"/>
  <c r="M750" i="29" a="1"/>
  <c r="M750" i="29" s="1"/>
  <c r="P750" i="29" s="1"/>
  <c r="D750" i="29"/>
  <c r="M749" i="29" a="1"/>
  <c r="M749" i="29" s="1"/>
  <c r="P749" i="29" s="1"/>
  <c r="D749" i="29"/>
  <c r="M748" i="29" a="1"/>
  <c r="M748" i="29" s="1"/>
  <c r="P748" i="29" s="1"/>
  <c r="D748" i="29"/>
  <c r="M747" i="29"/>
  <c r="P747" i="29" s="1"/>
  <c r="M747" i="29" a="1"/>
  <c r="D747" i="29"/>
  <c r="M746" i="29" a="1"/>
  <c r="M746" i="29" s="1"/>
  <c r="P746" i="29" s="1"/>
  <c r="D746" i="29"/>
  <c r="M745" i="29" a="1"/>
  <c r="M745" i="29" s="1"/>
  <c r="P745" i="29" s="1"/>
  <c r="D745" i="29"/>
  <c r="M744" i="29" a="1"/>
  <c r="M744" i="29" s="1"/>
  <c r="P744" i="29" s="1"/>
  <c r="D744" i="29"/>
  <c r="M743" i="29" a="1"/>
  <c r="M743" i="29" s="1"/>
  <c r="P743" i="29" s="1"/>
  <c r="D743" i="29"/>
  <c r="M742" i="29"/>
  <c r="P742" i="29" s="1"/>
  <c r="M742" i="29" a="1"/>
  <c r="D742" i="29"/>
  <c r="M741" i="29" a="1"/>
  <c r="M741" i="29" s="1"/>
  <c r="P741" i="29" s="1"/>
  <c r="D741" i="29"/>
  <c r="M740" i="29" a="1"/>
  <c r="M740" i="29" s="1"/>
  <c r="P740" i="29" s="1"/>
  <c r="D740" i="29"/>
  <c r="P739" i="29"/>
  <c r="M739" i="29" a="1"/>
  <c r="M739" i="29"/>
  <c r="D739" i="29"/>
  <c r="M738" i="29" a="1"/>
  <c r="M738" i="29" s="1"/>
  <c r="P738" i="29" s="1"/>
  <c r="D738" i="29"/>
  <c r="M737" i="29" a="1"/>
  <c r="M737" i="29" s="1"/>
  <c r="P737" i="29" s="1"/>
  <c r="D737" i="29"/>
  <c r="M736" i="29" a="1"/>
  <c r="M736" i="29"/>
  <c r="P736" i="29" s="1"/>
  <c r="D736" i="29"/>
  <c r="M735" i="29" a="1"/>
  <c r="M735" i="29" s="1"/>
  <c r="P735" i="29" s="1"/>
  <c r="D735" i="29"/>
  <c r="M734" i="29" a="1"/>
  <c r="M734" i="29" s="1"/>
  <c r="P734" i="29" s="1"/>
  <c r="D734" i="29"/>
  <c r="M733" i="29" a="1"/>
  <c r="M733" i="29"/>
  <c r="P733" i="29" s="1"/>
  <c r="D733" i="29"/>
  <c r="M732" i="29" a="1"/>
  <c r="M732" i="29" s="1"/>
  <c r="P732" i="29" s="1"/>
  <c r="D732" i="29"/>
  <c r="M731" i="29" a="1"/>
  <c r="M731" i="29" s="1"/>
  <c r="P731" i="29" s="1"/>
  <c r="D731" i="29"/>
  <c r="M730" i="29"/>
  <c r="P730" i="29" s="1"/>
  <c r="M730" i="29" a="1"/>
  <c r="D730" i="29"/>
  <c r="M729" i="29" a="1"/>
  <c r="M729" i="29" s="1"/>
  <c r="P729" i="29" s="1"/>
  <c r="D729" i="29"/>
  <c r="M728" i="29" a="1"/>
  <c r="M728" i="29" s="1"/>
  <c r="P728" i="29" s="1"/>
  <c r="D728" i="29"/>
  <c r="M727" i="29" a="1"/>
  <c r="M727" i="29" s="1"/>
  <c r="P727" i="29" s="1"/>
  <c r="D727" i="29"/>
  <c r="M726" i="29" a="1"/>
  <c r="M726" i="29" s="1"/>
  <c r="P726" i="29" s="1"/>
  <c r="D726" i="29"/>
  <c r="M725" i="29" a="1"/>
  <c r="M725" i="29" s="1"/>
  <c r="P725" i="29" s="1"/>
  <c r="D725" i="29"/>
  <c r="M724" i="29" a="1"/>
  <c r="M724" i="29" s="1"/>
  <c r="P724" i="29" s="1"/>
  <c r="D724" i="29"/>
  <c r="M723" i="29" a="1"/>
  <c r="M723" i="29" s="1"/>
  <c r="P723" i="29" s="1"/>
  <c r="D723" i="29"/>
  <c r="M722" i="29" a="1"/>
  <c r="M722" i="29" s="1"/>
  <c r="P722" i="29" s="1"/>
  <c r="D722" i="29"/>
  <c r="M721" i="29" a="1"/>
  <c r="M721" i="29" s="1"/>
  <c r="P721" i="29" s="1"/>
  <c r="D721" i="29"/>
  <c r="M720" i="29" a="1"/>
  <c r="M720" i="29" s="1"/>
  <c r="P720" i="29" s="1"/>
  <c r="D720" i="29"/>
  <c r="M719" i="29" a="1"/>
  <c r="M719" i="29" s="1"/>
  <c r="P719" i="29" s="1"/>
  <c r="D719" i="29"/>
  <c r="M718" i="29"/>
  <c r="P718" i="29" s="1"/>
  <c r="M718" i="29" a="1"/>
  <c r="D718" i="29"/>
  <c r="M717" i="29" a="1"/>
  <c r="M717" i="29" s="1"/>
  <c r="P717" i="29" s="1"/>
  <c r="D717" i="29"/>
  <c r="M716" i="29" a="1"/>
  <c r="M716" i="29" s="1"/>
  <c r="P716" i="29" s="1"/>
  <c r="D716" i="29"/>
  <c r="M715" i="29" a="1"/>
  <c r="M715" i="29" s="1"/>
  <c r="P715" i="29" s="1"/>
  <c r="D715" i="29"/>
  <c r="M714" i="29"/>
  <c r="P714" i="29" s="1"/>
  <c r="M714" i="29" a="1"/>
  <c r="D714" i="29"/>
  <c r="M713" i="29" a="1"/>
  <c r="M713" i="29" s="1"/>
  <c r="P713" i="29" s="1"/>
  <c r="D713" i="29"/>
  <c r="M712" i="29" a="1"/>
  <c r="M712" i="29" s="1"/>
  <c r="P712" i="29" s="1"/>
  <c r="D712" i="29"/>
  <c r="M711" i="29" a="1"/>
  <c r="M711" i="29" s="1"/>
  <c r="P711" i="29" s="1"/>
  <c r="D711" i="29"/>
  <c r="M710" i="29"/>
  <c r="P710" i="29" s="1"/>
  <c r="M710" i="29" a="1"/>
  <c r="D710" i="29"/>
  <c r="M709" i="29" a="1"/>
  <c r="M709" i="29"/>
  <c r="P709" i="29" s="1"/>
  <c r="D709" i="29"/>
  <c r="M708" i="29" a="1"/>
  <c r="M708" i="29" s="1"/>
  <c r="P708" i="29" s="1"/>
  <c r="D708" i="29"/>
  <c r="P707" i="29"/>
  <c r="M707" i="29" a="1"/>
  <c r="M707" i="29"/>
  <c r="D707" i="29"/>
  <c r="M706" i="29" a="1"/>
  <c r="M706" i="29" s="1"/>
  <c r="P706" i="29" s="1"/>
  <c r="D706" i="29"/>
  <c r="M705" i="29" a="1"/>
  <c r="M705" i="29" s="1"/>
  <c r="P705" i="29" s="1"/>
  <c r="D705" i="29"/>
  <c r="M704" i="29" a="1"/>
  <c r="M704" i="29" s="1"/>
  <c r="P704" i="29" s="1"/>
  <c r="D704" i="29"/>
  <c r="M703" i="29" a="1"/>
  <c r="M703" i="29" s="1"/>
  <c r="P703" i="29" s="1"/>
  <c r="D703" i="29"/>
  <c r="M702" i="29"/>
  <c r="P702" i="29" s="1"/>
  <c r="M702" i="29" a="1"/>
  <c r="D702" i="29"/>
  <c r="M701" i="29" a="1"/>
  <c r="M701" i="29" s="1"/>
  <c r="P701" i="29" s="1"/>
  <c r="D701" i="29"/>
  <c r="M700" i="29" a="1"/>
  <c r="M700" i="29" s="1"/>
  <c r="P700" i="29" s="1"/>
  <c r="D700" i="29"/>
  <c r="M699" i="29"/>
  <c r="P699" i="29" s="1"/>
  <c r="M699" i="29" a="1"/>
  <c r="D699" i="29"/>
  <c r="M698" i="29"/>
  <c r="P698" i="29" s="1"/>
  <c r="M698" i="29" a="1"/>
  <c r="D698" i="29"/>
  <c r="M697" i="29" a="1"/>
  <c r="M697" i="29" s="1"/>
  <c r="P697" i="29" s="1"/>
  <c r="D697" i="29"/>
  <c r="M696" i="29" a="1"/>
  <c r="M696" i="29" s="1"/>
  <c r="P696" i="29" s="1"/>
  <c r="D696" i="29"/>
  <c r="M695" i="29" a="1"/>
  <c r="M695" i="29" s="1"/>
  <c r="P695" i="29" s="1"/>
  <c r="D695" i="29"/>
  <c r="M694" i="29" a="1"/>
  <c r="M694" i="29" s="1"/>
  <c r="P694" i="29" s="1"/>
  <c r="D694" i="29"/>
  <c r="M693" i="29" a="1"/>
  <c r="M693" i="29" s="1"/>
  <c r="P693" i="29" s="1"/>
  <c r="D693" i="29"/>
  <c r="M692" i="29" a="1"/>
  <c r="M692" i="29" s="1"/>
  <c r="P692" i="29" s="1"/>
  <c r="D692" i="29"/>
  <c r="P691" i="29"/>
  <c r="M691" i="29" a="1"/>
  <c r="M691" i="29"/>
  <c r="D691" i="29"/>
  <c r="M690" i="29" a="1"/>
  <c r="M690" i="29" s="1"/>
  <c r="P690" i="29" s="1"/>
  <c r="D690" i="29"/>
  <c r="M689" i="29" a="1"/>
  <c r="M689" i="29" s="1"/>
  <c r="P689" i="29" s="1"/>
  <c r="D689" i="29"/>
  <c r="M688" i="29" a="1"/>
  <c r="M688" i="29" s="1"/>
  <c r="P688" i="29" s="1"/>
  <c r="D688" i="29"/>
  <c r="M687" i="29" a="1"/>
  <c r="M687" i="29" s="1"/>
  <c r="P687" i="29" s="1"/>
  <c r="D687" i="29"/>
  <c r="M686" i="29" a="1"/>
  <c r="M686" i="29" s="1"/>
  <c r="P686" i="29" s="1"/>
  <c r="D686" i="29"/>
  <c r="M685" i="29" a="1"/>
  <c r="M685" i="29" s="1"/>
  <c r="P685" i="29" s="1"/>
  <c r="D685" i="29"/>
  <c r="M684" i="29" a="1"/>
  <c r="M684" i="29" s="1"/>
  <c r="P684" i="29" s="1"/>
  <c r="D684" i="29"/>
  <c r="M683" i="29" a="1"/>
  <c r="M683" i="29" s="1"/>
  <c r="P683" i="29" s="1"/>
  <c r="D683" i="29"/>
  <c r="M682" i="29" a="1"/>
  <c r="M682" i="29" s="1"/>
  <c r="P682" i="29" s="1"/>
  <c r="D682" i="29"/>
  <c r="M681" i="29" a="1"/>
  <c r="M681" i="29" s="1"/>
  <c r="P681" i="29" s="1"/>
  <c r="D681" i="29"/>
  <c r="M680" i="29" a="1"/>
  <c r="M680" i="29" s="1"/>
  <c r="P680" i="29" s="1"/>
  <c r="D680" i="29"/>
  <c r="M679" i="29" a="1"/>
  <c r="M679" i="29" s="1"/>
  <c r="P679" i="29" s="1"/>
  <c r="D679" i="29"/>
  <c r="M678" i="29" a="1"/>
  <c r="M678" i="29" s="1"/>
  <c r="P678" i="29" s="1"/>
  <c r="D678" i="29"/>
  <c r="M677" i="29" a="1"/>
  <c r="M677" i="29" s="1"/>
  <c r="P677" i="29" s="1"/>
  <c r="D677" i="29"/>
  <c r="M676" i="29" a="1"/>
  <c r="M676" i="29" s="1"/>
  <c r="P676" i="29" s="1"/>
  <c r="D676" i="29"/>
  <c r="M675" i="29" a="1"/>
  <c r="M675" i="29" s="1"/>
  <c r="P675" i="29" s="1"/>
  <c r="D675" i="29"/>
  <c r="M674" i="29" a="1"/>
  <c r="M674" i="29" s="1"/>
  <c r="P674" i="29" s="1"/>
  <c r="D674" i="29"/>
  <c r="M673" i="29" a="1"/>
  <c r="M673" i="29" s="1"/>
  <c r="P673" i="29" s="1"/>
  <c r="D673" i="29"/>
  <c r="M672" i="29" a="1"/>
  <c r="M672" i="29" s="1"/>
  <c r="P672" i="29" s="1"/>
  <c r="D672" i="29"/>
  <c r="M671" i="29" a="1"/>
  <c r="M671" i="29" s="1"/>
  <c r="P671" i="29" s="1"/>
  <c r="D671" i="29"/>
  <c r="M670" i="29"/>
  <c r="P670" i="29" s="1"/>
  <c r="M670" i="29" a="1"/>
  <c r="D670" i="29"/>
  <c r="M669" i="29" a="1"/>
  <c r="M669" i="29" s="1"/>
  <c r="P669" i="29" s="1"/>
  <c r="D669" i="29"/>
  <c r="M668" i="29" a="1"/>
  <c r="M668" i="29" s="1"/>
  <c r="P668" i="29" s="1"/>
  <c r="D668" i="29"/>
  <c r="M667" i="29"/>
  <c r="P667" i="29" s="1"/>
  <c r="M667" i="29" a="1"/>
  <c r="D667" i="29"/>
  <c r="M666" i="29"/>
  <c r="P666" i="29" s="1"/>
  <c r="M666" i="29" a="1"/>
  <c r="D666" i="29"/>
  <c r="M665" i="29" a="1"/>
  <c r="M665" i="29" s="1"/>
  <c r="P665" i="29" s="1"/>
  <c r="D665" i="29"/>
  <c r="M664" i="29" a="1"/>
  <c r="M664" i="29" s="1"/>
  <c r="P664" i="29" s="1"/>
  <c r="D664" i="29"/>
  <c r="M663" i="29" a="1"/>
  <c r="M663" i="29" s="1"/>
  <c r="P663" i="29" s="1"/>
  <c r="D663" i="29"/>
  <c r="M662" i="29"/>
  <c r="P662" i="29" s="1"/>
  <c r="M662" i="29" a="1"/>
  <c r="D662" i="29"/>
  <c r="M661" i="29" a="1"/>
  <c r="M661" i="29" s="1"/>
  <c r="P661" i="29" s="1"/>
  <c r="D661" i="29"/>
  <c r="M660" i="29" a="1"/>
  <c r="M660" i="29" s="1"/>
  <c r="P660" i="29" s="1"/>
  <c r="D660" i="29"/>
  <c r="M659" i="29" a="1"/>
  <c r="M659" i="29" s="1"/>
  <c r="P659" i="29" s="1"/>
  <c r="D659" i="29"/>
  <c r="M658" i="29" a="1"/>
  <c r="M658" i="29" s="1"/>
  <c r="P658" i="29" s="1"/>
  <c r="D658" i="29"/>
  <c r="M657" i="29" a="1"/>
  <c r="M657" i="29" s="1"/>
  <c r="P657" i="29" s="1"/>
  <c r="D657" i="29"/>
  <c r="M656" i="29" a="1"/>
  <c r="M656" i="29" s="1"/>
  <c r="P656" i="29" s="1"/>
  <c r="D656" i="29"/>
  <c r="M655" i="29" a="1"/>
  <c r="M655" i="29" s="1"/>
  <c r="P655" i="29" s="1"/>
  <c r="D655" i="29"/>
  <c r="M654" i="29"/>
  <c r="P654" i="29" s="1"/>
  <c r="M654" i="29" a="1"/>
  <c r="D654" i="29"/>
  <c r="M653" i="29" a="1"/>
  <c r="M653" i="29" s="1"/>
  <c r="P653" i="29" s="1"/>
  <c r="D653" i="29"/>
  <c r="M652" i="29" a="1"/>
  <c r="M652" i="29" s="1"/>
  <c r="P652" i="29" s="1"/>
  <c r="D652" i="29"/>
  <c r="M651" i="29" a="1"/>
  <c r="M651" i="29" s="1"/>
  <c r="P651" i="29" s="1"/>
  <c r="D651" i="29"/>
  <c r="M650" i="29"/>
  <c r="P650" i="29" s="1"/>
  <c r="M650" i="29" a="1"/>
  <c r="D650" i="29"/>
  <c r="M649" i="29" a="1"/>
  <c r="M649" i="29" s="1"/>
  <c r="P649" i="29" s="1"/>
  <c r="D649" i="29"/>
  <c r="M648" i="29" a="1"/>
  <c r="M648" i="29" s="1"/>
  <c r="P648" i="29" s="1"/>
  <c r="D648" i="29"/>
  <c r="M647" i="29"/>
  <c r="P647" i="29" s="1"/>
  <c r="M647" i="29" a="1"/>
  <c r="D647" i="29"/>
  <c r="M646" i="29" a="1"/>
  <c r="M646" i="29" s="1"/>
  <c r="P646" i="29" s="1"/>
  <c r="D646" i="29"/>
  <c r="M645" i="29" a="1"/>
  <c r="M645" i="29" s="1"/>
  <c r="P645" i="29" s="1"/>
  <c r="D645" i="29"/>
  <c r="M644" i="29" a="1"/>
  <c r="M644" i="29" s="1"/>
  <c r="P644" i="29" s="1"/>
  <c r="D644" i="29"/>
  <c r="M643" i="29"/>
  <c r="P643" i="29" s="1"/>
  <c r="M643" i="29" a="1"/>
  <c r="D643" i="29"/>
  <c r="M642" i="29" a="1"/>
  <c r="M642" i="29" s="1"/>
  <c r="P642" i="29" s="1"/>
  <c r="D642" i="29"/>
  <c r="M641" i="29"/>
  <c r="P641" i="29" s="1"/>
  <c r="M641" i="29" a="1"/>
  <c r="D641" i="29"/>
  <c r="M640" i="29" a="1"/>
  <c r="M640" i="29"/>
  <c r="P640" i="29" s="1"/>
  <c r="D640" i="29"/>
  <c r="M639" i="29" a="1"/>
  <c r="M639" i="29" s="1"/>
  <c r="P639" i="29" s="1"/>
  <c r="D639" i="29"/>
  <c r="M638" i="29" a="1"/>
  <c r="M638" i="29" s="1"/>
  <c r="P638" i="29" s="1"/>
  <c r="D638" i="29"/>
  <c r="M637" i="29" a="1"/>
  <c r="M637" i="29"/>
  <c r="P637" i="29" s="1"/>
  <c r="D637" i="29"/>
  <c r="M636" i="29" a="1"/>
  <c r="M636" i="29"/>
  <c r="P636" i="29" s="1"/>
  <c r="D636" i="29"/>
  <c r="M635" i="29" a="1"/>
  <c r="M635" i="29" s="1"/>
  <c r="P635" i="29" s="1"/>
  <c r="D635" i="29"/>
  <c r="M634" i="29"/>
  <c r="P634" i="29" s="1"/>
  <c r="M634" i="29" a="1"/>
  <c r="D634" i="29"/>
  <c r="P633" i="29"/>
  <c r="M633" i="29" a="1"/>
  <c r="M633" i="29" s="1"/>
  <c r="D633" i="29"/>
  <c r="M632" i="29"/>
  <c r="P632" i="29" s="1"/>
  <c r="M632" i="29" a="1"/>
  <c r="D632" i="29"/>
  <c r="M631" i="29"/>
  <c r="P631" i="29" s="1"/>
  <c r="M631" i="29" a="1"/>
  <c r="D631" i="29"/>
  <c r="M630" i="29" a="1"/>
  <c r="M630" i="29"/>
  <c r="P630" i="29" s="1"/>
  <c r="D630" i="29"/>
  <c r="M629" i="29" a="1"/>
  <c r="M629" i="29"/>
  <c r="P629" i="29" s="1"/>
  <c r="D629" i="29"/>
  <c r="M628" i="29" a="1"/>
  <c r="M628" i="29"/>
  <c r="P628" i="29" s="1"/>
  <c r="D628" i="29"/>
  <c r="M627" i="29"/>
  <c r="P627" i="29" s="1"/>
  <c r="M627" i="29" a="1"/>
  <c r="D627" i="29"/>
  <c r="M626" i="29" a="1"/>
  <c r="M626" i="29" s="1"/>
  <c r="P626" i="29" s="1"/>
  <c r="D626" i="29"/>
  <c r="M625" i="29"/>
  <c r="P625" i="29" s="1"/>
  <c r="M625" i="29" a="1"/>
  <c r="D625" i="29"/>
  <c r="M624" i="29" a="1"/>
  <c r="M624" i="29" s="1"/>
  <c r="P624" i="29" s="1"/>
  <c r="D624" i="29"/>
  <c r="M623" i="29" a="1"/>
  <c r="M623" i="29"/>
  <c r="P623" i="29" s="1"/>
  <c r="D623" i="29"/>
  <c r="M622" i="29" a="1"/>
  <c r="M622" i="29" s="1"/>
  <c r="P622" i="29" s="1"/>
  <c r="D622" i="29"/>
  <c r="M621" i="29" a="1"/>
  <c r="M621" i="29" s="1"/>
  <c r="P621" i="29" s="1"/>
  <c r="D621" i="29"/>
  <c r="P620" i="29"/>
  <c r="M620" i="29" a="1"/>
  <c r="M620" i="29" s="1"/>
  <c r="D620" i="29"/>
  <c r="M619" i="29"/>
  <c r="P619" i="29" s="1"/>
  <c r="M619" i="29" a="1"/>
  <c r="D619" i="29"/>
  <c r="M618" i="29"/>
  <c r="P618" i="29" s="1"/>
  <c r="M618" i="29" a="1"/>
  <c r="D618" i="29"/>
  <c r="P617" i="29"/>
  <c r="M617" i="29" a="1"/>
  <c r="M617" i="29" s="1"/>
  <c r="D617" i="29"/>
  <c r="M616" i="29"/>
  <c r="P616" i="29" s="1"/>
  <c r="M616" i="29" a="1"/>
  <c r="D616" i="29"/>
  <c r="M615" i="29"/>
  <c r="P615" i="29"/>
  <c r="M615" i="29" a="1"/>
  <c r="D615" i="29"/>
  <c r="M614" i="29"/>
  <c r="P614" i="29"/>
  <c r="M614" i="29" a="1"/>
  <c r="D614" i="29"/>
  <c r="P613" i="29"/>
  <c r="M613" i="29" a="1"/>
  <c r="M613" i="29" s="1"/>
  <c r="D613" i="29"/>
  <c r="P612" i="29"/>
  <c r="M612" i="29" a="1"/>
  <c r="M612" i="29" s="1"/>
  <c r="D612" i="29"/>
  <c r="M611" i="29"/>
  <c r="P611" i="29" s="1"/>
  <c r="M611" i="29" a="1"/>
  <c r="D611" i="29"/>
  <c r="M610" i="29" a="1"/>
  <c r="M610" i="29" s="1"/>
  <c r="P610" i="29" s="1"/>
  <c r="D610" i="29"/>
  <c r="M609" i="29"/>
  <c r="P609" i="29" s="1"/>
  <c r="M609" i="29" a="1"/>
  <c r="D609" i="29"/>
  <c r="M608" i="29" a="1"/>
  <c r="M608" i="29" s="1"/>
  <c r="P608" i="29" s="1"/>
  <c r="D608" i="29"/>
  <c r="M607" i="29" a="1"/>
  <c r="M607" i="29"/>
  <c r="P607" i="29" s="1"/>
  <c r="D607" i="29"/>
  <c r="M606" i="29" a="1"/>
  <c r="M606" i="29"/>
  <c r="P606" i="29" s="1"/>
  <c r="D606" i="29"/>
  <c r="M605" i="29"/>
  <c r="P605" i="29" s="1"/>
  <c r="M605" i="29" a="1"/>
  <c r="D605" i="29"/>
  <c r="M604" i="29"/>
  <c r="P604" i="29" s="1"/>
  <c r="M604" i="29" a="1"/>
  <c r="D604" i="29"/>
  <c r="M603" i="29"/>
  <c r="P603" i="29" s="1"/>
  <c r="M603" i="29" a="1"/>
  <c r="D603" i="29"/>
  <c r="M602" i="29"/>
  <c r="P602" i="29" s="1"/>
  <c r="M602" i="29" a="1"/>
  <c r="D602" i="29"/>
  <c r="P601" i="29"/>
  <c r="M601" i="29" a="1"/>
  <c r="M601" i="29" s="1"/>
  <c r="D601" i="29"/>
  <c r="M600" i="29"/>
  <c r="P600" i="29" s="1"/>
  <c r="M600" i="29" a="1"/>
  <c r="D600" i="29"/>
  <c r="M599" i="29"/>
  <c r="P599" i="29"/>
  <c r="M599" i="29" a="1"/>
  <c r="D599" i="29"/>
  <c r="M598" i="29" a="1"/>
  <c r="M598" i="29"/>
  <c r="P598" i="29" s="1"/>
  <c r="D598" i="29"/>
  <c r="M597" i="29" a="1"/>
  <c r="M597" i="29" s="1"/>
  <c r="P597" i="29" s="1"/>
  <c r="D597" i="29"/>
  <c r="P596" i="29"/>
  <c r="M596" i="29" a="1"/>
  <c r="M596" i="29" s="1"/>
  <c r="D596" i="29"/>
  <c r="M595" i="29"/>
  <c r="P595" i="29" s="1"/>
  <c r="M595" i="29" a="1"/>
  <c r="D595" i="29"/>
  <c r="M594" i="29"/>
  <c r="P594" i="29" s="1"/>
  <c r="M594" i="29" a="1"/>
  <c r="D594" i="29"/>
  <c r="M593" i="29"/>
  <c r="P593" i="29" s="1"/>
  <c r="M593" i="29" a="1"/>
  <c r="D593" i="29"/>
  <c r="M592" i="29" a="1"/>
  <c r="M592" i="29" s="1"/>
  <c r="P592" i="29" s="1"/>
  <c r="D592" i="29"/>
  <c r="M591" i="29" a="1"/>
  <c r="M591" i="29"/>
  <c r="P591" i="29" s="1"/>
  <c r="D591" i="29"/>
  <c r="M590" i="29" a="1"/>
  <c r="M590" i="29"/>
  <c r="P590" i="29" s="1"/>
  <c r="D590" i="29"/>
  <c r="M589" i="29" a="1"/>
  <c r="M589" i="29"/>
  <c r="P589" i="29" s="1"/>
  <c r="D589" i="29"/>
  <c r="P588" i="29"/>
  <c r="M588" i="29" a="1"/>
  <c r="M588" i="29" s="1"/>
  <c r="D588" i="29"/>
  <c r="M587" i="29"/>
  <c r="P587" i="29"/>
  <c r="M587" i="29" a="1"/>
  <c r="D587" i="29"/>
  <c r="M586" i="29"/>
  <c r="P586" i="29" s="1"/>
  <c r="M586" i="29" a="1"/>
  <c r="D586" i="29"/>
  <c r="M585" i="29"/>
  <c r="P585" i="29" s="1"/>
  <c r="M585" i="29" a="1"/>
  <c r="D585" i="29"/>
  <c r="M584" i="29"/>
  <c r="P584" i="29" s="1"/>
  <c r="M584" i="29" a="1"/>
  <c r="D584" i="29"/>
  <c r="M583" i="29"/>
  <c r="P583" i="29"/>
  <c r="M583" i="29" a="1"/>
  <c r="D583" i="29"/>
  <c r="M582" i="29"/>
  <c r="P582" i="29"/>
  <c r="M582" i="29" a="1"/>
  <c r="D582" i="29"/>
  <c r="M581" i="29" a="1"/>
  <c r="M581" i="29" s="1"/>
  <c r="P581" i="29" s="1"/>
  <c r="D581" i="29"/>
  <c r="M580" i="29" a="1"/>
  <c r="M580" i="29"/>
  <c r="P580" i="29" s="1"/>
  <c r="D580" i="29"/>
  <c r="M579" i="29" a="1"/>
  <c r="M579" i="29"/>
  <c r="P579" i="29" s="1"/>
  <c r="D579" i="29"/>
  <c r="M578" i="29" a="1"/>
  <c r="M578" i="29"/>
  <c r="P578" i="29" s="1"/>
  <c r="D578" i="29"/>
  <c r="M577" i="29"/>
  <c r="P577" i="29" s="1"/>
  <c r="M577" i="29" a="1"/>
  <c r="D577" i="29"/>
  <c r="M576" i="29" a="1"/>
  <c r="M576" i="29"/>
  <c r="P576" i="29" s="1"/>
  <c r="D576" i="29"/>
  <c r="M575" i="29" a="1"/>
  <c r="M575" i="29"/>
  <c r="P575" i="29" s="1"/>
  <c r="D575" i="29"/>
  <c r="M574" i="29" a="1"/>
  <c r="M574" i="29" s="1"/>
  <c r="P574" i="29" s="1"/>
  <c r="D574" i="29"/>
  <c r="M573" i="29" a="1"/>
  <c r="M573" i="29"/>
  <c r="P573" i="29" s="1"/>
  <c r="D573" i="29"/>
  <c r="M572" i="29" a="1"/>
  <c r="M572" i="29"/>
  <c r="P572" i="29" s="1"/>
  <c r="D572" i="29"/>
  <c r="M571" i="29"/>
  <c r="P571" i="29" s="1"/>
  <c r="M571" i="29" a="1"/>
  <c r="D571" i="29"/>
  <c r="M570" i="29" a="1"/>
  <c r="M570" i="29"/>
  <c r="P570" i="29" s="1"/>
  <c r="D570" i="29"/>
  <c r="M569" i="29" a="1"/>
  <c r="M569" i="29"/>
  <c r="P569" i="29" s="1"/>
  <c r="D569" i="29"/>
  <c r="M568" i="29"/>
  <c r="P568" i="29" s="1"/>
  <c r="M568" i="29" a="1"/>
  <c r="D568" i="29"/>
  <c r="M567" i="29"/>
  <c r="P567" i="29"/>
  <c r="M567" i="29" a="1"/>
  <c r="D567" i="29"/>
  <c r="M566" i="29"/>
  <c r="P566" i="29"/>
  <c r="M566" i="29" a="1"/>
  <c r="D566" i="29"/>
  <c r="P565" i="29"/>
  <c r="M565" i="29" a="1"/>
  <c r="M565" i="29" s="1"/>
  <c r="D565" i="29"/>
  <c r="M564" i="29"/>
  <c r="P564" i="29" s="1"/>
  <c r="M564" i="29" a="1"/>
  <c r="D564" i="29"/>
  <c r="M563" i="29"/>
  <c r="P563" i="29" s="1"/>
  <c r="M563" i="29" a="1"/>
  <c r="D563" i="29"/>
  <c r="M562" i="29" a="1"/>
  <c r="M562" i="29"/>
  <c r="P562" i="29" s="1"/>
  <c r="D562" i="29"/>
  <c r="M561" i="29" a="1"/>
  <c r="M561" i="29"/>
  <c r="P561" i="29" s="1"/>
  <c r="D561" i="29"/>
  <c r="M560" i="29" a="1"/>
  <c r="M560" i="29"/>
  <c r="P560" i="29" s="1"/>
  <c r="D560" i="29"/>
  <c r="M559" i="29" a="1"/>
  <c r="M559" i="29"/>
  <c r="P559" i="29" s="1"/>
  <c r="D559" i="29"/>
  <c r="M558" i="29"/>
  <c r="P558" i="29"/>
  <c r="M558" i="29" a="1"/>
  <c r="D558" i="29"/>
  <c r="P557" i="29"/>
  <c r="M557" i="29" a="1"/>
  <c r="M557" i="29" s="1"/>
  <c r="D557" i="29"/>
  <c r="M556" i="29" a="1"/>
  <c r="M556" i="29"/>
  <c r="P556" i="29" s="1"/>
  <c r="D556" i="29"/>
  <c r="M555" i="29"/>
  <c r="P555" i="29"/>
  <c r="M555" i="29" a="1"/>
  <c r="D555" i="29"/>
  <c r="M554" i="29"/>
  <c r="P554" i="29"/>
  <c r="M554" i="29" a="1"/>
  <c r="D554" i="29"/>
  <c r="P553" i="29"/>
  <c r="M553" i="29" a="1"/>
  <c r="M553" i="29" s="1"/>
  <c r="D553" i="29"/>
  <c r="M552" i="29" a="1"/>
  <c r="M552" i="29" s="1"/>
  <c r="P552" i="29" s="1"/>
  <c r="D552" i="29"/>
  <c r="M551" i="29" a="1"/>
  <c r="M551" i="29"/>
  <c r="P551" i="29" s="1"/>
  <c r="D551" i="29"/>
  <c r="M550" i="29" a="1"/>
  <c r="M550" i="29"/>
  <c r="P550" i="29" s="1"/>
  <c r="D550" i="29"/>
  <c r="M549" i="29" a="1"/>
  <c r="M549" i="29" s="1"/>
  <c r="P549" i="29" s="1"/>
  <c r="D549" i="29"/>
  <c r="P548" i="29"/>
  <c r="M548" i="29" a="1"/>
  <c r="M548" i="29" s="1"/>
  <c r="D548" i="29"/>
  <c r="M547" i="29" a="1"/>
  <c r="M547" i="29"/>
  <c r="P547" i="29" s="1"/>
  <c r="D547" i="29"/>
  <c r="M546" i="29" a="1"/>
  <c r="M546" i="29"/>
  <c r="P546" i="29" s="1"/>
  <c r="D546" i="29"/>
  <c r="M545" i="29" a="1"/>
  <c r="M545" i="29"/>
  <c r="P545" i="29" s="1"/>
  <c r="D545" i="29"/>
  <c r="M544" i="29" a="1"/>
  <c r="M544" i="29"/>
  <c r="P544" i="29" s="1"/>
  <c r="D544" i="29"/>
  <c r="M543" i="29" a="1"/>
  <c r="M543" i="29" s="1"/>
  <c r="P543" i="29" s="1"/>
  <c r="D543" i="29"/>
  <c r="M542" i="29"/>
  <c r="P542" i="29"/>
  <c r="M542" i="29" a="1"/>
  <c r="D542" i="29"/>
  <c r="M541" i="29" a="1"/>
  <c r="M541" i="29"/>
  <c r="P541" i="29" s="1"/>
  <c r="D541" i="29"/>
  <c r="M540" i="29" a="1"/>
  <c r="M540" i="29" s="1"/>
  <c r="P540" i="29" s="1"/>
  <c r="D540" i="29"/>
  <c r="M539" i="29"/>
  <c r="P539" i="29" s="1"/>
  <c r="M539" i="29" a="1"/>
  <c r="D539" i="29"/>
  <c r="M538" i="29"/>
  <c r="P538" i="29"/>
  <c r="M538" i="29" a="1"/>
  <c r="D538" i="29"/>
  <c r="P537" i="29"/>
  <c r="M537" i="29" a="1"/>
  <c r="M537" i="29" s="1"/>
  <c r="D537" i="29"/>
  <c r="M536" i="29" a="1"/>
  <c r="M536" i="29" s="1"/>
  <c r="P536" i="29" s="1"/>
  <c r="D536" i="29"/>
  <c r="M535" i="29" a="1"/>
  <c r="M535" i="29"/>
  <c r="P535" i="29" s="1"/>
  <c r="D535" i="29"/>
  <c r="M534" i="29" a="1"/>
  <c r="M534" i="29"/>
  <c r="P534" i="29" s="1"/>
  <c r="D534" i="29"/>
  <c r="M533" i="29" a="1"/>
  <c r="M533" i="29"/>
  <c r="P533" i="29" s="1"/>
  <c r="D533" i="29"/>
  <c r="M532" i="29" a="1"/>
  <c r="M532" i="29" s="1"/>
  <c r="P532" i="29" s="1"/>
  <c r="D532" i="29"/>
  <c r="M531" i="29" a="1"/>
  <c r="M531" i="29"/>
  <c r="P531" i="29" s="1"/>
  <c r="D531" i="29"/>
  <c r="M530" i="29" a="1"/>
  <c r="M530" i="29"/>
  <c r="P530" i="29" s="1"/>
  <c r="D530" i="29"/>
  <c r="M529" i="29" a="1"/>
  <c r="M529" i="29"/>
  <c r="P529" i="29" s="1"/>
  <c r="D529" i="29"/>
  <c r="M528" i="29" a="1"/>
  <c r="M528" i="29"/>
  <c r="P528" i="29" s="1"/>
  <c r="D528" i="29"/>
  <c r="M527" i="29" a="1"/>
  <c r="M527" i="29"/>
  <c r="P527" i="29" s="1"/>
  <c r="D527" i="29"/>
  <c r="M526" i="29" a="1"/>
  <c r="M526" i="29"/>
  <c r="P526" i="29" s="1"/>
  <c r="D526" i="29"/>
  <c r="M525" i="29" a="1"/>
  <c r="M525" i="29"/>
  <c r="P525" i="29" s="1"/>
  <c r="D525" i="29"/>
  <c r="M524" i="29"/>
  <c r="P524" i="29" s="1"/>
  <c r="M524" i="29" a="1"/>
  <c r="D524" i="29"/>
  <c r="M523" i="29"/>
  <c r="P523" i="29" s="1"/>
  <c r="M523" i="29" a="1"/>
  <c r="D523" i="29"/>
  <c r="M522" i="29"/>
  <c r="P522" i="29"/>
  <c r="M522" i="29" a="1"/>
  <c r="D522" i="29"/>
  <c r="M521" i="29" a="1"/>
  <c r="M521" i="29" s="1"/>
  <c r="P521" i="29" s="1"/>
  <c r="D521" i="29"/>
  <c r="M520" i="29" a="1"/>
  <c r="M520" i="29" s="1"/>
  <c r="P520" i="29" s="1"/>
  <c r="D520" i="29"/>
  <c r="M519" i="29" a="1"/>
  <c r="M519" i="29"/>
  <c r="P519" i="29" s="1"/>
  <c r="D519" i="29"/>
  <c r="M518" i="29" a="1"/>
  <c r="M518" i="29"/>
  <c r="P518" i="29" s="1"/>
  <c r="D518" i="29"/>
  <c r="M517" i="29" a="1"/>
  <c r="M517" i="29" s="1"/>
  <c r="P517" i="29" s="1"/>
  <c r="D517" i="29"/>
  <c r="M516" i="29" a="1"/>
  <c r="M516" i="29"/>
  <c r="P516" i="29" s="1"/>
  <c r="D516" i="29"/>
  <c r="M515" i="29" a="1"/>
  <c r="M515" i="29"/>
  <c r="P515" i="29" s="1"/>
  <c r="D515" i="29"/>
  <c r="M514" i="29" a="1"/>
  <c r="M514" i="29"/>
  <c r="P514" i="29" s="1"/>
  <c r="D514" i="29"/>
  <c r="M513" i="29" a="1"/>
  <c r="M513" i="29"/>
  <c r="P513" i="29" s="1"/>
  <c r="D513" i="29"/>
  <c r="M512" i="29" a="1"/>
  <c r="M512" i="29" s="1"/>
  <c r="P512" i="29" s="1"/>
  <c r="D512" i="29"/>
  <c r="M511" i="29" a="1"/>
  <c r="M511" i="29" s="1"/>
  <c r="P511" i="29" s="1"/>
  <c r="D511" i="29"/>
  <c r="M510" i="29" a="1"/>
  <c r="M510" i="29"/>
  <c r="P510" i="29" s="1"/>
  <c r="D510" i="29"/>
  <c r="M509" i="29" a="1"/>
  <c r="M509" i="29"/>
  <c r="P509" i="29" s="1"/>
  <c r="D509" i="29"/>
  <c r="M508" i="29" a="1"/>
  <c r="M508" i="29" s="1"/>
  <c r="P508" i="29" s="1"/>
  <c r="D508" i="29"/>
  <c r="M507" i="29"/>
  <c r="P507" i="29"/>
  <c r="M507" i="29" a="1"/>
  <c r="D507" i="29"/>
  <c r="M506" i="29"/>
  <c r="P506" i="29"/>
  <c r="M506" i="29" a="1"/>
  <c r="D506" i="29"/>
  <c r="M505" i="29" a="1"/>
  <c r="M505" i="29" s="1"/>
  <c r="P505" i="29" s="1"/>
  <c r="D505" i="29"/>
  <c r="M504" i="29" a="1"/>
  <c r="M504" i="29" s="1"/>
  <c r="P504" i="29" s="1"/>
  <c r="D504" i="29"/>
  <c r="M503" i="29" a="1"/>
  <c r="M503" i="29"/>
  <c r="P503" i="29" s="1"/>
  <c r="D503" i="29"/>
  <c r="M502" i="29" a="1"/>
  <c r="M502" i="29"/>
  <c r="P502" i="29" s="1"/>
  <c r="D502" i="29"/>
  <c r="M501" i="29" a="1"/>
  <c r="M501" i="29" s="1"/>
  <c r="P501" i="29" s="1"/>
  <c r="D501" i="29"/>
  <c r="P500" i="29"/>
  <c r="M500" i="29" a="1"/>
  <c r="M500" i="29" s="1"/>
  <c r="D500" i="29"/>
  <c r="M499" i="29" a="1"/>
  <c r="M499" i="29" s="1"/>
  <c r="P499" i="29" s="1"/>
  <c r="D499" i="29"/>
  <c r="M498" i="29" a="1"/>
  <c r="M498" i="29" s="1"/>
  <c r="P498" i="29" s="1"/>
  <c r="D498" i="29"/>
  <c r="M497" i="29" a="1"/>
  <c r="M497" i="29" s="1"/>
  <c r="P497" i="29" s="1"/>
  <c r="D497" i="29"/>
  <c r="M496" i="29" a="1"/>
  <c r="M496" i="29" s="1"/>
  <c r="P496" i="29" s="1"/>
  <c r="D496" i="29"/>
  <c r="M495" i="29" a="1"/>
  <c r="M495" i="29"/>
  <c r="P495" i="29" s="1"/>
  <c r="D495" i="29"/>
  <c r="M494" i="29" a="1"/>
  <c r="M494" i="29"/>
  <c r="P494" i="29" s="1"/>
  <c r="D494" i="29"/>
  <c r="M493" i="29" a="1"/>
  <c r="M493" i="29"/>
  <c r="P493" i="29" s="1"/>
  <c r="D493" i="29"/>
  <c r="M492" i="29"/>
  <c r="P492" i="29" s="1"/>
  <c r="M492" i="29" a="1"/>
  <c r="D492" i="29"/>
  <c r="M491" i="29"/>
  <c r="P491" i="29" s="1"/>
  <c r="M491" i="29" a="1"/>
  <c r="D491" i="29"/>
  <c r="M490" i="29"/>
  <c r="P490" i="29"/>
  <c r="M490" i="29" a="1"/>
  <c r="D490" i="29"/>
  <c r="P489" i="29"/>
  <c r="M489" i="29" a="1"/>
  <c r="M489" i="29" s="1"/>
  <c r="D489" i="29"/>
  <c r="M488" i="29" a="1"/>
  <c r="M488" i="29" s="1"/>
  <c r="P488" i="29" s="1"/>
  <c r="D488" i="29"/>
  <c r="M487" i="29" a="1"/>
  <c r="M487" i="29"/>
  <c r="P487" i="29" s="1"/>
  <c r="D487" i="29"/>
  <c r="M486" i="29" a="1"/>
  <c r="M486" i="29"/>
  <c r="P486" i="29" s="1"/>
  <c r="D486" i="29"/>
  <c r="P485" i="29"/>
  <c r="M485" i="29" a="1"/>
  <c r="M485" i="29" s="1"/>
  <c r="D485" i="29"/>
  <c r="M484" i="29"/>
  <c r="P484" i="29"/>
  <c r="M484" i="29" a="1"/>
  <c r="D484" i="29"/>
  <c r="M483" i="29" a="1"/>
  <c r="M483" i="29"/>
  <c r="P483" i="29" s="1"/>
  <c r="D483" i="29"/>
  <c r="M482" i="29" a="1"/>
  <c r="M482" i="29" s="1"/>
  <c r="P482" i="29" s="1"/>
  <c r="D482" i="29"/>
  <c r="M481" i="29" a="1"/>
  <c r="M481" i="29"/>
  <c r="P481" i="29" s="1"/>
  <c r="D481" i="29"/>
  <c r="M480" i="29" a="1"/>
  <c r="M480" i="29" s="1"/>
  <c r="P480" i="29" s="1"/>
  <c r="D480" i="29"/>
  <c r="M479" i="29" a="1"/>
  <c r="M479" i="29" s="1"/>
  <c r="P479" i="29" s="1"/>
  <c r="D479" i="29"/>
  <c r="M478" i="29"/>
  <c r="P478" i="29"/>
  <c r="M478" i="29" a="1"/>
  <c r="D478" i="29"/>
  <c r="M477" i="29" a="1"/>
  <c r="M477" i="29"/>
  <c r="P477" i="29" s="1"/>
  <c r="D477" i="29"/>
  <c r="M476" i="29" a="1"/>
  <c r="M476" i="29" s="1"/>
  <c r="P476" i="29" s="1"/>
  <c r="D476" i="29"/>
  <c r="M475" i="29"/>
  <c r="P475" i="29"/>
  <c r="M475" i="29" a="1"/>
  <c r="D475" i="29"/>
  <c r="M474" i="29" a="1"/>
  <c r="M474" i="29"/>
  <c r="P474" i="29" s="1"/>
  <c r="D474" i="29"/>
  <c r="M473" i="29" a="1"/>
  <c r="M473" i="29" s="1"/>
  <c r="P473" i="29" s="1"/>
  <c r="D473" i="29"/>
  <c r="M472" i="29"/>
  <c r="P472" i="29" s="1"/>
  <c r="M472" i="29" a="1"/>
  <c r="D472" i="29"/>
  <c r="M471" i="29" a="1"/>
  <c r="M471" i="29"/>
  <c r="P471" i="29" s="1"/>
  <c r="D471" i="29"/>
  <c r="M470" i="29" a="1"/>
  <c r="M470" i="29"/>
  <c r="P470" i="29" s="1"/>
  <c r="D470" i="29"/>
  <c r="M469" i="29" a="1"/>
  <c r="M469" i="29"/>
  <c r="P469" i="29" s="1"/>
  <c r="D469" i="29"/>
  <c r="M468" i="29"/>
  <c r="P468" i="29"/>
  <c r="M468" i="29" a="1"/>
  <c r="D468" i="29"/>
  <c r="M467" i="29" a="1"/>
  <c r="M467" i="29"/>
  <c r="P467" i="29" s="1"/>
  <c r="D467" i="29"/>
  <c r="M466" i="29" a="1"/>
  <c r="M466" i="29" s="1"/>
  <c r="P466" i="29" s="1"/>
  <c r="D466" i="29"/>
  <c r="M465" i="29" a="1"/>
  <c r="M465" i="29"/>
  <c r="P465" i="29" s="1"/>
  <c r="D465" i="29"/>
  <c r="M464" i="29" a="1"/>
  <c r="M464" i="29" s="1"/>
  <c r="P464" i="29" s="1"/>
  <c r="D464" i="29"/>
  <c r="M463" i="29" a="1"/>
  <c r="M463" i="29" s="1"/>
  <c r="P463" i="29" s="1"/>
  <c r="D463" i="29"/>
  <c r="M462" i="29"/>
  <c r="P462" i="29"/>
  <c r="M462" i="29" a="1"/>
  <c r="D462" i="29"/>
  <c r="M461" i="29" a="1"/>
  <c r="M461" i="29"/>
  <c r="P461" i="29" s="1"/>
  <c r="D461" i="29"/>
  <c r="M460" i="29" a="1"/>
  <c r="M460" i="29" s="1"/>
  <c r="P460" i="29" s="1"/>
  <c r="D460" i="29"/>
  <c r="M459" i="29"/>
  <c r="P459" i="29"/>
  <c r="M459" i="29" a="1"/>
  <c r="D459" i="29"/>
  <c r="M458" i="29" a="1"/>
  <c r="M458" i="29"/>
  <c r="P458" i="29" s="1"/>
  <c r="D458" i="29"/>
  <c r="M457" i="29" a="1"/>
  <c r="M457" i="29" s="1"/>
  <c r="P457" i="29" s="1"/>
  <c r="D457" i="29"/>
  <c r="M456" i="29"/>
  <c r="P456" i="29" s="1"/>
  <c r="M456" i="29" a="1"/>
  <c r="D456" i="29"/>
  <c r="M455" i="29" a="1"/>
  <c r="M455" i="29"/>
  <c r="P455" i="29" s="1"/>
  <c r="D455" i="29"/>
  <c r="M454" i="29" a="1"/>
  <c r="M454" i="29"/>
  <c r="P454" i="29" s="1"/>
  <c r="D454" i="29"/>
  <c r="M453" i="29" a="1"/>
  <c r="M453" i="29"/>
  <c r="P453" i="29" s="1"/>
  <c r="D453" i="29"/>
  <c r="M452" i="29"/>
  <c r="P452" i="29"/>
  <c r="M452" i="29" a="1"/>
  <c r="D452" i="29"/>
  <c r="M451" i="29" a="1"/>
  <c r="M451" i="29"/>
  <c r="P451" i="29" s="1"/>
  <c r="D451" i="29"/>
  <c r="M450" i="29"/>
  <c r="P450" i="29" s="1"/>
  <c r="M450" i="29" a="1"/>
  <c r="D450" i="29"/>
  <c r="M449" i="29" a="1"/>
  <c r="M449" i="29" s="1"/>
  <c r="P449" i="29" s="1"/>
  <c r="D449" i="29"/>
  <c r="P448" i="29"/>
  <c r="M448" i="29" a="1"/>
  <c r="M448" i="29" s="1"/>
  <c r="D448" i="29"/>
  <c r="M447" i="29" a="1"/>
  <c r="M447" i="29" s="1"/>
  <c r="P447" i="29" s="1"/>
  <c r="D447" i="29"/>
  <c r="M446" i="29"/>
  <c r="P446" i="29"/>
  <c r="M446" i="29" a="1"/>
  <c r="D446" i="29"/>
  <c r="M445" i="29" a="1"/>
  <c r="M445" i="29"/>
  <c r="P445" i="29" s="1"/>
  <c r="D445" i="29"/>
  <c r="M444" i="29" a="1"/>
  <c r="M444" i="29" s="1"/>
  <c r="P444" i="29" s="1"/>
  <c r="D444" i="29"/>
  <c r="M443" i="29" a="1"/>
  <c r="M443" i="29"/>
  <c r="P443" i="29" s="1"/>
  <c r="D443" i="29"/>
  <c r="M442" i="29" a="1"/>
  <c r="M442" i="29"/>
  <c r="P442" i="29" s="1"/>
  <c r="D442" i="29"/>
  <c r="M441" i="29"/>
  <c r="P441" i="29" s="1"/>
  <c r="M441" i="29" a="1"/>
  <c r="D441" i="29"/>
  <c r="M440" i="29"/>
  <c r="P440" i="29" s="1"/>
  <c r="M440" i="29" a="1"/>
  <c r="D440" i="29"/>
  <c r="M439" i="29" a="1"/>
  <c r="M439" i="29"/>
  <c r="P439" i="29" s="1"/>
  <c r="D439" i="29"/>
  <c r="M438" i="29" a="1"/>
  <c r="M438" i="29"/>
  <c r="P438" i="29" s="1"/>
  <c r="D438" i="29"/>
  <c r="M437" i="29"/>
  <c r="P437" i="29" s="1"/>
  <c r="M437" i="29" a="1"/>
  <c r="D437" i="29"/>
  <c r="M436" i="29"/>
  <c r="P436" i="29"/>
  <c r="M436" i="29" a="1"/>
  <c r="D436" i="29"/>
  <c r="M435" i="29"/>
  <c r="P435" i="29" s="1"/>
  <c r="M435" i="29" a="1"/>
  <c r="D435" i="29"/>
  <c r="M434" i="29" a="1"/>
  <c r="M434" i="29"/>
  <c r="P434" i="29" s="1"/>
  <c r="D434" i="29"/>
  <c r="M433" i="29"/>
  <c r="P433" i="29" s="1"/>
  <c r="M433" i="29" a="1"/>
  <c r="D433" i="29"/>
  <c r="M432" i="29" a="1"/>
  <c r="M432" i="29" s="1"/>
  <c r="P432" i="29" s="1"/>
  <c r="D432" i="29"/>
  <c r="M431" i="29"/>
  <c r="P431" i="29" s="1"/>
  <c r="M431" i="29" a="1"/>
  <c r="D431" i="29"/>
  <c r="M430" i="29"/>
  <c r="P430" i="29"/>
  <c r="M430" i="29" a="1"/>
  <c r="D430" i="29"/>
  <c r="P429" i="29"/>
  <c r="M429" i="29" a="1"/>
  <c r="M429" i="29" s="1"/>
  <c r="D429" i="29"/>
  <c r="M428" i="29" a="1"/>
  <c r="M428" i="29"/>
  <c r="P428" i="29" s="1"/>
  <c r="D428" i="29"/>
  <c r="M427" i="29"/>
  <c r="P427" i="29" s="1"/>
  <c r="M427" i="29" a="1"/>
  <c r="D427" i="29"/>
  <c r="M426" i="29" a="1"/>
  <c r="M426" i="29"/>
  <c r="P426" i="29" s="1"/>
  <c r="D426" i="29"/>
  <c r="M425" i="29"/>
  <c r="P425" i="29" s="1"/>
  <c r="M425" i="29" a="1"/>
  <c r="D425" i="29"/>
  <c r="M424" i="29"/>
  <c r="P424" i="29" s="1"/>
  <c r="M424" i="29" a="1"/>
  <c r="D424" i="29"/>
  <c r="M423" i="29"/>
  <c r="P423" i="29"/>
  <c r="M423" i="29" a="1"/>
  <c r="D423" i="29"/>
  <c r="M422" i="29" a="1"/>
  <c r="M422" i="29" s="1"/>
  <c r="P422" i="29" s="1"/>
  <c r="D422" i="29"/>
  <c r="M421" i="29"/>
  <c r="P421" i="29" s="1"/>
  <c r="M421" i="29" a="1"/>
  <c r="D421" i="29"/>
  <c r="M420" i="29"/>
  <c r="P420" i="29"/>
  <c r="M420" i="29" a="1"/>
  <c r="D420" i="29"/>
  <c r="M419" i="29"/>
  <c r="P419" i="29" s="1"/>
  <c r="M419" i="29" a="1"/>
  <c r="D419" i="29"/>
  <c r="M418" i="29"/>
  <c r="P418" i="29" s="1"/>
  <c r="M418" i="29" a="1"/>
  <c r="D418" i="29"/>
  <c r="M417" i="29" a="1"/>
  <c r="M417" i="29"/>
  <c r="P417" i="29" s="1"/>
  <c r="D417" i="29"/>
  <c r="M416" i="29" a="1"/>
  <c r="M416" i="29"/>
  <c r="P416" i="29" s="1"/>
  <c r="D416" i="29"/>
  <c r="M415" i="29"/>
  <c r="P415" i="29"/>
  <c r="M415" i="29" a="1"/>
  <c r="D415" i="29"/>
  <c r="M414" i="29"/>
  <c r="P414" i="29"/>
  <c r="M414" i="29" a="1"/>
  <c r="D414" i="29"/>
  <c r="M413" i="29" a="1"/>
  <c r="M413" i="29"/>
  <c r="P413" i="29" s="1"/>
  <c r="D413" i="29"/>
  <c r="M412" i="29" a="1"/>
  <c r="M412" i="29"/>
  <c r="P412" i="29" s="1"/>
  <c r="D412" i="29"/>
  <c r="M411" i="29"/>
  <c r="P411" i="29"/>
  <c r="M411" i="29" a="1"/>
  <c r="D411" i="29"/>
  <c r="M410" i="29"/>
  <c r="P410" i="29" s="1"/>
  <c r="M410" i="29" a="1"/>
  <c r="D410" i="29"/>
  <c r="M409" i="29" a="1"/>
  <c r="M409" i="29" s="1"/>
  <c r="P409" i="29" s="1"/>
  <c r="D409" i="29"/>
  <c r="M408" i="29" a="1"/>
  <c r="M408" i="29" s="1"/>
  <c r="P408" i="29" s="1"/>
  <c r="D408" i="29"/>
  <c r="M407" i="29" a="1"/>
  <c r="M407" i="29"/>
  <c r="P407" i="29" s="1"/>
  <c r="D407" i="29"/>
  <c r="M406" i="29"/>
  <c r="P406" i="29" s="1"/>
  <c r="M406" i="29" a="1"/>
  <c r="D406" i="29"/>
  <c r="M405" i="29" a="1"/>
  <c r="M405" i="29"/>
  <c r="P405" i="29" s="1"/>
  <c r="D405" i="29"/>
  <c r="M404" i="29" a="1"/>
  <c r="M404" i="29" s="1"/>
  <c r="P404" i="29" s="1"/>
  <c r="D404" i="29"/>
  <c r="M403" i="29" a="1"/>
  <c r="M403" i="29"/>
  <c r="P403" i="29" s="1"/>
  <c r="D403" i="29"/>
  <c r="M402" i="29" a="1"/>
  <c r="M402" i="29"/>
  <c r="P402" i="29" s="1"/>
  <c r="D402" i="29"/>
  <c r="M401" i="29" a="1"/>
  <c r="M401" i="29" s="1"/>
  <c r="P401" i="29" s="1"/>
  <c r="D401" i="29"/>
  <c r="P400" i="29"/>
  <c r="M400" i="29"/>
  <c r="M400" i="29" a="1"/>
  <c r="D400" i="29"/>
  <c r="M399" i="29"/>
  <c r="P399" i="29"/>
  <c r="M399" i="29" a="1"/>
  <c r="D399" i="29"/>
  <c r="M398" i="29"/>
  <c r="P398" i="29"/>
  <c r="M398" i="29" a="1"/>
  <c r="D398" i="29"/>
  <c r="M397" i="29" a="1"/>
  <c r="M397" i="29"/>
  <c r="P397" i="29" s="1"/>
  <c r="D397" i="29"/>
  <c r="M396" i="29" a="1"/>
  <c r="M396" i="29"/>
  <c r="P396" i="29" s="1"/>
  <c r="D396" i="29"/>
  <c r="M395" i="29"/>
  <c r="P395" i="29"/>
  <c r="M395" i="29" a="1"/>
  <c r="D395" i="29"/>
  <c r="M394" i="29"/>
  <c r="P394" i="29"/>
  <c r="M394" i="29" a="1"/>
  <c r="D394" i="29"/>
  <c r="M393" i="29" a="1"/>
  <c r="M393" i="29" s="1"/>
  <c r="P393" i="29" s="1"/>
  <c r="D393" i="29"/>
  <c r="M392" i="29" a="1"/>
  <c r="M392" i="29" s="1"/>
  <c r="P392" i="29" s="1"/>
  <c r="D392" i="29"/>
  <c r="M391" i="29" a="1"/>
  <c r="M391" i="29"/>
  <c r="P391" i="29" s="1"/>
  <c r="D391" i="29"/>
  <c r="M390" i="29"/>
  <c r="P390" i="29" s="1"/>
  <c r="M390" i="29" a="1"/>
  <c r="D390" i="29"/>
  <c r="M389" i="29" a="1"/>
  <c r="M389" i="29"/>
  <c r="P389" i="29" s="1"/>
  <c r="D389" i="29"/>
  <c r="M388" i="29" a="1"/>
  <c r="M388" i="29" s="1"/>
  <c r="P388" i="29" s="1"/>
  <c r="D388" i="29"/>
  <c r="M387" i="29" a="1"/>
  <c r="M387" i="29"/>
  <c r="P387" i="29" s="1"/>
  <c r="D387" i="29"/>
  <c r="M386" i="29" a="1"/>
  <c r="M386" i="29" s="1"/>
  <c r="P386" i="29" s="1"/>
  <c r="D386" i="29"/>
  <c r="M385" i="29" a="1"/>
  <c r="M385" i="29" s="1"/>
  <c r="P385" i="29" s="1"/>
  <c r="D385" i="29"/>
  <c r="P384" i="29"/>
  <c r="M384" i="29"/>
  <c r="M384" i="29" a="1"/>
  <c r="D384" i="29"/>
  <c r="M383" i="29" a="1"/>
  <c r="M383" i="29" s="1"/>
  <c r="P383" i="29" s="1"/>
  <c r="D383" i="29"/>
  <c r="M382" i="29"/>
  <c r="P382" i="29"/>
  <c r="M382" i="29" a="1"/>
  <c r="D382" i="29"/>
  <c r="M381" i="29" a="1"/>
  <c r="M381" i="29"/>
  <c r="P381" i="29" s="1"/>
  <c r="D381" i="29"/>
  <c r="M380" i="29" a="1"/>
  <c r="M380" i="29" s="1"/>
  <c r="P380" i="29" s="1"/>
  <c r="D380" i="29"/>
  <c r="P379" i="29"/>
  <c r="M379" i="29" a="1"/>
  <c r="M379" i="29" s="1"/>
  <c r="D379" i="29"/>
  <c r="M378" i="29" a="1"/>
  <c r="M378" i="29"/>
  <c r="P378" i="29" s="1"/>
  <c r="D378" i="29"/>
  <c r="P377" i="29"/>
  <c r="M377" i="29" a="1"/>
  <c r="M377" i="29" s="1"/>
  <c r="D377" i="29"/>
  <c r="M376" i="29" a="1"/>
  <c r="M376" i="29"/>
  <c r="P376" i="29" s="1"/>
  <c r="D376" i="29"/>
  <c r="M375" i="29" a="1"/>
  <c r="M375" i="29"/>
  <c r="P375" i="29" s="1"/>
  <c r="D375" i="29"/>
  <c r="M374" i="29"/>
  <c r="P374" i="29" s="1"/>
  <c r="M374" i="29" a="1"/>
  <c r="D374" i="29"/>
  <c r="M373" i="29" a="1"/>
  <c r="M373" i="29"/>
  <c r="P373" i="29" s="1"/>
  <c r="D373" i="29"/>
  <c r="M372" i="29" a="1"/>
  <c r="M372" i="29" s="1"/>
  <c r="P372" i="29" s="1"/>
  <c r="D372" i="29"/>
  <c r="M371" i="29" a="1"/>
  <c r="M371" i="29"/>
  <c r="P371" i="29"/>
  <c r="D371" i="29"/>
  <c r="M370" i="29" a="1"/>
  <c r="M370" i="29" s="1"/>
  <c r="P370" i="29" s="1"/>
  <c r="D370" i="29"/>
  <c r="M369" i="29" a="1"/>
  <c r="M369" i="29"/>
  <c r="P369" i="29" s="1"/>
  <c r="D369" i="29"/>
  <c r="P368" i="29"/>
  <c r="M368" i="29"/>
  <c r="M368" i="29" a="1"/>
  <c r="D368" i="29"/>
  <c r="M367" i="29"/>
  <c r="P367" i="29" s="1"/>
  <c r="M367" i="29" a="1"/>
  <c r="D367" i="29"/>
  <c r="M366" i="29"/>
  <c r="P366" i="29"/>
  <c r="M366" i="29" a="1"/>
  <c r="D366" i="29"/>
  <c r="M365" i="29" a="1"/>
  <c r="M365" i="29"/>
  <c r="P365" i="29" s="1"/>
  <c r="D365" i="29"/>
  <c r="M364" i="29" a="1"/>
  <c r="M364" i="29" s="1"/>
  <c r="P364" i="29" s="1"/>
  <c r="D364" i="29"/>
  <c r="M363" i="29" a="1"/>
  <c r="M363" i="29" s="1"/>
  <c r="P363" i="29" s="1"/>
  <c r="D363" i="29"/>
  <c r="M362" i="29"/>
  <c r="P362" i="29"/>
  <c r="M362" i="29" a="1"/>
  <c r="D362" i="29"/>
  <c r="M361" i="29" a="1"/>
  <c r="M361" i="29" s="1"/>
  <c r="P361" i="29" s="1"/>
  <c r="D361" i="29"/>
  <c r="M360" i="29" a="1"/>
  <c r="M360" i="29" s="1"/>
  <c r="P360" i="29" s="1"/>
  <c r="D360" i="29"/>
  <c r="M359" i="29" a="1"/>
  <c r="M359" i="29"/>
  <c r="P359" i="29"/>
  <c r="D359" i="29"/>
  <c r="M358" i="29"/>
  <c r="P358" i="29" s="1"/>
  <c r="M358" i="29" a="1"/>
  <c r="D358" i="29"/>
  <c r="M357" i="29" a="1"/>
  <c r="M357" i="29"/>
  <c r="P357" i="29" s="1"/>
  <c r="D357" i="29"/>
  <c r="M356" i="29"/>
  <c r="P356" i="29"/>
  <c r="M356" i="29" a="1"/>
  <c r="D356" i="29"/>
  <c r="M355" i="29" a="1"/>
  <c r="M355" i="29"/>
  <c r="P355" i="29"/>
  <c r="D355" i="29"/>
  <c r="M354" i="29" a="1"/>
  <c r="M354" i="29"/>
  <c r="P354" i="29" s="1"/>
  <c r="D354" i="29"/>
  <c r="M353" i="29" a="1"/>
  <c r="M353" i="29"/>
  <c r="P353" i="29" s="1"/>
  <c r="D353" i="29"/>
  <c r="P352" i="29"/>
  <c r="M352" i="29"/>
  <c r="M352" i="29" a="1"/>
  <c r="D352" i="29"/>
  <c r="M351" i="29" a="1"/>
  <c r="M351" i="29"/>
  <c r="P351" i="29" s="1"/>
  <c r="D351" i="29"/>
  <c r="M350" i="29"/>
  <c r="P350" i="29"/>
  <c r="M350" i="29" a="1"/>
  <c r="D350" i="29"/>
  <c r="M349" i="29" a="1"/>
  <c r="M349" i="29"/>
  <c r="P349" i="29" s="1"/>
  <c r="D349" i="29"/>
  <c r="M348" i="29"/>
  <c r="P348" i="29"/>
  <c r="M348" i="29" a="1"/>
  <c r="D348" i="29"/>
  <c r="M347" i="29"/>
  <c r="P347" i="29" s="1"/>
  <c r="M347" i="29" a="1"/>
  <c r="D347" i="29"/>
  <c r="M346" i="29" a="1"/>
  <c r="M346" i="29" s="1"/>
  <c r="P346" i="29" s="1"/>
  <c r="D346" i="29"/>
  <c r="M345" i="29" a="1"/>
  <c r="M345" i="29"/>
  <c r="P345" i="29" s="1"/>
  <c r="D345" i="29"/>
  <c r="M344" i="29" a="1"/>
  <c r="M344" i="29"/>
  <c r="P344" i="29" s="1"/>
  <c r="D344" i="29"/>
  <c r="M343" i="29" a="1"/>
  <c r="M343" i="29" s="1"/>
  <c r="P343" i="29" s="1"/>
  <c r="D343" i="29"/>
  <c r="M342" i="29"/>
  <c r="P342" i="29" s="1"/>
  <c r="M342" i="29" a="1"/>
  <c r="D342" i="29"/>
  <c r="M341" i="29" a="1"/>
  <c r="M341" i="29"/>
  <c r="P341" i="29"/>
  <c r="D341" i="29"/>
  <c r="M340" i="29" a="1"/>
  <c r="M340" i="29" s="1"/>
  <c r="P340" i="29" s="1"/>
  <c r="D340" i="29"/>
  <c r="M339" i="29" a="1"/>
  <c r="M339" i="29"/>
  <c r="P339" i="29" s="1"/>
  <c r="D339" i="29"/>
  <c r="M338" i="29" a="1"/>
  <c r="M338" i="29"/>
  <c r="P338" i="29" s="1"/>
  <c r="D338" i="29"/>
  <c r="M337" i="29" a="1"/>
  <c r="M337" i="29" s="1"/>
  <c r="P337" i="29" s="1"/>
  <c r="D337" i="29"/>
  <c r="M336" i="29"/>
  <c r="P336" i="29"/>
  <c r="M336" i="29" a="1"/>
  <c r="D336" i="29"/>
  <c r="M335" i="29" a="1"/>
  <c r="M335" i="29" s="1"/>
  <c r="P335" i="29" s="1"/>
  <c r="D335" i="29"/>
  <c r="P334" i="29"/>
  <c r="M334" i="29" a="1"/>
  <c r="M334" i="29" s="1"/>
  <c r="D334" i="29"/>
  <c r="M333" i="29" a="1"/>
  <c r="M333" i="29"/>
  <c r="P333" i="29" s="1"/>
  <c r="D333" i="29"/>
  <c r="M332" i="29"/>
  <c r="P332" i="29"/>
  <c r="M332" i="29" a="1"/>
  <c r="D332" i="29"/>
  <c r="P331" i="29"/>
  <c r="M331" i="29" a="1"/>
  <c r="M331" i="29" s="1"/>
  <c r="D331" i="29"/>
  <c r="M330" i="29" a="1"/>
  <c r="M330" i="29"/>
  <c r="P330" i="29" s="1"/>
  <c r="D330" i="29"/>
  <c r="M329" i="29" a="1"/>
  <c r="M329" i="29"/>
  <c r="P329" i="29" s="1"/>
  <c r="D329" i="29"/>
  <c r="M328" i="29" a="1"/>
  <c r="M328" i="29" s="1"/>
  <c r="P328" i="29" s="1"/>
  <c r="D328" i="29"/>
  <c r="M327" i="29" a="1"/>
  <c r="M327" i="29"/>
  <c r="P327" i="29" s="1"/>
  <c r="D327" i="29"/>
  <c r="M326" i="29" a="1"/>
  <c r="M326" i="29"/>
  <c r="P326" i="29" s="1"/>
  <c r="D326" i="29"/>
  <c r="M325" i="29" a="1"/>
  <c r="M325" i="29"/>
  <c r="P325" i="29" s="1"/>
  <c r="D325" i="29"/>
  <c r="M324" i="29" a="1"/>
  <c r="M324" i="29"/>
  <c r="P324" i="29" s="1"/>
  <c r="D324" i="29"/>
  <c r="M323" i="29" a="1"/>
  <c r="M323" i="29"/>
  <c r="P323" i="29" s="1"/>
  <c r="D323" i="29"/>
  <c r="M322" i="29" a="1"/>
  <c r="M322" i="29" s="1"/>
  <c r="P322" i="29" s="1"/>
  <c r="D322" i="29"/>
  <c r="M321" i="29" a="1"/>
  <c r="M321" i="29"/>
  <c r="P321" i="29" s="1"/>
  <c r="D321" i="29"/>
  <c r="M320" i="29"/>
  <c r="P320" i="29"/>
  <c r="M320" i="29" a="1"/>
  <c r="D320" i="29"/>
  <c r="M319" i="29" a="1"/>
  <c r="M319" i="29"/>
  <c r="P319" i="29"/>
  <c r="D319" i="29"/>
  <c r="M318" i="29" a="1"/>
  <c r="M318" i="29" s="1"/>
  <c r="P318" i="29" s="1"/>
  <c r="D318" i="29"/>
  <c r="M317" i="29" a="1"/>
  <c r="M317" i="29"/>
  <c r="P317" i="29"/>
  <c r="D317" i="29"/>
  <c r="M316" i="29"/>
  <c r="P316" i="29" s="1"/>
  <c r="M316" i="29" a="1"/>
  <c r="D316" i="29"/>
  <c r="M315" i="29" a="1"/>
  <c r="M315" i="29" s="1"/>
  <c r="P315" i="29" s="1"/>
  <c r="D315" i="29"/>
  <c r="M314" i="29"/>
  <c r="P314" i="29" s="1"/>
  <c r="M314" i="29" a="1"/>
  <c r="D314" i="29"/>
  <c r="P313" i="29"/>
  <c r="M313" i="29" a="1"/>
  <c r="M313" i="29" s="1"/>
  <c r="D313" i="29"/>
  <c r="M312" i="29"/>
  <c r="P312" i="29" s="1"/>
  <c r="M312" i="29" a="1"/>
  <c r="D312" i="29"/>
  <c r="M311" i="29" a="1"/>
  <c r="M311" i="29"/>
  <c r="P311" i="29" s="1"/>
  <c r="D311" i="29"/>
  <c r="M310" i="29"/>
  <c r="P310" i="29" s="1"/>
  <c r="M310" i="29" a="1"/>
  <c r="D310" i="29"/>
  <c r="M309" i="29" a="1"/>
  <c r="M309" i="29"/>
  <c r="P309" i="29"/>
  <c r="D309" i="29"/>
  <c r="P308" i="29"/>
  <c r="M308" i="29"/>
  <c r="M308" i="29" a="1"/>
  <c r="D308" i="29"/>
  <c r="M307" i="29" a="1"/>
  <c r="M307" i="29"/>
  <c r="P307" i="29"/>
  <c r="D307" i="29"/>
  <c r="M306" i="29" a="1"/>
  <c r="M306" i="29"/>
  <c r="P306" i="29" s="1"/>
  <c r="D306" i="29"/>
  <c r="M305" i="29" a="1"/>
  <c r="M305" i="29" s="1"/>
  <c r="P305" i="29" s="1"/>
  <c r="D305" i="29"/>
  <c r="M304" i="29"/>
  <c r="P304" i="29" s="1"/>
  <c r="M304" i="29" a="1"/>
  <c r="D304" i="29"/>
  <c r="M303" i="29" a="1"/>
  <c r="M303" i="29" s="1"/>
  <c r="P303" i="29" s="1"/>
  <c r="D303" i="29"/>
  <c r="M302" i="29"/>
  <c r="P302" i="29" s="1"/>
  <c r="M302" i="29" a="1"/>
  <c r="D302" i="29"/>
  <c r="M301" i="29" a="1"/>
  <c r="M301" i="29" s="1"/>
  <c r="P301" i="29" s="1"/>
  <c r="D301" i="29"/>
  <c r="M300" i="29" a="1"/>
  <c r="M300" i="29"/>
  <c r="P300" i="29" s="1"/>
  <c r="D300" i="29"/>
  <c r="M299" i="29" a="1"/>
  <c r="M299" i="29"/>
  <c r="P299" i="29"/>
  <c r="D299" i="29"/>
  <c r="P298" i="29"/>
  <c r="M298" i="29" a="1"/>
  <c r="M298" i="29" s="1"/>
  <c r="D298" i="29"/>
  <c r="M297" i="29" a="1"/>
  <c r="M297" i="29" s="1"/>
  <c r="P297" i="29" s="1"/>
  <c r="D297" i="29"/>
  <c r="M296" i="29" a="1"/>
  <c r="M296" i="29" s="1"/>
  <c r="P296" i="29" s="1"/>
  <c r="D296" i="29"/>
  <c r="M295" i="29" a="1"/>
  <c r="M295" i="29"/>
  <c r="P295" i="29"/>
  <c r="D295" i="29"/>
  <c r="P294" i="29"/>
  <c r="M294" i="29" a="1"/>
  <c r="M294" i="29" s="1"/>
  <c r="D294" i="29"/>
  <c r="M293" i="29" a="1"/>
  <c r="M293" i="29" s="1"/>
  <c r="P293" i="29" s="1"/>
  <c r="D293" i="29"/>
  <c r="M292" i="29" a="1"/>
  <c r="M292" i="29" s="1"/>
  <c r="P292" i="29" s="1"/>
  <c r="D292" i="29"/>
  <c r="M291" i="29" a="1"/>
  <c r="M291" i="29" s="1"/>
  <c r="P291" i="29" s="1"/>
  <c r="D291" i="29"/>
  <c r="M290" i="29" a="1"/>
  <c r="M290" i="29" s="1"/>
  <c r="P290" i="29" s="1"/>
  <c r="D290" i="29"/>
  <c r="M289" i="29" a="1"/>
  <c r="M289" i="29" s="1"/>
  <c r="P289" i="29" s="1"/>
  <c r="D289" i="29"/>
  <c r="M288" i="29" a="1"/>
  <c r="M288" i="29" s="1"/>
  <c r="P288" i="29" s="1"/>
  <c r="D288" i="29"/>
  <c r="M287" i="29"/>
  <c r="P287" i="29" s="1"/>
  <c r="M287" i="29" a="1"/>
  <c r="D287" i="29"/>
  <c r="M286" i="29" a="1"/>
  <c r="M286" i="29" s="1"/>
  <c r="P286" i="29" s="1"/>
  <c r="D286" i="29"/>
  <c r="M285" i="29" a="1"/>
  <c r="M285" i="29"/>
  <c r="P285" i="29" s="1"/>
  <c r="D285" i="29"/>
  <c r="M284" i="29"/>
  <c r="P284" i="29"/>
  <c r="M284" i="29" a="1"/>
  <c r="D284" i="29"/>
  <c r="M283" i="29" a="1"/>
  <c r="M283" i="29"/>
  <c r="P283" i="29"/>
  <c r="D283" i="29"/>
  <c r="M282" i="29" a="1"/>
  <c r="M282" i="29"/>
  <c r="P282" i="29"/>
  <c r="D282" i="29"/>
  <c r="M281" i="29"/>
  <c r="P281" i="29" s="1"/>
  <c r="M281" i="29" a="1"/>
  <c r="D281" i="29"/>
  <c r="M280" i="29" a="1"/>
  <c r="M280" i="29"/>
  <c r="P280" i="29" s="1"/>
  <c r="D280" i="29"/>
  <c r="M279" i="29" a="1"/>
  <c r="M279" i="29"/>
  <c r="P279" i="29"/>
  <c r="D279" i="29"/>
  <c r="M278" i="29" a="1"/>
  <c r="M278" i="29"/>
  <c r="P278" i="29" s="1"/>
  <c r="D278" i="29"/>
  <c r="M277" i="29" a="1"/>
  <c r="M277" i="29"/>
  <c r="P277" i="29" s="1"/>
  <c r="D277" i="29"/>
  <c r="M276" i="29"/>
  <c r="P276" i="29" s="1"/>
  <c r="M276" i="29" a="1"/>
  <c r="D276" i="29"/>
  <c r="M275" i="29"/>
  <c r="P275" i="29" s="1"/>
  <c r="M275" i="29" a="1"/>
  <c r="D275" i="29"/>
  <c r="P274" i="29"/>
  <c r="M274" i="29" a="1"/>
  <c r="M274" i="29" s="1"/>
  <c r="D274" i="29"/>
  <c r="M273" i="29" a="1"/>
  <c r="M273" i="29" s="1"/>
  <c r="P273" i="29" s="1"/>
  <c r="D273" i="29"/>
  <c r="M272" i="29" a="1"/>
  <c r="M272" i="29" s="1"/>
  <c r="P272" i="29" s="1"/>
  <c r="D272" i="29"/>
  <c r="M271" i="29" a="1"/>
  <c r="M271" i="29" s="1"/>
  <c r="P271" i="29" s="1"/>
  <c r="D271" i="29"/>
  <c r="P270" i="29"/>
  <c r="M270" i="29" a="1"/>
  <c r="M270" i="29" s="1"/>
  <c r="D270" i="29"/>
  <c r="M269" i="29" a="1"/>
  <c r="M269" i="29" s="1"/>
  <c r="P269" i="29" s="1"/>
  <c r="D269" i="29"/>
  <c r="M268" i="29"/>
  <c r="P268" i="29"/>
  <c r="M268" i="29" a="1"/>
  <c r="D268" i="29"/>
  <c r="M267" i="29" a="1"/>
  <c r="M267" i="29"/>
  <c r="P267" i="29" s="1"/>
  <c r="D267" i="29"/>
  <c r="M266" i="29" a="1"/>
  <c r="M266" i="29"/>
  <c r="P266" i="29" s="1"/>
  <c r="D266" i="29"/>
  <c r="M265" i="29" a="1"/>
  <c r="M265" i="29" s="1"/>
  <c r="P265" i="29" s="1"/>
  <c r="D265" i="29"/>
  <c r="M264" i="29" a="1"/>
  <c r="M264" i="29"/>
  <c r="P264" i="29" s="1"/>
  <c r="D264" i="29"/>
  <c r="M263" i="29" a="1"/>
  <c r="M263" i="29"/>
  <c r="P263" i="29"/>
  <c r="D263" i="29"/>
  <c r="M262" i="29" a="1"/>
  <c r="M262" i="29"/>
  <c r="P262" i="29"/>
  <c r="D262" i="29"/>
  <c r="M261" i="29" a="1"/>
  <c r="M261" i="29" s="1"/>
  <c r="P261" i="29" s="1"/>
  <c r="D261" i="29"/>
  <c r="M260" i="29"/>
  <c r="P260" i="29"/>
  <c r="M260" i="29" a="1"/>
  <c r="D260" i="29"/>
  <c r="P259" i="29"/>
  <c r="M259" i="29" a="1"/>
  <c r="M259" i="29" s="1"/>
  <c r="D259" i="29"/>
  <c r="M258" i="29" a="1"/>
  <c r="M258" i="29" s="1"/>
  <c r="P258" i="29" s="1"/>
  <c r="D258" i="29"/>
  <c r="M257" i="29"/>
  <c r="P257" i="29" s="1"/>
  <c r="M257" i="29" a="1"/>
  <c r="D257" i="29"/>
  <c r="M256" i="29" a="1"/>
  <c r="M256" i="29"/>
  <c r="P256" i="29" s="1"/>
  <c r="D256" i="29"/>
  <c r="M255" i="29" a="1"/>
  <c r="M255" i="29" s="1"/>
  <c r="P255" i="29" s="1"/>
  <c r="D255" i="29"/>
  <c r="P254" i="29"/>
  <c r="M254" i="29" a="1"/>
  <c r="M254" i="29" s="1"/>
  <c r="D254" i="29"/>
  <c r="M253" i="29" a="1"/>
  <c r="M253" i="29"/>
  <c r="P253" i="29" s="1"/>
  <c r="D253" i="29"/>
  <c r="M252" i="29"/>
  <c r="P252" i="29"/>
  <c r="M252" i="29" a="1"/>
  <c r="D252" i="29"/>
  <c r="M251" i="29" a="1"/>
  <c r="M251" i="29" s="1"/>
  <c r="P251" i="29" s="1"/>
  <c r="D251" i="29"/>
  <c r="M250" i="29" a="1"/>
  <c r="M250" i="29" s="1"/>
  <c r="P250" i="29" s="1"/>
  <c r="D250" i="29"/>
  <c r="M249" i="29"/>
  <c r="P249" i="29" s="1"/>
  <c r="M249" i="29" a="1"/>
  <c r="D249" i="29"/>
  <c r="M248" i="29" a="1"/>
  <c r="M248" i="29"/>
  <c r="P248" i="29" s="1"/>
  <c r="D248" i="29"/>
  <c r="M247" i="29" a="1"/>
  <c r="M247" i="29"/>
  <c r="P247" i="29" s="1"/>
  <c r="D247" i="29"/>
  <c r="M246" i="29" a="1"/>
  <c r="M246" i="29"/>
  <c r="P246" i="29"/>
  <c r="D246" i="29"/>
  <c r="M245" i="29" a="1"/>
  <c r="M245" i="29"/>
  <c r="P245" i="29" s="1"/>
  <c r="D245" i="29"/>
  <c r="M244" i="29"/>
  <c r="P244" i="29" s="1"/>
  <c r="M244" i="29" a="1"/>
  <c r="D244" i="29"/>
  <c r="M243" i="29" a="1"/>
  <c r="M243" i="29" s="1"/>
  <c r="P243" i="29" s="1"/>
  <c r="D243" i="29"/>
  <c r="P242" i="29"/>
  <c r="M242" i="29" a="1"/>
  <c r="M242" i="29" s="1"/>
  <c r="D242" i="29"/>
  <c r="M241" i="29"/>
  <c r="P241" i="29" s="1"/>
  <c r="M241" i="29" a="1"/>
  <c r="D241" i="29"/>
  <c r="P240" i="29"/>
  <c r="M240" i="29" a="1"/>
  <c r="M240" i="29" s="1"/>
  <c r="D240" i="29"/>
  <c r="M239" i="29" a="1"/>
  <c r="M239" i="29" s="1"/>
  <c r="P239" i="29" s="1"/>
  <c r="D239" i="29"/>
  <c r="M238" i="29" a="1"/>
  <c r="M238" i="29"/>
  <c r="P238" i="29" s="1"/>
  <c r="D238" i="29"/>
  <c r="M237" i="29" a="1"/>
  <c r="M237" i="29"/>
  <c r="P237" i="29"/>
  <c r="D237" i="29"/>
  <c r="M236" i="29"/>
  <c r="P236" i="29" s="1"/>
  <c r="M236" i="29" a="1"/>
  <c r="D236" i="29"/>
  <c r="M235" i="29" a="1"/>
  <c r="M235" i="29"/>
  <c r="P235" i="29"/>
  <c r="D235" i="29"/>
  <c r="M234" i="29" a="1"/>
  <c r="M234" i="29"/>
  <c r="P234" i="29" s="1"/>
  <c r="D234" i="29"/>
  <c r="M233" i="29" a="1"/>
  <c r="M233" i="29" s="1"/>
  <c r="P233" i="29" s="1"/>
  <c r="D233" i="29"/>
  <c r="P232" i="29"/>
  <c r="M232" i="29" a="1"/>
  <c r="M232" i="29" s="1"/>
  <c r="D232" i="29"/>
  <c r="M231" i="29" a="1"/>
  <c r="M231" i="29"/>
  <c r="P231" i="29" s="1"/>
  <c r="D231" i="29"/>
  <c r="M230" i="29" a="1"/>
  <c r="M230" i="29"/>
  <c r="P230" i="29" s="1"/>
  <c r="D230" i="29"/>
  <c r="M229" i="29" a="1"/>
  <c r="M229" i="29"/>
  <c r="P229" i="29" s="1"/>
  <c r="D229" i="29"/>
  <c r="M228" i="29"/>
  <c r="P228" i="29" s="1"/>
  <c r="M228" i="29" a="1"/>
  <c r="D228" i="29"/>
  <c r="P227" i="29"/>
  <c r="M227" i="29" a="1"/>
  <c r="M227" i="29" s="1"/>
  <c r="D227" i="29"/>
  <c r="M226" i="29" a="1"/>
  <c r="M226" i="29" s="1"/>
  <c r="P226" i="29" s="1"/>
  <c r="D226" i="29"/>
  <c r="M225" i="29"/>
  <c r="P225" i="29"/>
  <c r="M225" i="29" a="1"/>
  <c r="D225" i="29"/>
  <c r="M224" i="29" a="1"/>
  <c r="M224" i="29"/>
  <c r="P224" i="29" s="1"/>
  <c r="D224" i="29"/>
  <c r="M223" i="29" a="1"/>
  <c r="M223" i="29" s="1"/>
  <c r="P223" i="29" s="1"/>
  <c r="D223" i="29"/>
  <c r="M222" i="29" a="1"/>
  <c r="M222" i="29"/>
  <c r="P222" i="29"/>
  <c r="D222" i="29"/>
  <c r="M221" i="29" a="1"/>
  <c r="M221" i="29" s="1"/>
  <c r="P221" i="29" s="1"/>
  <c r="D221" i="29"/>
  <c r="M220" i="29"/>
  <c r="P220" i="29"/>
  <c r="M220" i="29" a="1"/>
  <c r="D220" i="29"/>
  <c r="P219" i="29"/>
  <c r="M219" i="29" a="1"/>
  <c r="M219" i="29" s="1"/>
  <c r="D219" i="29"/>
  <c r="M218" i="29" a="1"/>
  <c r="M218" i="29"/>
  <c r="P218" i="29" s="1"/>
  <c r="D218" i="29"/>
  <c r="M217" i="29" a="1"/>
  <c r="M217" i="29" s="1"/>
  <c r="P217" i="29" s="1"/>
  <c r="D217" i="29"/>
  <c r="P216" i="29"/>
  <c r="M216" i="29" a="1"/>
  <c r="M216" i="29" s="1"/>
  <c r="D216" i="29"/>
  <c r="M215" i="29" a="1"/>
  <c r="M215" i="29"/>
  <c r="P215" i="29"/>
  <c r="D215" i="29"/>
  <c r="M214" i="29" a="1"/>
  <c r="M214" i="29"/>
  <c r="P214" i="29"/>
  <c r="D214" i="29"/>
  <c r="M213" i="29" a="1"/>
  <c r="M213" i="29" s="1"/>
  <c r="P213" i="29" s="1"/>
  <c r="D213" i="29"/>
  <c r="M212" i="29" a="1"/>
  <c r="M212" i="29"/>
  <c r="P212" i="29" s="1"/>
  <c r="D212" i="29"/>
  <c r="M211" i="29" a="1"/>
  <c r="M211" i="29" s="1"/>
  <c r="P211" i="29" s="1"/>
  <c r="D211" i="29"/>
  <c r="M210" i="29" a="1"/>
  <c r="M210" i="29"/>
  <c r="P210" i="29" s="1"/>
  <c r="D210" i="29"/>
  <c r="M209" i="29"/>
  <c r="P209" i="29"/>
  <c r="M209" i="29" a="1"/>
  <c r="D209" i="29"/>
  <c r="M208" i="29" a="1"/>
  <c r="M208" i="29"/>
  <c r="P208" i="29" s="1"/>
  <c r="D208" i="29"/>
  <c r="P207" i="29"/>
  <c r="M207" i="29" a="1"/>
  <c r="M207" i="29" s="1"/>
  <c r="D207" i="29"/>
  <c r="P206" i="29"/>
  <c r="M206" i="29" a="1"/>
  <c r="M206" i="29" s="1"/>
  <c r="D206" i="29"/>
  <c r="M205" i="29" a="1"/>
  <c r="M205" i="29"/>
  <c r="P205" i="29" s="1"/>
  <c r="D205" i="29"/>
  <c r="M204" i="29" a="1"/>
  <c r="M204" i="29" s="1"/>
  <c r="P204" i="29" s="1"/>
  <c r="D204" i="29"/>
  <c r="P203" i="29"/>
  <c r="M203" i="29" a="1"/>
  <c r="M203" i="29" s="1"/>
  <c r="D203" i="29"/>
  <c r="M202" i="29" a="1"/>
  <c r="M202" i="29"/>
  <c r="P202" i="29" s="1"/>
  <c r="D202" i="29"/>
  <c r="M201" i="29"/>
  <c r="P201" i="29"/>
  <c r="M201" i="29" a="1"/>
  <c r="D201" i="29"/>
  <c r="M200" i="29"/>
  <c r="P200" i="29" s="1"/>
  <c r="M200" i="29" a="1"/>
  <c r="D200" i="29"/>
  <c r="M199" i="29" a="1"/>
  <c r="M199" i="29" s="1"/>
  <c r="P199" i="29" s="1"/>
  <c r="D199" i="29"/>
  <c r="M198" i="29" a="1"/>
  <c r="M198" i="29"/>
  <c r="P198" i="29" s="1"/>
  <c r="D198" i="29"/>
  <c r="M197" i="29" a="1"/>
  <c r="M197" i="29" s="1"/>
  <c r="P197" i="29" s="1"/>
  <c r="D197" i="29"/>
  <c r="M196" i="29" a="1"/>
  <c r="M196" i="29" s="1"/>
  <c r="P196" i="29" s="1"/>
  <c r="D196" i="29"/>
  <c r="P195" i="29"/>
  <c r="M195" i="29" a="1"/>
  <c r="M195" i="29" s="1"/>
  <c r="D195" i="29"/>
  <c r="M194" i="29" a="1"/>
  <c r="M194" i="29"/>
  <c r="P194" i="29"/>
  <c r="D194" i="29"/>
  <c r="M193" i="29" a="1"/>
  <c r="M193" i="29"/>
  <c r="P193" i="29" s="1"/>
  <c r="D193" i="29"/>
  <c r="M192" i="29" a="1"/>
  <c r="M192" i="29" s="1"/>
  <c r="P192" i="29" s="1"/>
  <c r="D192" i="29"/>
  <c r="M191" i="29" a="1"/>
  <c r="M191" i="29" s="1"/>
  <c r="P191" i="29" s="1"/>
  <c r="D191" i="29"/>
  <c r="M190" i="29" a="1"/>
  <c r="M190" i="29"/>
  <c r="P190" i="29" s="1"/>
  <c r="D190" i="29"/>
  <c r="M189" i="29" a="1"/>
  <c r="M189" i="29" s="1"/>
  <c r="P189" i="29" s="1"/>
  <c r="D189" i="29"/>
  <c r="M188" i="29" a="1"/>
  <c r="M188" i="29" s="1"/>
  <c r="P188" i="29" s="1"/>
  <c r="D188" i="29"/>
  <c r="M187" i="29"/>
  <c r="P187" i="29" s="1"/>
  <c r="M187" i="29" a="1"/>
  <c r="D187" i="29"/>
  <c r="M186" i="29" a="1"/>
  <c r="M186" i="29" s="1"/>
  <c r="P186" i="29" s="1"/>
  <c r="D186" i="29"/>
  <c r="M185" i="29"/>
  <c r="P185" i="29" s="1"/>
  <c r="M185" i="29" a="1"/>
  <c r="D185" i="29"/>
  <c r="M184" i="29" a="1"/>
  <c r="M184" i="29" s="1"/>
  <c r="P184" i="29" s="1"/>
  <c r="D184" i="29"/>
  <c r="P183" i="29"/>
  <c r="M183" i="29" a="1"/>
  <c r="M183" i="29" s="1"/>
  <c r="D183" i="29"/>
  <c r="M182" i="29" a="1"/>
  <c r="M182" i="29"/>
  <c r="P182" i="29" s="1"/>
  <c r="D182" i="29"/>
  <c r="M181" i="29" a="1"/>
  <c r="M181" i="29" s="1"/>
  <c r="P181" i="29" s="1"/>
  <c r="D181" i="29"/>
  <c r="M180" i="29"/>
  <c r="P180" i="29"/>
  <c r="M180" i="29" a="1"/>
  <c r="D180" i="29"/>
  <c r="M179" i="29" a="1"/>
  <c r="M179" i="29" s="1"/>
  <c r="P179" i="29" s="1"/>
  <c r="D179" i="29"/>
  <c r="M178" i="29" a="1"/>
  <c r="M178" i="29"/>
  <c r="P178" i="29"/>
  <c r="D178" i="29"/>
  <c r="M177" i="29" a="1"/>
  <c r="M177" i="29"/>
  <c r="P177" i="29" s="1"/>
  <c r="D177" i="29"/>
  <c r="M176" i="29" a="1"/>
  <c r="M176" i="29" s="1"/>
  <c r="P176" i="29" s="1"/>
  <c r="D176" i="29"/>
  <c r="P175" i="29"/>
  <c r="M175" i="29" a="1"/>
  <c r="M175" i="29" s="1"/>
  <c r="D175" i="29"/>
  <c r="M174" i="29" a="1"/>
  <c r="M174" i="29" s="1"/>
  <c r="P174" i="29" s="1"/>
  <c r="D174" i="29"/>
  <c r="M173" i="29" a="1"/>
  <c r="M173" i="29" s="1"/>
  <c r="P173" i="29" s="1"/>
  <c r="D173" i="29"/>
  <c r="M172" i="29" a="1"/>
  <c r="M172" i="29" s="1"/>
  <c r="P172" i="29" s="1"/>
  <c r="D172" i="29"/>
  <c r="M171" i="29"/>
  <c r="P171" i="29" s="1"/>
  <c r="M171" i="29" a="1"/>
  <c r="D171" i="29"/>
  <c r="M170" i="29" a="1"/>
  <c r="M170" i="29"/>
  <c r="P170" i="29" s="1"/>
  <c r="D170" i="29"/>
  <c r="M169" i="29" a="1"/>
  <c r="M169" i="29"/>
  <c r="P169" i="29" s="1"/>
  <c r="D169" i="29"/>
  <c r="M168" i="29" a="1"/>
  <c r="M168" i="29" s="1"/>
  <c r="P168" i="29" s="1"/>
  <c r="D168" i="29"/>
  <c r="M167" i="29" a="1"/>
  <c r="M167" i="29"/>
  <c r="P167" i="29" s="1"/>
  <c r="D167" i="29"/>
  <c r="M166" i="29" a="1"/>
  <c r="M166" i="29" s="1"/>
  <c r="P166" i="29" s="1"/>
  <c r="D166" i="29"/>
  <c r="M165" i="29" a="1"/>
  <c r="M165" i="29" s="1"/>
  <c r="P165" i="29" s="1"/>
  <c r="D165" i="29"/>
  <c r="M164" i="29"/>
  <c r="P164" i="29" s="1"/>
  <c r="M164" i="29" a="1"/>
  <c r="D164" i="29"/>
  <c r="M163" i="29" a="1"/>
  <c r="M163" i="29"/>
  <c r="P163" i="29"/>
  <c r="D163" i="29"/>
  <c r="M162" i="29" a="1"/>
  <c r="M162" i="29"/>
  <c r="P162" i="29"/>
  <c r="D162" i="29"/>
  <c r="M161" i="29" a="1"/>
  <c r="M161" i="29" s="1"/>
  <c r="P161" i="29" s="1"/>
  <c r="D161" i="29"/>
  <c r="M160" i="29"/>
  <c r="P160" i="29"/>
  <c r="M160" i="29" a="1"/>
  <c r="D160" i="29"/>
  <c r="M159" i="29" a="1"/>
  <c r="M159" i="29" s="1"/>
  <c r="P159" i="29" s="1"/>
  <c r="D159" i="29"/>
  <c r="M158" i="29" a="1"/>
  <c r="M158" i="29" s="1"/>
  <c r="P158" i="29" s="1"/>
  <c r="D158" i="29"/>
  <c r="M157" i="29" a="1"/>
  <c r="M157" i="29" s="1"/>
  <c r="P157" i="29" s="1"/>
  <c r="D157" i="29"/>
  <c r="M156" i="29"/>
  <c r="P156" i="29" s="1"/>
  <c r="M156" i="29" a="1"/>
  <c r="D156" i="29"/>
  <c r="M155" i="29" a="1"/>
  <c r="M155" i="29" s="1"/>
  <c r="P155" i="29" s="1"/>
  <c r="D155" i="29"/>
  <c r="M154" i="29" a="1"/>
  <c r="M154" i="29"/>
  <c r="P154" i="29" s="1"/>
  <c r="D154" i="29"/>
  <c r="M153" i="29" a="1"/>
  <c r="M153" i="29"/>
  <c r="P153" i="29" s="1"/>
  <c r="D153" i="29"/>
  <c r="M152" i="29" a="1"/>
  <c r="M152" i="29" s="1"/>
  <c r="P152" i="29" s="1"/>
  <c r="D152" i="29"/>
  <c r="M151" i="29" a="1"/>
  <c r="M151" i="29"/>
  <c r="P151" i="29"/>
  <c r="D151" i="29"/>
  <c r="M150" i="29" a="1"/>
  <c r="M150" i="29" s="1"/>
  <c r="P150" i="29" s="1"/>
  <c r="D150" i="29"/>
  <c r="M149" i="29" a="1"/>
  <c r="M149" i="29" s="1"/>
  <c r="P149" i="29" s="1"/>
  <c r="D149" i="29"/>
  <c r="M148" i="29" a="1"/>
  <c r="M148" i="29" s="1"/>
  <c r="P148" i="29" s="1"/>
  <c r="D148" i="29"/>
  <c r="M147" i="29" a="1"/>
  <c r="M147" i="29"/>
  <c r="P147" i="29" s="1"/>
  <c r="D147" i="29"/>
  <c r="M146" i="29" a="1"/>
  <c r="M146" i="29"/>
  <c r="P146" i="29"/>
  <c r="D146" i="29"/>
  <c r="M145" i="29" a="1"/>
  <c r="M145" i="29" s="1"/>
  <c r="P145" i="29" s="1"/>
  <c r="D145" i="29"/>
  <c r="M144" i="29"/>
  <c r="P144" i="29" s="1"/>
  <c r="M144" i="29" a="1"/>
  <c r="D144" i="29"/>
  <c r="M143" i="29" a="1"/>
  <c r="M143" i="29" s="1"/>
  <c r="P143" i="29" s="1"/>
  <c r="D143" i="29"/>
  <c r="P142" i="29"/>
  <c r="M142" i="29" a="1"/>
  <c r="M142" i="29" s="1"/>
  <c r="D142" i="29"/>
  <c r="M141" i="29" a="1"/>
  <c r="M141" i="29" s="1"/>
  <c r="P141" i="29" s="1"/>
  <c r="D141" i="29"/>
  <c r="M140" i="29"/>
  <c r="P140" i="29" s="1"/>
  <c r="M140" i="29" a="1"/>
  <c r="D140" i="29"/>
  <c r="M139" i="29"/>
  <c r="P139" i="29" s="1"/>
  <c r="M139" i="29" a="1"/>
  <c r="D139" i="29"/>
  <c r="M138" i="29" a="1"/>
  <c r="M138" i="29"/>
  <c r="P138" i="29"/>
  <c r="D138" i="29"/>
  <c r="M137" i="29" a="1"/>
  <c r="M137" i="29"/>
  <c r="P137" i="29" s="1"/>
  <c r="D137" i="29"/>
  <c r="M136" i="29" a="1"/>
  <c r="M136" i="29"/>
  <c r="P136" i="29" s="1"/>
  <c r="D136" i="29"/>
  <c r="M135" i="29" a="1"/>
  <c r="M135" i="29"/>
  <c r="P135" i="29" s="1"/>
  <c r="D135" i="29"/>
  <c r="M134" i="29"/>
  <c r="P134" i="29" s="1"/>
  <c r="M134" i="29" a="1"/>
  <c r="D134" i="29"/>
  <c r="M133" i="29" a="1"/>
  <c r="M133" i="29"/>
  <c r="P133" i="29"/>
  <c r="D133" i="29"/>
  <c r="M132" i="29" a="1"/>
  <c r="M132" i="29" s="1"/>
  <c r="P132" i="29" s="1"/>
  <c r="D132" i="29"/>
  <c r="M131" i="29" a="1"/>
  <c r="M131" i="29"/>
  <c r="P131" i="29"/>
  <c r="D131" i="29"/>
  <c r="M130" i="29" a="1"/>
  <c r="M130" i="29"/>
  <c r="P130" i="29" s="1"/>
  <c r="D130" i="29"/>
  <c r="M129" i="29" a="1"/>
  <c r="M129" i="29"/>
  <c r="P129" i="29"/>
  <c r="D129" i="29"/>
  <c r="M128" i="29" a="1"/>
  <c r="M128" i="29" s="1"/>
  <c r="P128" i="29" s="1"/>
  <c r="D128" i="29"/>
  <c r="M127" i="29" a="1"/>
  <c r="M127" i="29"/>
  <c r="P127" i="29"/>
  <c r="D127" i="29"/>
  <c r="M126" i="29" a="1"/>
  <c r="M126" i="29"/>
  <c r="P126" i="29" s="1"/>
  <c r="D126" i="29"/>
  <c r="M125" i="29" a="1"/>
  <c r="M125" i="29" s="1"/>
  <c r="P125" i="29" s="1"/>
  <c r="D125" i="29"/>
  <c r="M124" i="29" a="1"/>
  <c r="M124" i="29" s="1"/>
  <c r="P124" i="29" s="1"/>
  <c r="D124" i="29"/>
  <c r="M123" i="29"/>
  <c r="P123" i="29" s="1"/>
  <c r="M123" i="29" a="1"/>
  <c r="D123" i="29"/>
  <c r="M122" i="29" a="1"/>
  <c r="M122" i="29"/>
  <c r="P122" i="29"/>
  <c r="D122" i="29"/>
  <c r="M121" i="29" a="1"/>
  <c r="M121" i="29" s="1"/>
  <c r="P121" i="29" s="1"/>
  <c r="D121" i="29"/>
  <c r="M120" i="29"/>
  <c r="P120" i="29"/>
  <c r="M120" i="29" a="1"/>
  <c r="D120" i="29"/>
  <c r="M119" i="29" a="1"/>
  <c r="M119" i="29"/>
  <c r="P119" i="29" s="1"/>
  <c r="D119" i="29"/>
  <c r="M118" i="29" a="1"/>
  <c r="M118" i="29" s="1"/>
  <c r="P118" i="29" s="1"/>
  <c r="D118" i="29"/>
  <c r="M117" i="29" a="1"/>
  <c r="M117" i="29"/>
  <c r="P117" i="29" s="1"/>
  <c r="D117" i="29"/>
  <c r="M116" i="29" a="1"/>
  <c r="M116" i="29" s="1"/>
  <c r="P116" i="29" s="1"/>
  <c r="D116" i="29"/>
  <c r="M115" i="29" a="1"/>
  <c r="M115" i="29"/>
  <c r="P115" i="29"/>
  <c r="D115" i="29"/>
  <c r="M114" i="29" a="1"/>
  <c r="M114" i="29"/>
  <c r="P114" i="29"/>
  <c r="D114" i="29"/>
  <c r="M113" i="29" a="1"/>
  <c r="M113" i="29"/>
  <c r="P113" i="29" s="1"/>
  <c r="D113" i="29"/>
  <c r="M112" i="29"/>
  <c r="P112" i="29" s="1"/>
  <c r="M112" i="29" a="1"/>
  <c r="D112" i="29"/>
  <c r="M111" i="29" a="1"/>
  <c r="M111" i="29"/>
  <c r="P111" i="29"/>
  <c r="D111" i="29"/>
  <c r="M110" i="29" a="1"/>
  <c r="M110" i="29"/>
  <c r="P110" i="29"/>
  <c r="D110" i="29"/>
  <c r="M109" i="29"/>
  <c r="P109" i="29" s="1"/>
  <c r="M109" i="29" a="1"/>
  <c r="D109" i="29"/>
  <c r="M108" i="29" a="1"/>
  <c r="M108" i="29" s="1"/>
  <c r="P108" i="29" s="1"/>
  <c r="D108" i="29"/>
  <c r="M107" i="29" a="1"/>
  <c r="M107" i="29"/>
  <c r="P107" i="29"/>
  <c r="D107" i="29"/>
  <c r="M106" i="29" a="1"/>
  <c r="M106" i="29"/>
  <c r="P106" i="29"/>
  <c r="D106" i="29"/>
  <c r="M105" i="29" a="1"/>
  <c r="M105" i="29"/>
  <c r="P105" i="29" s="1"/>
  <c r="D105" i="29"/>
  <c r="M104" i="29" a="1"/>
  <c r="M104" i="29" s="1"/>
  <c r="P104" i="29" s="1"/>
  <c r="D104" i="29"/>
  <c r="M103" i="29" a="1"/>
  <c r="M103" i="29"/>
  <c r="P103" i="29"/>
  <c r="D103" i="29"/>
  <c r="M102" i="29" a="1"/>
  <c r="M102" i="29"/>
  <c r="P102" i="29"/>
  <c r="D102" i="29"/>
  <c r="M101" i="29" a="1"/>
  <c r="M101" i="29"/>
  <c r="P101" i="29" s="1"/>
  <c r="D101" i="29"/>
  <c r="M100" i="29" a="1"/>
  <c r="M100" i="29" s="1"/>
  <c r="P100" i="29" s="1"/>
  <c r="D100" i="29"/>
  <c r="M99" i="29" a="1"/>
  <c r="M99" i="29"/>
  <c r="P99" i="29"/>
  <c r="D99" i="29"/>
  <c r="M98" i="29" a="1"/>
  <c r="M98" i="29"/>
  <c r="P98" i="29"/>
  <c r="D98" i="29"/>
  <c r="M97" i="29" a="1"/>
  <c r="M97" i="29"/>
  <c r="P97" i="29" s="1"/>
  <c r="D97" i="29"/>
  <c r="M96" i="29"/>
  <c r="P96" i="29" s="1"/>
  <c r="M96" i="29" a="1"/>
  <c r="D96" i="29"/>
  <c r="P95" i="29"/>
  <c r="M95" i="29" a="1"/>
  <c r="M95" i="29" s="1"/>
  <c r="D95" i="29"/>
  <c r="M94" i="29" a="1"/>
  <c r="M94" i="29"/>
  <c r="P94" i="29" s="1"/>
  <c r="D94" i="29"/>
  <c r="M93" i="29"/>
  <c r="P93" i="29" s="1"/>
  <c r="M93" i="29" a="1"/>
  <c r="D93" i="29"/>
  <c r="M92" i="29" a="1"/>
  <c r="M92" i="29"/>
  <c r="P92" i="29" s="1"/>
  <c r="D92" i="29"/>
  <c r="M91" i="29" a="1"/>
  <c r="M91" i="29"/>
  <c r="P91" i="29" s="1"/>
  <c r="D91" i="29"/>
  <c r="M90" i="29" a="1"/>
  <c r="M90" i="29"/>
  <c r="P90" i="29" s="1"/>
  <c r="D90" i="29"/>
  <c r="M89" i="29" a="1"/>
  <c r="M89" i="29" s="1"/>
  <c r="P89" i="29" s="1"/>
  <c r="D89" i="29"/>
  <c r="M88" i="29" a="1"/>
  <c r="M88" i="29"/>
  <c r="P88" i="29" s="1"/>
  <c r="D88" i="29"/>
  <c r="M87" i="29" a="1"/>
  <c r="M87" i="29"/>
  <c r="P87" i="29" s="1"/>
  <c r="D87" i="29"/>
  <c r="M86" i="29" a="1"/>
  <c r="M86" i="29"/>
  <c r="P86" i="29"/>
  <c r="D86" i="29"/>
  <c r="M85" i="29" a="1"/>
  <c r="M85" i="29"/>
  <c r="P85" i="29" s="1"/>
  <c r="D85" i="29"/>
  <c r="M84" i="29" a="1"/>
  <c r="M84" i="29" s="1"/>
  <c r="P84" i="29" s="1"/>
  <c r="D84" i="29"/>
  <c r="M83" i="29" a="1"/>
  <c r="M83" i="29"/>
  <c r="P83" i="29"/>
  <c r="D83" i="29"/>
  <c r="M82" i="29" a="1"/>
  <c r="M82" i="29"/>
  <c r="P82" i="29"/>
  <c r="D82" i="29"/>
  <c r="M81" i="29" a="1"/>
  <c r="M81" i="29"/>
  <c r="P81" i="29" s="1"/>
  <c r="D81" i="29"/>
  <c r="M80" i="29" a="1"/>
  <c r="M80" i="29" s="1"/>
  <c r="P80" i="29" s="1"/>
  <c r="D80" i="29"/>
  <c r="M79" i="29" a="1"/>
  <c r="M79" i="29"/>
  <c r="P79" i="29"/>
  <c r="D79" i="29"/>
  <c r="M78" i="29" a="1"/>
  <c r="M78" i="29"/>
  <c r="P78" i="29"/>
  <c r="D78" i="29"/>
  <c r="M77" i="29"/>
  <c r="P77" i="29" s="1"/>
  <c r="M77" i="29" a="1"/>
  <c r="D77" i="29"/>
  <c r="M76" i="29" a="1"/>
  <c r="M76" i="29"/>
  <c r="P76"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D42" i="29"/>
  <c r="D41" i="29"/>
  <c r="D40" i="29"/>
  <c r="D39" i="29"/>
  <c r="D38" i="29"/>
  <c r="D37" i="29"/>
  <c r="D36" i="29"/>
  <c r="D35" i="29"/>
  <c r="D34" i="29"/>
  <c r="D33" i="29"/>
  <c r="D32" i="29"/>
  <c r="D31" i="29"/>
  <c r="D30" i="29"/>
  <c r="AO29" i="29"/>
  <c r="AO29" i="29" a="1"/>
  <c r="D29" i="29"/>
  <c r="AO28" i="29" a="1"/>
  <c r="AO28" i="29" s="1"/>
  <c r="D28" i="29"/>
  <c r="AO27" i="29" a="1"/>
  <c r="AO27" i="29"/>
  <c r="D27" i="29"/>
  <c r="AO26" i="29" a="1"/>
  <c r="AO26" i="29"/>
  <c r="D26" i="29"/>
  <c r="AO25" i="29"/>
  <c r="AO25" i="29" a="1"/>
  <c r="D25" i="29"/>
  <c r="AO24" i="29" a="1"/>
  <c r="AO24" i="29" s="1"/>
  <c r="D24" i="29"/>
  <c r="AO23" i="29" a="1"/>
  <c r="AO23" i="29"/>
  <c r="D23" i="29"/>
  <c r="AO22" i="29" a="1"/>
  <c r="AO22" i="29"/>
  <c r="D22" i="29"/>
  <c r="AO21" i="29" a="1"/>
  <c r="AO21" i="29" s="1"/>
  <c r="D21" i="29"/>
  <c r="AO20" i="29"/>
  <c r="AO20" i="29" a="1"/>
  <c r="D20" i="29"/>
  <c r="AO19" i="29" a="1"/>
  <c r="AO19" i="29" s="1"/>
  <c r="D19" i="29"/>
  <c r="AO18" i="29" a="1"/>
  <c r="AO18" i="29" s="1"/>
  <c r="D18" i="29"/>
  <c r="AO17" i="29" a="1"/>
  <c r="AO17" i="29" s="1"/>
  <c r="D17" i="29"/>
  <c r="AO16" i="29" a="1"/>
  <c r="AO16" i="29" s="1"/>
  <c r="M16" i="29"/>
  <c r="P16" i="29" s="1"/>
  <c r="D16" i="29"/>
  <c r="AN15" i="29" a="1"/>
  <c r="AN15" i="29"/>
  <c r="D15" i="29"/>
  <c r="D14" i="29"/>
  <c r="Q13" i="29" a="1"/>
  <c r="Q13" i="29"/>
  <c r="D13" i="29"/>
  <c r="S7" i="29"/>
  <c r="S6" i="29"/>
  <c r="S5" i="29"/>
  <c r="Q14" i="29" a="1"/>
  <c r="Q14" i="29"/>
  <c r="S13" i="29"/>
  <c r="T13" i="29"/>
  <c r="R13" i="29"/>
  <c r="AO15" i="29" a="1"/>
  <c r="AO15" i="29" s="1"/>
  <c r="O3" i="28"/>
  <c r="Q3" i="28"/>
  <c r="O4" i="28"/>
  <c r="O5" i="28"/>
  <c r="O6" i="28"/>
  <c r="O7" i="28"/>
  <c r="O8" i="28"/>
  <c r="O9" i="28"/>
  <c r="O10" i="28"/>
  <c r="O11" i="28"/>
  <c r="O12" i="28"/>
  <c r="O13" i="28"/>
  <c r="O14" i="28"/>
  <c r="O15" i="28"/>
  <c r="O16" i="28"/>
  <c r="O17" i="28"/>
  <c r="O18" i="28"/>
  <c r="O19" i="28"/>
  <c r="O20" i="28"/>
  <c r="O21" i="28"/>
  <c r="O22" i="28"/>
  <c r="O23" i="28"/>
  <c r="P23" i="28"/>
  <c r="O24" i="28"/>
  <c r="Q24" i="28"/>
  <c r="O25" i="28"/>
  <c r="O26" i="28"/>
  <c r="O27" i="28"/>
  <c r="O28" i="28"/>
  <c r="O29" i="28"/>
  <c r="O30" i="28"/>
  <c r="O31" i="28"/>
  <c r="O32" i="28"/>
  <c r="O33" i="28"/>
  <c r="O34" i="28"/>
  <c r="O35" i="28"/>
  <c r="O36" i="28"/>
  <c r="P36" i="28"/>
  <c r="O37" i="28"/>
  <c r="O38" i="28"/>
  <c r="O39" i="28"/>
  <c r="O40" i="28"/>
  <c r="O41" i="28"/>
  <c r="O42" i="28"/>
  <c r="O43" i="28"/>
  <c r="O44" i="28"/>
  <c r="O45" i="28"/>
  <c r="O46" i="28"/>
  <c r="O47" i="28"/>
  <c r="O48" i="28"/>
  <c r="O49" i="28"/>
  <c r="O50" i="28"/>
  <c r="O51" i="28"/>
  <c r="Q51" i="28"/>
  <c r="O52" i="28"/>
  <c r="O53" i="28"/>
  <c r="O54" i="28"/>
  <c r="O55" i="28"/>
  <c r="O56" i="28"/>
  <c r="O57" i="28"/>
  <c r="O58" i="28"/>
  <c r="O59" i="28"/>
  <c r="O60" i="28"/>
  <c r="O61" i="28"/>
  <c r="O62" i="28"/>
  <c r="O63" i="28"/>
  <c r="O64" i="28"/>
  <c r="P64" i="28"/>
  <c r="O65" i="28"/>
  <c r="O66" i="28"/>
  <c r="O67" i="28"/>
  <c r="Q67" i="28"/>
  <c r="O68" i="28"/>
  <c r="O69" i="28"/>
  <c r="O70" i="28"/>
  <c r="O71" i="28"/>
  <c r="O72" i="28"/>
  <c r="O73" i="28"/>
  <c r="O74" i="28"/>
  <c r="Q74" i="28"/>
  <c r="O75" i="28"/>
  <c r="O76" i="28"/>
  <c r="O77" i="28"/>
  <c r="O78" i="28"/>
  <c r="O79" i="28"/>
  <c r="O80" i="28"/>
  <c r="O81" i="28"/>
  <c r="O82" i="28"/>
  <c r="O83" i="28"/>
  <c r="O84" i="28"/>
  <c r="O85" i="28"/>
  <c r="O86" i="28"/>
  <c r="O87" i="28"/>
  <c r="O88" i="28"/>
  <c r="O89" i="28"/>
  <c r="O90" i="28"/>
  <c r="O91" i="28"/>
  <c r="O92" i="28"/>
  <c r="Q92" i="28"/>
  <c r="O93" i="28"/>
  <c r="O94" i="28"/>
  <c r="O95" i="28"/>
  <c r="O96" i="28"/>
  <c r="O97" i="28"/>
  <c r="O98" i="28"/>
  <c r="Q98" i="28"/>
  <c r="O99" i="28"/>
  <c r="O100" i="28"/>
  <c r="O101" i="28"/>
  <c r="O102" i="28"/>
  <c r="O103" i="28"/>
  <c r="O104" i="28"/>
  <c r="O105" i="28"/>
  <c r="O106" i="28"/>
  <c r="O107" i="28"/>
  <c r="O108" i="28"/>
  <c r="O109" i="28"/>
  <c r="O110" i="28"/>
  <c r="O111" i="28"/>
  <c r="O112" i="28"/>
  <c r="O113" i="28"/>
  <c r="O114" i="28"/>
  <c r="Q114" i="28"/>
  <c r="O115" i="28"/>
  <c r="O116" i="28"/>
  <c r="O117" i="28"/>
  <c r="O118" i="28"/>
  <c r="O119" i="28"/>
  <c r="O120" i="28"/>
  <c r="O121" i="28"/>
  <c r="O122" i="28"/>
  <c r="Q122" i="28"/>
  <c r="O123" i="28"/>
  <c r="O124" i="28"/>
  <c r="O125" i="28"/>
  <c r="O126" i="28"/>
  <c r="O127" i="28"/>
  <c r="O128" i="28"/>
  <c r="O129" i="28"/>
  <c r="O130" i="28"/>
  <c r="O131" i="28"/>
  <c r="O132" i="28"/>
  <c r="O133" i="28"/>
  <c r="O134" i="28"/>
  <c r="O135" i="28"/>
  <c r="P135" i="28"/>
  <c r="O136" i="28"/>
  <c r="Q136" i="28"/>
  <c r="O137" i="28"/>
  <c r="Q137" i="28"/>
  <c r="O138" i="28"/>
  <c r="O139" i="28"/>
  <c r="O140" i="28"/>
  <c r="Q140" i="28"/>
  <c r="O141" i="28"/>
  <c r="O142" i="28"/>
  <c r="O143" i="28"/>
  <c r="O144" i="28"/>
  <c r="Q144" i="28"/>
  <c r="O145" i="28"/>
  <c r="O146" i="28"/>
  <c r="O147" i="28"/>
  <c r="O148" i="28"/>
  <c r="O149" i="28"/>
  <c r="O150" i="28"/>
  <c r="O151" i="28"/>
  <c r="O152" i="28"/>
  <c r="O153" i="28"/>
  <c r="O154" i="28"/>
  <c r="Q154" i="28"/>
  <c r="O155" i="28"/>
  <c r="O156" i="28"/>
  <c r="O157" i="28"/>
  <c r="Q157" i="28"/>
  <c r="O158" i="28"/>
  <c r="O159" i="28"/>
  <c r="O160" i="28"/>
  <c r="O161" i="28"/>
  <c r="O162" i="28"/>
  <c r="Q162" i="28"/>
  <c r="O163" i="28"/>
  <c r="O164" i="28"/>
  <c r="O165" i="28"/>
  <c r="O166" i="28"/>
  <c r="O167" i="28"/>
  <c r="O168" i="28"/>
  <c r="O169" i="28"/>
  <c r="O170" i="28"/>
  <c r="Q170" i="28"/>
  <c r="O171" i="28"/>
  <c r="O172" i="28"/>
  <c r="O173" i="28"/>
  <c r="O174" i="28"/>
  <c r="O175" i="28"/>
  <c r="O176" i="28"/>
  <c r="O177" i="28"/>
  <c r="O178" i="28"/>
  <c r="Q178" i="28"/>
  <c r="O179" i="28"/>
  <c r="O180" i="28"/>
  <c r="O181" i="28"/>
  <c r="O182" i="28"/>
  <c r="O183" i="28"/>
  <c r="O184" i="28"/>
  <c r="O185" i="28"/>
  <c r="O186" i="28"/>
  <c r="O187" i="28"/>
  <c r="O188" i="28"/>
  <c r="Q188" i="28"/>
  <c r="O189" i="28"/>
  <c r="O190" i="28"/>
  <c r="O191" i="28"/>
  <c r="O192" i="28"/>
  <c r="O193" i="28"/>
  <c r="Q193" i="28"/>
  <c r="O194" i="28"/>
  <c r="O195" i="28"/>
  <c r="O196" i="28"/>
  <c r="Q196" i="28"/>
  <c r="O197" i="28"/>
  <c r="O198" i="28"/>
  <c r="O199" i="28"/>
  <c r="O200" i="28"/>
  <c r="Q200" i="28"/>
  <c r="O201" i="28"/>
  <c r="O202" i="28"/>
  <c r="O203" i="28"/>
  <c r="O204" i="28"/>
  <c r="Q204" i="28"/>
  <c r="O205" i="28"/>
  <c r="O206" i="28"/>
  <c r="O207" i="28"/>
  <c r="O208" i="28"/>
  <c r="O209" i="28"/>
  <c r="O210" i="28"/>
  <c r="O211" i="28"/>
  <c r="O212" i="28"/>
  <c r="O213" i="28"/>
  <c r="Q213" i="28"/>
  <c r="O214" i="28"/>
  <c r="O215" i="28"/>
  <c r="O216" i="28"/>
  <c r="Q216" i="28"/>
  <c r="O217" i="28"/>
  <c r="O218" i="28"/>
  <c r="O219" i="28"/>
  <c r="O220" i="28"/>
  <c r="O221" i="28"/>
  <c r="O222" i="28"/>
  <c r="O223" i="28"/>
  <c r="O224" i="28"/>
  <c r="O225" i="28"/>
  <c r="O226" i="28"/>
  <c r="O227" i="28"/>
  <c r="O228" i="28"/>
  <c r="O229" i="28"/>
  <c r="P229" i="28"/>
  <c r="O230" i="28"/>
  <c r="O231" i="28"/>
  <c r="O232" i="28"/>
  <c r="Q232" i="28"/>
  <c r="O233" i="28"/>
  <c r="O234" i="28"/>
  <c r="O235" i="28"/>
  <c r="O236" i="28"/>
  <c r="O237" i="28"/>
  <c r="Q237" i="28"/>
  <c r="O238" i="28"/>
  <c r="O239" i="28"/>
  <c r="O2" i="28"/>
  <c r="E239" i="28"/>
  <c r="F239" i="28"/>
  <c r="E238" i="28"/>
  <c r="F238" i="28"/>
  <c r="E237" i="28"/>
  <c r="F237" i="28"/>
  <c r="E236" i="28"/>
  <c r="F236" i="28"/>
  <c r="E235" i="28"/>
  <c r="F235" i="28"/>
  <c r="E234" i="28"/>
  <c r="F234" i="28"/>
  <c r="E233" i="28"/>
  <c r="F233" i="28"/>
  <c r="E232" i="28"/>
  <c r="F232" i="28"/>
  <c r="E231" i="28"/>
  <c r="F231" i="28"/>
  <c r="E230" i="28"/>
  <c r="F230" i="28"/>
  <c r="E229" i="28"/>
  <c r="F229" i="28"/>
  <c r="E228" i="28"/>
  <c r="F228" i="28"/>
  <c r="E227" i="28"/>
  <c r="F227" i="28"/>
  <c r="E226" i="28"/>
  <c r="F226" i="28"/>
  <c r="E225" i="28"/>
  <c r="F225" i="28"/>
  <c r="E224" i="28"/>
  <c r="F224" i="28"/>
  <c r="E223" i="28"/>
  <c r="F223" i="28"/>
  <c r="E222" i="28"/>
  <c r="F222" i="28"/>
  <c r="E221" i="28"/>
  <c r="F221" i="28"/>
  <c r="E220" i="28"/>
  <c r="F220" i="28"/>
  <c r="E219" i="28"/>
  <c r="F219" i="28"/>
  <c r="E218" i="28"/>
  <c r="F218" i="28"/>
  <c r="E217" i="28"/>
  <c r="F217" i="28"/>
  <c r="E216" i="28"/>
  <c r="F216" i="28"/>
  <c r="E215" i="28"/>
  <c r="F215" i="28"/>
  <c r="E214" i="28"/>
  <c r="F214" i="28"/>
  <c r="E213" i="28"/>
  <c r="F213" i="28"/>
  <c r="E212" i="28"/>
  <c r="F212" i="28"/>
  <c r="E211" i="28"/>
  <c r="F211" i="28"/>
  <c r="E210" i="28"/>
  <c r="F210" i="28"/>
  <c r="E209" i="28"/>
  <c r="F209" i="28"/>
  <c r="E208" i="28"/>
  <c r="F208" i="28"/>
  <c r="E207" i="28"/>
  <c r="F207" i="28"/>
  <c r="E206" i="28"/>
  <c r="F206" i="28"/>
  <c r="E205" i="28"/>
  <c r="F205" i="28"/>
  <c r="E204" i="28"/>
  <c r="F204" i="28"/>
  <c r="E203" i="28"/>
  <c r="F203" i="28"/>
  <c r="E202" i="28"/>
  <c r="F202" i="28"/>
  <c r="E201" i="28"/>
  <c r="F201" i="28"/>
  <c r="E200" i="28"/>
  <c r="F200" i="28"/>
  <c r="E199" i="28"/>
  <c r="F199" i="28"/>
  <c r="E198" i="28"/>
  <c r="F198" i="28"/>
  <c r="E197" i="28"/>
  <c r="F197" i="28"/>
  <c r="E196" i="28"/>
  <c r="F196" i="28"/>
  <c r="E195" i="28"/>
  <c r="F195" i="28"/>
  <c r="E194" i="28"/>
  <c r="F194" i="28"/>
  <c r="E193" i="28"/>
  <c r="F193" i="28"/>
  <c r="E192" i="28"/>
  <c r="F192" i="28"/>
  <c r="E191" i="28"/>
  <c r="F191" i="28"/>
  <c r="E190" i="28"/>
  <c r="F190" i="28"/>
  <c r="E189" i="28"/>
  <c r="F189" i="28"/>
  <c r="E188" i="28"/>
  <c r="F188" i="28"/>
  <c r="E187" i="28"/>
  <c r="F187" i="28"/>
  <c r="E186" i="28"/>
  <c r="F186" i="28"/>
  <c r="E185" i="28"/>
  <c r="F185" i="28"/>
  <c r="E184" i="28"/>
  <c r="F184" i="28"/>
  <c r="E183" i="28"/>
  <c r="F183" i="28"/>
  <c r="E182" i="28"/>
  <c r="F182" i="28"/>
  <c r="E181" i="28"/>
  <c r="F181" i="28"/>
  <c r="E180" i="28"/>
  <c r="F180" i="28"/>
  <c r="E179" i="28"/>
  <c r="F179" i="28"/>
  <c r="E178" i="28"/>
  <c r="F178" i="28"/>
  <c r="E177" i="28"/>
  <c r="F177" i="28"/>
  <c r="E176" i="28"/>
  <c r="F176" i="28"/>
  <c r="E175" i="28"/>
  <c r="F175" i="28"/>
  <c r="E174" i="28"/>
  <c r="F174" i="28"/>
  <c r="E173" i="28"/>
  <c r="F173" i="28"/>
  <c r="E172" i="28"/>
  <c r="F172" i="28"/>
  <c r="E171" i="28"/>
  <c r="F171" i="28"/>
  <c r="E170" i="28"/>
  <c r="F170" i="28"/>
  <c r="E169" i="28"/>
  <c r="F169" i="28"/>
  <c r="E168" i="28"/>
  <c r="F168" i="28"/>
  <c r="F167" i="28"/>
  <c r="E166" i="28"/>
  <c r="F166" i="28"/>
  <c r="E165" i="28"/>
  <c r="F165" i="28"/>
  <c r="E164" i="28"/>
  <c r="F164" i="28"/>
  <c r="E163" i="28"/>
  <c r="F163" i="28"/>
  <c r="E162" i="28"/>
  <c r="F162" i="28"/>
  <c r="E161" i="28"/>
  <c r="F161" i="28"/>
  <c r="E160" i="28"/>
  <c r="F160" i="28"/>
  <c r="E159" i="28"/>
  <c r="F159" i="28"/>
  <c r="E158" i="28"/>
  <c r="F158" i="28"/>
  <c r="E157" i="28"/>
  <c r="F157" i="28"/>
  <c r="E156" i="28"/>
  <c r="F156" i="28"/>
  <c r="E155" i="28"/>
  <c r="F155" i="28"/>
  <c r="E154" i="28"/>
  <c r="F154" i="28"/>
  <c r="E153" i="28"/>
  <c r="F153" i="28"/>
  <c r="E152" i="28"/>
  <c r="F152" i="28"/>
  <c r="E151" i="28"/>
  <c r="F151" i="28"/>
  <c r="E150" i="28"/>
  <c r="F150" i="28"/>
  <c r="E149" i="28"/>
  <c r="F149" i="28"/>
  <c r="E148" i="28"/>
  <c r="F148" i="28"/>
  <c r="E147" i="28"/>
  <c r="F147" i="28"/>
  <c r="E146" i="28"/>
  <c r="F146" i="28"/>
  <c r="E145" i="28"/>
  <c r="F145" i="28"/>
  <c r="E144" i="28"/>
  <c r="F144" i="28"/>
  <c r="E143" i="28"/>
  <c r="F143" i="28"/>
  <c r="E142" i="28"/>
  <c r="F142" i="28"/>
  <c r="E141" i="28"/>
  <c r="F141" i="28"/>
  <c r="E140" i="28"/>
  <c r="F140" i="28"/>
  <c r="E139" i="28"/>
  <c r="F139" i="28"/>
  <c r="E138" i="28"/>
  <c r="F138" i="28"/>
  <c r="E137" i="28"/>
  <c r="F137" i="28"/>
  <c r="E136" i="28"/>
  <c r="F136" i="28"/>
  <c r="E135" i="28"/>
  <c r="F135" i="28"/>
  <c r="E134" i="28"/>
  <c r="F134" i="28"/>
  <c r="E133" i="28"/>
  <c r="F133" i="28"/>
  <c r="E132" i="28"/>
  <c r="F132" i="28"/>
  <c r="E131" i="28"/>
  <c r="F131" i="28"/>
  <c r="E130" i="28"/>
  <c r="F130" i="28"/>
  <c r="E129" i="28"/>
  <c r="F129" i="28"/>
  <c r="E128" i="28"/>
  <c r="F128" i="28"/>
  <c r="E127" i="28"/>
  <c r="F127" i="28"/>
  <c r="E126" i="28"/>
  <c r="F126" i="28"/>
  <c r="E125" i="28"/>
  <c r="F125" i="28"/>
  <c r="E124" i="28"/>
  <c r="F124" i="28"/>
  <c r="E123" i="28"/>
  <c r="F123" i="28"/>
  <c r="E122" i="28"/>
  <c r="F122" i="28"/>
  <c r="E121" i="28"/>
  <c r="F121" i="28"/>
  <c r="E120" i="28"/>
  <c r="F120" i="28"/>
  <c r="E119" i="28"/>
  <c r="F119" i="28"/>
  <c r="E118" i="28"/>
  <c r="F118" i="28"/>
  <c r="E117" i="28"/>
  <c r="F117" i="28"/>
  <c r="E116" i="28"/>
  <c r="F116" i="28"/>
  <c r="E115" i="28"/>
  <c r="F115" i="28"/>
  <c r="E114" i="28"/>
  <c r="F114" i="28"/>
  <c r="E113" i="28"/>
  <c r="F113" i="28"/>
  <c r="E112" i="28"/>
  <c r="F112" i="28"/>
  <c r="E111" i="28"/>
  <c r="F111" i="28"/>
  <c r="E110" i="28"/>
  <c r="F110" i="28"/>
  <c r="E109" i="28"/>
  <c r="F109" i="28"/>
  <c r="E108" i="28"/>
  <c r="F108" i="28"/>
  <c r="E107" i="28"/>
  <c r="F107" i="28"/>
  <c r="E106" i="28"/>
  <c r="F106" i="28"/>
  <c r="E105" i="28"/>
  <c r="F105" i="28"/>
  <c r="E104" i="28"/>
  <c r="F104" i="28"/>
  <c r="E103" i="28"/>
  <c r="F103" i="28"/>
  <c r="E102" i="28"/>
  <c r="F102" i="28"/>
  <c r="E101" i="28"/>
  <c r="F101" i="28"/>
  <c r="E100" i="28"/>
  <c r="F100" i="28"/>
  <c r="E99" i="28"/>
  <c r="F99" i="28"/>
  <c r="E98" i="28"/>
  <c r="F98" i="28"/>
  <c r="E97" i="28"/>
  <c r="F97" i="28"/>
  <c r="E96" i="28"/>
  <c r="F96" i="28"/>
  <c r="E95" i="28"/>
  <c r="F95" i="28"/>
  <c r="E94" i="28"/>
  <c r="F94" i="28"/>
  <c r="E93" i="28"/>
  <c r="F93" i="28"/>
  <c r="E92" i="28"/>
  <c r="F92" i="28"/>
  <c r="E91" i="28"/>
  <c r="F91" i="28"/>
  <c r="E90" i="28"/>
  <c r="F90" i="28"/>
  <c r="E89" i="28"/>
  <c r="F89" i="28"/>
  <c r="E88" i="28"/>
  <c r="F88" i="28"/>
  <c r="E87" i="28"/>
  <c r="F87" i="28"/>
  <c r="E86" i="28"/>
  <c r="F86" i="28"/>
  <c r="E85" i="28"/>
  <c r="F85" i="28"/>
  <c r="E84" i="28"/>
  <c r="F84" i="28"/>
  <c r="E83" i="28"/>
  <c r="F83" i="28"/>
  <c r="E82" i="28"/>
  <c r="F82" i="28"/>
  <c r="E81" i="28"/>
  <c r="F81" i="28"/>
  <c r="E80" i="28"/>
  <c r="F80" i="28"/>
  <c r="E79" i="28"/>
  <c r="F79" i="28"/>
  <c r="E78" i="28"/>
  <c r="F78" i="28"/>
  <c r="E77" i="28"/>
  <c r="F77" i="28"/>
  <c r="E76" i="28"/>
  <c r="F76" i="28"/>
  <c r="E75" i="28"/>
  <c r="F75" i="28"/>
  <c r="E74" i="28"/>
  <c r="F74" i="28"/>
  <c r="E73" i="28"/>
  <c r="F73" i="28"/>
  <c r="E72" i="28"/>
  <c r="F72" i="28"/>
  <c r="E71" i="28"/>
  <c r="F71" i="28"/>
  <c r="E70" i="28"/>
  <c r="F70" i="28"/>
  <c r="E69" i="28"/>
  <c r="F69" i="28"/>
  <c r="E68" i="28"/>
  <c r="F68" i="28"/>
  <c r="E67" i="28"/>
  <c r="F67" i="28"/>
  <c r="E66" i="28"/>
  <c r="F66" i="28"/>
  <c r="E65" i="28"/>
  <c r="F65" i="28"/>
  <c r="E64" i="28"/>
  <c r="F64" i="28"/>
  <c r="E63" i="28"/>
  <c r="F63" i="28"/>
  <c r="E62" i="28"/>
  <c r="F62" i="28"/>
  <c r="E61" i="28"/>
  <c r="F61" i="28"/>
  <c r="E60" i="28"/>
  <c r="F60" i="28"/>
  <c r="E59" i="28"/>
  <c r="F59" i="28"/>
  <c r="E58" i="28"/>
  <c r="F58" i="28"/>
  <c r="E57" i="28"/>
  <c r="F57" i="28"/>
  <c r="E56" i="28"/>
  <c r="F56" i="28"/>
  <c r="E55" i="28"/>
  <c r="F55" i="28"/>
  <c r="E54" i="28"/>
  <c r="F54" i="28"/>
  <c r="E53" i="28"/>
  <c r="F53" i="28"/>
  <c r="E52" i="28"/>
  <c r="F52" i="28"/>
  <c r="E51" i="28"/>
  <c r="F51" i="28"/>
  <c r="E50" i="28"/>
  <c r="F50" i="28"/>
  <c r="E49" i="28"/>
  <c r="F49" i="28"/>
  <c r="E48" i="28"/>
  <c r="F48" i="28"/>
  <c r="E47" i="28"/>
  <c r="F47" i="28"/>
  <c r="E46" i="28"/>
  <c r="F46" i="28"/>
  <c r="E45" i="28"/>
  <c r="F45" i="28"/>
  <c r="E44" i="28"/>
  <c r="F44" i="28"/>
  <c r="E43" i="28"/>
  <c r="F43" i="28"/>
  <c r="E42" i="28"/>
  <c r="F42" i="28"/>
  <c r="E41" i="28"/>
  <c r="F41" i="28"/>
  <c r="E40" i="28"/>
  <c r="F40" i="28"/>
  <c r="E39" i="28"/>
  <c r="F39" i="28"/>
  <c r="E38" i="28"/>
  <c r="F38" i="28"/>
  <c r="E37" i="28"/>
  <c r="F37" i="28"/>
  <c r="E36" i="28"/>
  <c r="F36" i="28"/>
  <c r="E35" i="28"/>
  <c r="F35" i="28"/>
  <c r="E34" i="28"/>
  <c r="F34" i="28"/>
  <c r="E33" i="28"/>
  <c r="F33" i="28"/>
  <c r="E32" i="28"/>
  <c r="F32" i="28"/>
  <c r="E31" i="28"/>
  <c r="F31" i="28"/>
  <c r="E30" i="28"/>
  <c r="F30" i="28"/>
  <c r="E29" i="28"/>
  <c r="F29" i="28"/>
  <c r="E28" i="28"/>
  <c r="F28" i="28"/>
  <c r="E27" i="28"/>
  <c r="F27" i="28"/>
  <c r="E26" i="28"/>
  <c r="F26" i="28"/>
  <c r="E25" i="28"/>
  <c r="F25" i="28"/>
  <c r="E24" i="28"/>
  <c r="F24" i="28"/>
  <c r="E23" i="28"/>
  <c r="F23" i="28"/>
  <c r="E22" i="28"/>
  <c r="F22" i="28"/>
  <c r="E21" i="28"/>
  <c r="F21" i="28"/>
  <c r="E20" i="28"/>
  <c r="F20" i="28"/>
  <c r="E19" i="28"/>
  <c r="F19" i="28"/>
  <c r="E18" i="28"/>
  <c r="F18" i="28"/>
  <c r="E17" i="28"/>
  <c r="F17" i="28"/>
  <c r="E16" i="28"/>
  <c r="F16" i="28"/>
  <c r="E15" i="28"/>
  <c r="F15" i="28"/>
  <c r="E14" i="28"/>
  <c r="F14" i="28"/>
  <c r="E13" i="28"/>
  <c r="F13" i="28"/>
  <c r="E12" i="28"/>
  <c r="F12" i="28"/>
  <c r="E11" i="28"/>
  <c r="F11" i="28"/>
  <c r="E10" i="28"/>
  <c r="F10" i="28"/>
  <c r="E9" i="28"/>
  <c r="F9" i="28"/>
  <c r="E8" i="28"/>
  <c r="F8" i="28"/>
  <c r="E7" i="28"/>
  <c r="F7" i="28"/>
  <c r="E6" i="28"/>
  <c r="F6" i="28"/>
  <c r="E5" i="28"/>
  <c r="F5" i="28"/>
  <c r="E4" i="28"/>
  <c r="F4" i="28"/>
  <c r="E3" i="28"/>
  <c r="F3" i="28"/>
  <c r="E2" i="28"/>
  <c r="F2" i="28"/>
  <c r="Q21" i="27"/>
  <c r="Y20" i="27"/>
  <c r="S20" i="27"/>
  <c r="Q20" i="27"/>
  <c r="O20" i="27"/>
  <c r="N20" i="27"/>
  <c r="C20" i="27"/>
  <c r="AC19" i="27"/>
  <c r="AD19" i="27"/>
  <c r="AB19" i="27"/>
  <c r="AD18" i="27"/>
  <c r="AB18" i="27"/>
  <c r="AC17" i="27"/>
  <c r="AD17" i="27"/>
  <c r="AB17" i="27"/>
  <c r="AA17" i="27"/>
  <c r="AA16" i="27"/>
  <c r="AB16" i="27"/>
  <c r="AC15" i="27"/>
  <c r="AD15" i="27"/>
  <c r="Z15" i="27"/>
  <c r="AB15" i="27"/>
  <c r="R15" i="27"/>
  <c r="O15" i="27"/>
  <c r="M15" i="27"/>
  <c r="L15" i="27"/>
  <c r="K15" i="27"/>
  <c r="J15" i="27"/>
  <c r="I15" i="27"/>
  <c r="H15" i="27"/>
  <c r="AC14" i="27"/>
  <c r="Z14" i="27"/>
  <c r="AD14" i="27"/>
  <c r="R14" i="27"/>
  <c r="O14" i="27"/>
  <c r="M14" i="27"/>
  <c r="M20" i="27"/>
  <c r="L14" i="27"/>
  <c r="K14" i="27"/>
  <c r="I14" i="27"/>
  <c r="H14" i="27"/>
  <c r="AC13" i="27"/>
  <c r="AD13" i="27"/>
  <c r="AB13" i="27"/>
  <c r="Z13" i="27"/>
  <c r="Y13" i="27"/>
  <c r="R13" i="27"/>
  <c r="O13" i="27"/>
  <c r="M13" i="27"/>
  <c r="L13" i="27"/>
  <c r="L20" i="27"/>
  <c r="K13" i="27"/>
  <c r="I13" i="27"/>
  <c r="J13" i="27"/>
  <c r="H13" i="27"/>
  <c r="AC12" i="27"/>
  <c r="AD12" i="27"/>
  <c r="AB12" i="27"/>
  <c r="Y12" i="27"/>
  <c r="R12" i="27"/>
  <c r="T12" i="27"/>
  <c r="O12" i="27"/>
  <c r="M12" i="27"/>
  <c r="L12" i="27"/>
  <c r="K12" i="27"/>
  <c r="I12" i="27"/>
  <c r="J14" i="27"/>
  <c r="H12" i="27"/>
  <c r="H20" i="27"/>
  <c r="U8" i="27"/>
  <c r="N4" i="27"/>
  <c r="N5" i="27"/>
  <c r="U21" i="27"/>
  <c r="E8" i="27"/>
  <c r="E7" i="27"/>
  <c r="N6" i="27"/>
  <c r="E2" i="27"/>
  <c r="P235" i="28"/>
  <c r="P12" i="28"/>
  <c r="P219" i="28"/>
  <c r="P2" i="28"/>
  <c r="P80" i="28"/>
  <c r="P48" i="28"/>
  <c r="P16" i="28"/>
  <c r="P189" i="28"/>
  <c r="P125" i="28"/>
  <c r="P93" i="28"/>
  <c r="P29" i="28"/>
  <c r="P13" i="28"/>
  <c r="P203" i="28"/>
  <c r="P139" i="28"/>
  <c r="P43" i="28"/>
  <c r="P27" i="28"/>
  <c r="P11" i="28"/>
  <c r="P233" i="28"/>
  <c r="P25" i="28"/>
  <c r="P9" i="28"/>
  <c r="P55" i="28"/>
  <c r="P21" i="28"/>
  <c r="M48" i="29" a="1"/>
  <c r="M48" i="29"/>
  <c r="P48" i="29" s="1"/>
  <c r="M49" i="29" a="1"/>
  <c r="M49" i="29" s="1"/>
  <c r="P49" i="29" s="1"/>
  <c r="M50" i="29" a="1"/>
  <c r="M50" i="29"/>
  <c r="P50" i="29" s="1"/>
  <c r="Q15" i="29" a="1"/>
  <c r="Q15" i="29"/>
  <c r="R14" i="29"/>
  <c r="T14" i="29"/>
  <c r="S14" i="29"/>
  <c r="P179" i="28"/>
  <c r="P163" i="28"/>
  <c r="P239" i="28"/>
  <c r="P207" i="28"/>
  <c r="P191" i="28"/>
  <c r="P190" i="28"/>
  <c r="P115" i="28"/>
  <c r="P223" i="28"/>
  <c r="Q223" i="28"/>
  <c r="P175" i="28"/>
  <c r="P159" i="28"/>
  <c r="P143" i="28"/>
  <c r="P127" i="28"/>
  <c r="P111" i="28"/>
  <c r="Q111" i="28"/>
  <c r="P95" i="28"/>
  <c r="Q95" i="28"/>
  <c r="P79" i="28"/>
  <c r="P63" i="28"/>
  <c r="P47" i="28"/>
  <c r="Q47" i="28"/>
  <c r="P31" i="28"/>
  <c r="Q31" i="28"/>
  <c r="P15" i="28"/>
  <c r="P96" i="28"/>
  <c r="Q96" i="28"/>
  <c r="P238" i="28"/>
  <c r="P222" i="28"/>
  <c r="Q222" i="28"/>
  <c r="P206" i="28"/>
  <c r="P174" i="28"/>
  <c r="Q174" i="28"/>
  <c r="P158" i="28"/>
  <c r="P142" i="28"/>
  <c r="P126" i="28"/>
  <c r="Q126" i="28"/>
  <c r="P110" i="28"/>
  <c r="P94" i="28"/>
  <c r="Q94" i="28"/>
  <c r="P78" i="28"/>
  <c r="P62" i="28"/>
  <c r="Q62" i="28"/>
  <c r="P46" i="28"/>
  <c r="P30" i="28"/>
  <c r="Q30" i="28"/>
  <c r="P14" i="28"/>
  <c r="Q14" i="28"/>
  <c r="P221" i="28"/>
  <c r="Q221" i="28"/>
  <c r="P109" i="28"/>
  <c r="P77" i="28"/>
  <c r="Q77" i="28"/>
  <c r="P61" i="28"/>
  <c r="P45" i="28"/>
  <c r="P236" i="28"/>
  <c r="Q236" i="28"/>
  <c r="P220" i="28"/>
  <c r="Q220" i="28"/>
  <c r="P172" i="28"/>
  <c r="P156" i="28"/>
  <c r="P76" i="28"/>
  <c r="P60" i="28"/>
  <c r="P44" i="28"/>
  <c r="P28" i="28"/>
  <c r="Q28" i="28"/>
  <c r="P187" i="28"/>
  <c r="Q187" i="28"/>
  <c r="P91" i="28"/>
  <c r="Q91" i="28"/>
  <c r="P234" i="28"/>
  <c r="Q234" i="28"/>
  <c r="P218" i="28"/>
  <c r="P202" i="28"/>
  <c r="P186" i="28"/>
  <c r="P138" i="28"/>
  <c r="P42" i="28"/>
  <c r="Q42" i="28"/>
  <c r="P26" i="28"/>
  <c r="P10" i="28"/>
  <c r="Q10" i="28"/>
  <c r="P231" i="28"/>
  <c r="Q231" i="28"/>
  <c r="P87" i="28"/>
  <c r="Q87" i="28"/>
  <c r="P71" i="28"/>
  <c r="Q71" i="28"/>
  <c r="P39" i="28"/>
  <c r="Q39" i="28"/>
  <c r="P224" i="28"/>
  <c r="Q224" i="28"/>
  <c r="P208" i="28"/>
  <c r="Q208" i="28"/>
  <c r="P32" i="28"/>
  <c r="Q32" i="28"/>
  <c r="P230" i="28"/>
  <c r="Q230" i="28"/>
  <c r="P214" i="28"/>
  <c r="P198" i="28"/>
  <c r="P182" i="28"/>
  <c r="Q182" i="28"/>
  <c r="P166" i="28"/>
  <c r="Q166" i="28"/>
  <c r="P150" i="28"/>
  <c r="Q150" i="28"/>
  <c r="P134" i="28"/>
  <c r="P118" i="28"/>
  <c r="Q118" i="28"/>
  <c r="P102" i="28"/>
  <c r="Q102" i="28"/>
  <c r="P86" i="28"/>
  <c r="Q86" i="28"/>
  <c r="P70" i="28"/>
  <c r="Q70" i="28"/>
  <c r="P54" i="28"/>
  <c r="P38" i="28"/>
  <c r="P22" i="28"/>
  <c r="Q22" i="28"/>
  <c r="P85" i="28"/>
  <c r="Q85" i="28"/>
  <c r="P37" i="28"/>
  <c r="Q37" i="28"/>
  <c r="P228" i="28"/>
  <c r="Q228" i="28"/>
  <c r="P148" i="28"/>
  <c r="Q148" i="28"/>
  <c r="P84" i="28"/>
  <c r="P20" i="28"/>
  <c r="Q20" i="28"/>
  <c r="P227" i="28"/>
  <c r="Q227" i="28"/>
  <c r="P211" i="28"/>
  <c r="P195" i="28"/>
  <c r="P147" i="28"/>
  <c r="P131" i="28"/>
  <c r="Q131" i="28"/>
  <c r="P99" i="28"/>
  <c r="P83" i="28"/>
  <c r="P35" i="28"/>
  <c r="Q35" i="28"/>
  <c r="P19" i="28"/>
  <c r="Q19" i="28"/>
  <c r="P226" i="28"/>
  <c r="Q226" i="28"/>
  <c r="P225" i="28"/>
  <c r="Q225" i="28"/>
  <c r="P97" i="28"/>
  <c r="Q97" i="28"/>
  <c r="P192" i="28"/>
  <c r="P176" i="28"/>
  <c r="P160" i="28"/>
  <c r="P144" i="28"/>
  <c r="P128" i="28"/>
  <c r="P112" i="28"/>
  <c r="P237" i="28"/>
  <c r="P205" i="28"/>
  <c r="P173" i="28"/>
  <c r="P157" i="28"/>
  <c r="P141" i="28"/>
  <c r="P204" i="28"/>
  <c r="P188" i="28"/>
  <c r="P140" i="28"/>
  <c r="P124" i="28"/>
  <c r="P108" i="28"/>
  <c r="P92" i="28"/>
  <c r="P171" i="28"/>
  <c r="P155" i="28"/>
  <c r="P123" i="28"/>
  <c r="P107" i="28"/>
  <c r="P75" i="28"/>
  <c r="P59" i="28"/>
  <c r="P170" i="28"/>
  <c r="P154" i="28"/>
  <c r="P122" i="28"/>
  <c r="P106" i="28"/>
  <c r="P90" i="28"/>
  <c r="P74" i="28"/>
  <c r="P58" i="28"/>
  <c r="P217" i="28"/>
  <c r="P201" i="28"/>
  <c r="P185" i="28"/>
  <c r="P169" i="28"/>
  <c r="P153" i="28"/>
  <c r="P137" i="28"/>
  <c r="P121" i="28"/>
  <c r="P105" i="28"/>
  <c r="P89" i="28"/>
  <c r="P73" i="28"/>
  <c r="P57" i="28"/>
  <c r="P41" i="28"/>
  <c r="P232" i="28"/>
  <c r="P216" i="28"/>
  <c r="P200" i="28"/>
  <c r="P184" i="28"/>
  <c r="P168" i="28"/>
  <c r="P152" i="28"/>
  <c r="P136" i="28"/>
  <c r="P120" i="28"/>
  <c r="P104" i="28"/>
  <c r="P88" i="28"/>
  <c r="P72" i="28"/>
  <c r="P56" i="28"/>
  <c r="P40" i="28"/>
  <c r="P24" i="28"/>
  <c r="P8" i="28"/>
  <c r="P215" i="28"/>
  <c r="P199" i="28"/>
  <c r="P183" i="28"/>
  <c r="P167" i="28"/>
  <c r="P151" i="28"/>
  <c r="P119" i="28"/>
  <c r="P103" i="28"/>
  <c r="P7" i="28"/>
  <c r="P6" i="28"/>
  <c r="P213" i="28"/>
  <c r="P197" i="28"/>
  <c r="P181" i="28"/>
  <c r="P165" i="28"/>
  <c r="P149" i="28"/>
  <c r="P133" i="28"/>
  <c r="P117" i="28"/>
  <c r="P101" i="28"/>
  <c r="P69" i="28"/>
  <c r="P53" i="28"/>
  <c r="P5" i="28"/>
  <c r="P212" i="28"/>
  <c r="P196" i="28"/>
  <c r="P180" i="28"/>
  <c r="P164" i="28"/>
  <c r="P132" i="28"/>
  <c r="P116" i="28"/>
  <c r="P100" i="28"/>
  <c r="P68" i="28"/>
  <c r="P52" i="28"/>
  <c r="P4" i="28"/>
  <c r="P67" i="28"/>
  <c r="P51" i="28"/>
  <c r="P3" i="28"/>
  <c r="P210" i="28"/>
  <c r="P194" i="28"/>
  <c r="P178" i="28"/>
  <c r="P162" i="28"/>
  <c r="P146" i="28"/>
  <c r="P130" i="28"/>
  <c r="P114" i="28"/>
  <c r="P98" i="28"/>
  <c r="P82" i="28"/>
  <c r="P66" i="28"/>
  <c r="P50" i="28"/>
  <c r="P34" i="28"/>
  <c r="P18" i="28"/>
  <c r="P209" i="28"/>
  <c r="P193" i="28"/>
  <c r="P177" i="28"/>
  <c r="P161" i="28"/>
  <c r="P145" i="28"/>
  <c r="P129" i="28"/>
  <c r="P113" i="28"/>
  <c r="P81" i="28"/>
  <c r="P65" i="28"/>
  <c r="P49" i="28"/>
  <c r="P33" i="28"/>
  <c r="P17" i="28"/>
  <c r="N7" i="27"/>
  <c r="U4" i="27"/>
  <c r="U2" i="27"/>
  <c r="N8" i="27"/>
  <c r="J12" i="27"/>
  <c r="J20" i="27"/>
  <c r="H21" i="27"/>
  <c r="AC16" i="27"/>
  <c r="AD16" i="27"/>
  <c r="U3" i="27"/>
  <c r="AB14" i="27"/>
  <c r="AB20" i="27"/>
  <c r="Q240" i="28"/>
  <c r="T15" i="29"/>
  <c r="S15" i="29"/>
  <c r="R15" i="29"/>
  <c r="Q16" i="29" a="1"/>
  <c r="Q16" i="29"/>
  <c r="U6" i="27"/>
  <c r="N9" i="27"/>
  <c r="U7" i="27"/>
  <c r="U5" i="27"/>
  <c r="R16" i="29"/>
  <c r="T16" i="29"/>
  <c r="S16" i="29"/>
  <c r="Q17" i="29" a="1"/>
  <c r="Q17" i="29"/>
  <c r="P9" i="26"/>
  <c r="O9" i="26"/>
  <c r="P10" i="26"/>
  <c r="L9" i="26"/>
  <c r="G9" i="26"/>
  <c r="H9" i="26"/>
  <c r="D9" i="26"/>
  <c r="C9" i="26"/>
  <c r="N8" i="26"/>
  <c r="H8" i="26"/>
  <c r="E8" i="26"/>
  <c r="E9" i="26"/>
  <c r="S7" i="26"/>
  <c r="P9" i="25"/>
  <c r="O9" i="25"/>
  <c r="P10" i="25"/>
  <c r="G9" i="25"/>
  <c r="H9" i="25"/>
  <c r="E9" i="25"/>
  <c r="D9" i="25"/>
  <c r="C9" i="25"/>
  <c r="M8" i="25"/>
  <c r="N8" i="25"/>
  <c r="L8" i="25"/>
  <c r="L9" i="25"/>
  <c r="H8" i="25"/>
  <c r="E8" i="25"/>
  <c r="F8" i="25"/>
  <c r="F9" i="25"/>
  <c r="S7" i="25"/>
  <c r="P9" i="24"/>
  <c r="O9" i="24"/>
  <c r="P10" i="24"/>
  <c r="L9" i="24"/>
  <c r="H9" i="24"/>
  <c r="G9" i="24"/>
  <c r="E9" i="24"/>
  <c r="D9" i="24"/>
  <c r="C9" i="24"/>
  <c r="M8" i="24"/>
  <c r="N8" i="24"/>
  <c r="L8" i="24"/>
  <c r="H8" i="24"/>
  <c r="E8" i="24"/>
  <c r="F8" i="24"/>
  <c r="F9" i="24"/>
  <c r="S7" i="24"/>
  <c r="P9" i="23"/>
  <c r="O9" i="23"/>
  <c r="P10" i="23"/>
  <c r="N9" i="23"/>
  <c r="L9" i="23"/>
  <c r="G9" i="23"/>
  <c r="H9" i="23"/>
  <c r="D9" i="23"/>
  <c r="C9" i="23"/>
  <c r="N8" i="23"/>
  <c r="M8" i="23"/>
  <c r="H8" i="23"/>
  <c r="E8" i="23"/>
  <c r="E9" i="23"/>
  <c r="S7" i="23"/>
  <c r="P15" i="22"/>
  <c r="O15" i="22"/>
  <c r="P16" i="22"/>
  <c r="N15" i="22"/>
  <c r="L15" i="22"/>
  <c r="H15" i="22"/>
  <c r="G15" i="22"/>
  <c r="D15" i="22"/>
  <c r="C15" i="22"/>
  <c r="L14" i="22"/>
  <c r="H14" i="22"/>
  <c r="E14" i="22"/>
  <c r="F14" i="22"/>
  <c r="L13" i="22"/>
  <c r="H13" i="22"/>
  <c r="E13" i="22"/>
  <c r="F13" i="22"/>
  <c r="L12" i="22"/>
  <c r="H12" i="22"/>
  <c r="F12" i="22"/>
  <c r="E12" i="22"/>
  <c r="L11" i="22"/>
  <c r="H11" i="22"/>
  <c r="F11" i="22"/>
  <c r="E11" i="22"/>
  <c r="L10" i="22"/>
  <c r="H10" i="22"/>
  <c r="E10" i="22"/>
  <c r="F10" i="22"/>
  <c r="L9" i="22"/>
  <c r="H9" i="22"/>
  <c r="E9" i="22"/>
  <c r="F9" i="22"/>
  <c r="L8" i="22"/>
  <c r="H8" i="22"/>
  <c r="F8" i="22"/>
  <c r="F15" i="22"/>
  <c r="E8" i="22"/>
  <c r="E15" i="22"/>
  <c r="S7" i="22"/>
  <c r="P15" i="21"/>
  <c r="O15" i="21"/>
  <c r="P16" i="21"/>
  <c r="N15" i="21"/>
  <c r="G15" i="21"/>
  <c r="H15" i="21"/>
  <c r="D15" i="21"/>
  <c r="C15" i="21"/>
  <c r="L14" i="21"/>
  <c r="H14" i="21"/>
  <c r="E14" i="21"/>
  <c r="F14" i="21"/>
  <c r="L13" i="21"/>
  <c r="H13" i="21"/>
  <c r="E13" i="21"/>
  <c r="F13" i="21"/>
  <c r="L12" i="21"/>
  <c r="H12" i="21"/>
  <c r="E12" i="21"/>
  <c r="F12" i="21"/>
  <c r="L11" i="21"/>
  <c r="H11" i="21"/>
  <c r="E11" i="21"/>
  <c r="L10" i="21"/>
  <c r="L15" i="21"/>
  <c r="H10" i="21"/>
  <c r="E10" i="21"/>
  <c r="F10" i="21"/>
  <c r="L9" i="21"/>
  <c r="H9" i="21"/>
  <c r="E9" i="21"/>
  <c r="F9" i="21"/>
  <c r="N16" i="21"/>
  <c r="L8" i="21"/>
  <c r="H8" i="21"/>
  <c r="E8" i="21"/>
  <c r="F8" i="21"/>
  <c r="T17" i="29"/>
  <c r="S17" i="29"/>
  <c r="R17" i="29"/>
  <c r="Q18" i="29" a="1"/>
  <c r="Q18" i="29"/>
  <c r="N10" i="24"/>
  <c r="N9" i="24"/>
  <c r="N10" i="25"/>
  <c r="N9" i="25"/>
  <c r="N9" i="26"/>
  <c r="F11" i="21"/>
  <c r="F15" i="21"/>
  <c r="F8" i="26"/>
  <c r="F9" i="26"/>
  <c r="N16" i="22"/>
  <c r="F8" i="23"/>
  <c r="T18" i="29"/>
  <c r="S18" i="29"/>
  <c r="R18" i="29"/>
  <c r="Q19" i="29" a="1"/>
  <c r="Q19" i="29"/>
  <c r="N10" i="26"/>
  <c r="N10" i="23"/>
  <c r="F9" i="23"/>
  <c r="S19" i="29"/>
  <c r="T19" i="29"/>
  <c r="R19" i="29"/>
  <c r="Q20" i="29" a="1"/>
  <c r="Q20" i="29"/>
  <c r="T20" i="29"/>
  <c r="S20" i="29"/>
  <c r="R20" i="29"/>
  <c r="Q21" i="29" a="1"/>
  <c r="Q21" i="29"/>
  <c r="T21" i="29"/>
  <c r="S21" i="29"/>
  <c r="R21" i="29"/>
  <c r="Q22" i="29" a="1"/>
  <c r="Q22" i="29"/>
  <c r="S22" i="29"/>
  <c r="T22" i="29"/>
  <c r="R22" i="29"/>
  <c r="Q23" i="29" a="1"/>
  <c r="Q23" i="29"/>
  <c r="T23" i="29"/>
  <c r="S23" i="29"/>
  <c r="R23" i="29"/>
  <c r="Q24" i="29" a="1"/>
  <c r="Q24" i="29"/>
  <c r="S24" i="29"/>
  <c r="T24" i="29"/>
  <c r="R24" i="29"/>
  <c r="Q25" i="29" a="1"/>
  <c r="Q25" i="29"/>
  <c r="T25" i="29"/>
  <c r="R25" i="29"/>
  <c r="S25" i="29"/>
  <c r="Q26" i="29" a="1"/>
  <c r="Q26" i="29"/>
  <c r="S26" i="29"/>
  <c r="R26" i="29"/>
  <c r="T26" i="29"/>
  <c r="Q27" i="29" a="1"/>
  <c r="Q27" i="29"/>
  <c r="R27" i="29"/>
  <c r="T27" i="29"/>
  <c r="S27" i="29"/>
  <c r="Q28" i="29" a="1"/>
  <c r="Q28" i="29"/>
  <c r="S28" i="29"/>
  <c r="T28" i="29"/>
  <c r="R28" i="29"/>
  <c r="Q29" i="29" a="1"/>
  <c r="Q29" i="29"/>
  <c r="R29" i="29"/>
  <c r="S29" i="29"/>
  <c r="T29" i="29"/>
  <c r="Q30" i="29" a="1"/>
  <c r="Q30" i="29"/>
  <c r="T30" i="29"/>
  <c r="S30" i="29"/>
  <c r="R30" i="29"/>
  <c r="Q31" i="29" a="1"/>
  <c r="Q31" i="29"/>
  <c r="T31" i="29"/>
  <c r="R31" i="29"/>
  <c r="S31" i="29"/>
  <c r="Q32" i="29" a="1"/>
  <c r="Q32" i="29"/>
  <c r="S32" i="29"/>
  <c r="T32" i="29"/>
  <c r="R32" i="29"/>
  <c r="Q33" i="29" a="1"/>
  <c r="Q33" i="29"/>
  <c r="T33" i="29"/>
  <c r="R33" i="29"/>
  <c r="S33" i="29"/>
  <c r="Q34" i="29" a="1"/>
  <c r="Q34" i="29"/>
  <c r="S34" i="29"/>
  <c r="R34" i="29"/>
  <c r="T34" i="29"/>
  <c r="Q35" i="29" a="1"/>
  <c r="Q35" i="29"/>
  <c r="T35" i="29"/>
  <c r="S35" i="29"/>
  <c r="R35" i="29"/>
  <c r="Q36" i="29" a="1"/>
  <c r="Q36" i="29"/>
  <c r="R36" i="29"/>
  <c r="T36" i="29"/>
  <c r="S36" i="29"/>
  <c r="Q37" i="29" a="1"/>
  <c r="Q37" i="29"/>
  <c r="R37" i="29"/>
  <c r="T37" i="29"/>
  <c r="S37" i="29"/>
  <c r="Q38" i="29" a="1"/>
  <c r="Q38" i="29"/>
  <c r="T38" i="29"/>
  <c r="S38" i="29"/>
  <c r="R38" i="29"/>
  <c r="Q39" i="29" a="1"/>
  <c r="Q39" i="29"/>
  <c r="T39" i="29"/>
  <c r="S39" i="29"/>
  <c r="R39" i="29"/>
  <c r="Q40" i="29" a="1"/>
  <c r="Q40" i="29"/>
  <c r="T40" i="29"/>
  <c r="S40" i="29"/>
  <c r="R40" i="29"/>
  <c r="Q41" i="29" a="1"/>
  <c r="Q41" i="29"/>
  <c r="T41" i="29"/>
  <c r="R41" i="29"/>
  <c r="S41" i="29"/>
  <c r="Q42" i="29" a="1"/>
  <c r="Q42" i="29"/>
  <c r="T42" i="29"/>
  <c r="S42" i="29"/>
  <c r="R42" i="29"/>
  <c r="Q43" i="29" a="1"/>
  <c r="Q43" i="29"/>
  <c r="R43" i="29"/>
  <c r="S43" i="29"/>
  <c r="T43" i="29"/>
  <c r="Q44" i="29" a="1"/>
  <c r="Q44" i="29"/>
  <c r="S44" i="29"/>
  <c r="T44" i="29"/>
  <c r="R44" i="29"/>
  <c r="Q45" i="29" a="1"/>
  <c r="Q45" i="29"/>
  <c r="T45" i="29"/>
  <c r="S45" i="29"/>
  <c r="R45" i="29"/>
  <c r="Q46" i="29" a="1"/>
  <c r="Q46" i="29"/>
  <c r="T46" i="29"/>
  <c r="S46" i="29"/>
  <c r="R46" i="29"/>
  <c r="Q47" i="29" a="1"/>
  <c r="Q47" i="29"/>
  <c r="T47" i="29"/>
  <c r="S47" i="29"/>
  <c r="R47" i="29"/>
  <c r="Q48" i="29" a="1"/>
  <c r="Q48" i="29"/>
  <c r="T48" i="29"/>
  <c r="S48" i="29"/>
  <c r="R48" i="29"/>
  <c r="Q49" i="29" a="1"/>
  <c r="Q49" i="29"/>
  <c r="T49" i="29"/>
  <c r="S49" i="29"/>
  <c r="R49" i="29"/>
  <c r="Q50" i="29" a="1"/>
  <c r="Q50" i="29"/>
  <c r="T50" i="29"/>
  <c r="S50" i="29"/>
  <c r="R50" i="29"/>
  <c r="Q51" i="29" a="1"/>
  <c r="Q51" i="29"/>
  <c r="T51" i="29"/>
  <c r="S51" i="29"/>
  <c r="R51" i="29"/>
  <c r="Q52" i="29" a="1"/>
  <c r="Q52" i="29"/>
  <c r="S52" i="29"/>
  <c r="T52" i="29"/>
  <c r="R52" i="29"/>
  <c r="Q53" i="29" a="1"/>
  <c r="Q53" i="29"/>
  <c r="R53" i="29"/>
  <c r="S53" i="29"/>
  <c r="T53" i="29"/>
  <c r="Q54" i="29" a="1"/>
  <c r="Q54" i="29"/>
  <c r="T54" i="29"/>
  <c r="S54" i="29"/>
  <c r="R54" i="29"/>
  <c r="Q55" i="29" a="1"/>
  <c r="Q55" i="29"/>
  <c r="T55" i="29"/>
  <c r="S55" i="29"/>
  <c r="R55" i="29"/>
  <c r="Q56" i="29" a="1"/>
  <c r="Q56" i="29"/>
  <c r="S56" i="29"/>
  <c r="R56" i="29"/>
  <c r="T56" i="29"/>
  <c r="Q57" i="29" a="1"/>
  <c r="Q57" i="29"/>
  <c r="S57" i="29"/>
  <c r="T57" i="29"/>
  <c r="R57" i="29"/>
  <c r="Q58" i="29" a="1"/>
  <c r="Q58" i="29"/>
  <c r="R58" i="29"/>
  <c r="S58" i="29"/>
  <c r="T58" i="29"/>
  <c r="Q59" i="29" a="1"/>
  <c r="Q59" i="29"/>
  <c r="T59" i="29"/>
  <c r="S59" i="29"/>
  <c r="R59" i="29"/>
  <c r="Q60" i="29" a="1"/>
  <c r="Q60" i="29"/>
  <c r="T60" i="29"/>
  <c r="S60" i="29"/>
  <c r="R60" i="29"/>
  <c r="Q61" i="29" a="1"/>
  <c r="Q61" i="29"/>
  <c r="T61" i="29"/>
  <c r="R61" i="29"/>
  <c r="S61" i="29"/>
  <c r="Q62" i="29" a="1"/>
  <c r="Q62" i="29"/>
  <c r="T62" i="29"/>
  <c r="S62" i="29"/>
  <c r="R62" i="29"/>
  <c r="Q63" i="29" a="1"/>
  <c r="Q63" i="29"/>
  <c r="T63" i="29"/>
  <c r="S63" i="29"/>
  <c r="R63" i="29"/>
  <c r="Q64" i="29" a="1"/>
  <c r="Q64" i="29"/>
  <c r="T64" i="29"/>
  <c r="S64" i="29"/>
  <c r="R64" i="29"/>
  <c r="Q65" i="29" a="1"/>
  <c r="Q65" i="29"/>
  <c r="R65" i="29"/>
  <c r="T65" i="29"/>
  <c r="S65" i="29"/>
  <c r="Q66" i="29" a="1"/>
  <c r="Q66" i="29"/>
  <c r="S66" i="29"/>
  <c r="R66" i="29"/>
  <c r="T66" i="29"/>
  <c r="Q67" i="29" a="1"/>
  <c r="Q67" i="29"/>
  <c r="T67" i="29"/>
  <c r="S67" i="29"/>
  <c r="R67" i="29"/>
  <c r="Q68" i="29" a="1"/>
  <c r="Q68" i="29"/>
  <c r="S68" i="29"/>
  <c r="T68" i="29"/>
  <c r="R68" i="29"/>
  <c r="Q69" i="29" a="1"/>
  <c r="Q69" i="29"/>
  <c r="T69" i="29"/>
  <c r="S69" i="29"/>
  <c r="R69" i="29"/>
  <c r="Q70" i="29" a="1"/>
  <c r="Q70" i="29"/>
  <c r="T70" i="29"/>
  <c r="S70" i="29"/>
  <c r="R70" i="29"/>
  <c r="Q71" i="29" a="1"/>
  <c r="Q71" i="29"/>
  <c r="T71" i="29"/>
  <c r="S71" i="29"/>
  <c r="R71" i="29"/>
  <c r="Q72" i="29" a="1"/>
  <c r="Q72" i="29"/>
  <c r="S72" i="29"/>
  <c r="R72" i="29"/>
  <c r="T72" i="29"/>
  <c r="Q73" i="29" a="1"/>
  <c r="Q73" i="29"/>
  <c r="T73" i="29"/>
  <c r="S73" i="29"/>
  <c r="R73" i="29"/>
  <c r="Q74" i="29" a="1"/>
  <c r="Q74" i="29"/>
  <c r="T74" i="29"/>
  <c r="S74" i="29"/>
  <c r="R74" i="29"/>
  <c r="Q75" i="29" a="1"/>
  <c r="Q75" i="29"/>
  <c r="T75" i="29"/>
  <c r="S75" i="29"/>
  <c r="R75" i="29"/>
  <c r="Q76" i="29" a="1"/>
  <c r="Q76" i="29"/>
  <c r="T76" i="29"/>
  <c r="S76" i="29"/>
  <c r="R76" i="29"/>
  <c r="Q77" i="29" a="1"/>
  <c r="Q77" i="29"/>
  <c r="T77" i="29"/>
  <c r="S77" i="29"/>
  <c r="R77" i="29"/>
  <c r="Q78" i="29" a="1"/>
  <c r="Q78" i="29"/>
  <c r="S78" i="29"/>
  <c r="R78" i="29"/>
  <c r="T78" i="29"/>
  <c r="Q79" i="29" a="1"/>
  <c r="Q79" i="29"/>
  <c r="T79" i="29"/>
  <c r="S79" i="29"/>
  <c r="R79" i="29"/>
  <c r="Q80" i="29" a="1"/>
  <c r="Q80" i="29"/>
  <c r="T80" i="29"/>
  <c r="S80" i="29"/>
  <c r="R80" i="29"/>
  <c r="Q81" i="29" a="1"/>
  <c r="Q81" i="29"/>
  <c r="T81" i="29"/>
  <c r="S81" i="29"/>
  <c r="R81" i="29"/>
  <c r="Q82" i="29" a="1"/>
  <c r="Q82" i="29"/>
  <c r="T82" i="29"/>
  <c r="S82" i="29"/>
  <c r="R82" i="29"/>
  <c r="Q83" i="29" a="1"/>
  <c r="Q83" i="29"/>
  <c r="T83" i="29"/>
  <c r="R83" i="29"/>
  <c r="S83" i="29"/>
  <c r="Q84" i="29" a="1"/>
  <c r="Q84" i="29"/>
  <c r="T84" i="29"/>
  <c r="S84" i="29"/>
  <c r="R84" i="29"/>
  <c r="Q85" i="29" a="1"/>
  <c r="Q85" i="29"/>
  <c r="T85" i="29"/>
  <c r="S85" i="29"/>
  <c r="R85" i="29"/>
  <c r="Q86" i="29" a="1"/>
  <c r="Q86" i="29"/>
  <c r="T86" i="29"/>
  <c r="S86" i="29"/>
  <c r="R86" i="29"/>
  <c r="Q87" i="29" a="1"/>
  <c r="Q87" i="29"/>
  <c r="S87" i="29"/>
  <c r="R87" i="29"/>
  <c r="T87" i="29"/>
  <c r="Q88" i="29" a="1"/>
  <c r="Q88" i="29"/>
  <c r="T88" i="29"/>
  <c r="S88" i="29"/>
  <c r="R88" i="29"/>
  <c r="Q89" i="29" a="1"/>
  <c r="Q89" i="29"/>
  <c r="R89" i="29"/>
  <c r="T89" i="29"/>
  <c r="S89" i="29"/>
  <c r="Q90" i="29" a="1"/>
  <c r="Q90" i="29"/>
  <c r="S90" i="29"/>
  <c r="R90" i="29"/>
  <c r="T90" i="29"/>
  <c r="Q91" i="29" a="1"/>
  <c r="Q91" i="29"/>
  <c r="T91" i="29"/>
  <c r="S91" i="29"/>
  <c r="R91" i="29"/>
  <c r="Q92" i="29" a="1"/>
  <c r="Q92" i="29"/>
  <c r="T92" i="29"/>
  <c r="S92" i="29"/>
  <c r="R92" i="29"/>
  <c r="Q93" i="29" a="1"/>
  <c r="Q93" i="29"/>
  <c r="T93" i="29"/>
  <c r="S93" i="29"/>
  <c r="R93" i="29"/>
  <c r="Q94" i="29" a="1"/>
  <c r="Q94" i="29"/>
  <c r="T94" i="29"/>
  <c r="S94" i="29"/>
  <c r="R94" i="29"/>
  <c r="Q95" i="29" a="1"/>
  <c r="Q95" i="29"/>
  <c r="T95" i="29"/>
  <c r="S95" i="29"/>
  <c r="R95" i="29"/>
  <c r="Q96" i="29" a="1"/>
  <c r="Q96" i="29"/>
  <c r="R96" i="29"/>
  <c r="T96" i="29"/>
  <c r="S96" i="29"/>
  <c r="Q97" i="29" a="1"/>
  <c r="Q97" i="29"/>
  <c r="T97" i="29"/>
  <c r="S97" i="29"/>
  <c r="R97" i="29"/>
  <c r="Q98" i="29" a="1"/>
  <c r="Q98" i="29"/>
  <c r="T98" i="29"/>
  <c r="S98" i="29"/>
  <c r="R98" i="29"/>
  <c r="Q99" i="29" a="1"/>
  <c r="Q99" i="29"/>
  <c r="T99" i="29"/>
  <c r="S99" i="29"/>
  <c r="R99" i="29"/>
  <c r="Q100" i="29" a="1"/>
  <c r="Q100" i="29"/>
  <c r="T100" i="29"/>
  <c r="S100" i="29"/>
  <c r="R100" i="29"/>
  <c r="Q101" i="29" a="1"/>
  <c r="Q101" i="29"/>
  <c r="T101" i="29"/>
  <c r="S101" i="29"/>
  <c r="R101" i="29"/>
  <c r="Q102" i="29" a="1"/>
  <c r="Q102" i="29"/>
  <c r="T102" i="29"/>
  <c r="S102" i="29"/>
  <c r="R102" i="29"/>
  <c r="Q103" i="29" a="1"/>
  <c r="Q103" i="29"/>
  <c r="S103" i="29"/>
  <c r="R103" i="29"/>
  <c r="T103" i="29"/>
  <c r="Q104" i="29" a="1"/>
  <c r="Q104" i="29"/>
  <c r="T104" i="29"/>
  <c r="S104" i="29"/>
  <c r="R104" i="29"/>
  <c r="Q105" i="29" a="1"/>
  <c r="Q105" i="29"/>
  <c r="R105" i="29"/>
  <c r="T105" i="29"/>
  <c r="S105" i="29"/>
  <c r="Q106" i="29" a="1"/>
  <c r="Q106" i="29"/>
  <c r="T106" i="29"/>
  <c r="S106" i="29"/>
  <c r="R106" i="29"/>
  <c r="Q107" i="29" a="1"/>
  <c r="Q107" i="29"/>
  <c r="T107" i="29"/>
  <c r="S107" i="29"/>
  <c r="R107" i="29"/>
  <c r="Q108" i="29" a="1"/>
  <c r="Q108" i="29"/>
  <c r="T108" i="29"/>
  <c r="S108" i="29"/>
  <c r="R108" i="29"/>
  <c r="Q109" i="29" a="1"/>
  <c r="Q109" i="29"/>
  <c r="T109" i="29"/>
  <c r="S109" i="29"/>
  <c r="R109" i="29"/>
  <c r="Q110" i="29" a="1"/>
  <c r="Q110" i="29"/>
  <c r="T110" i="29"/>
  <c r="S110" i="29"/>
  <c r="R110" i="29"/>
  <c r="Q111" i="29" a="1"/>
  <c r="Q111" i="29"/>
  <c r="T111" i="29"/>
  <c r="S111" i="29"/>
  <c r="R111" i="29"/>
  <c r="Q112" i="29" a="1"/>
  <c r="Q112" i="29"/>
  <c r="S112" i="29"/>
  <c r="R112" i="29"/>
  <c r="T112" i="29"/>
  <c r="Q113" i="29" a="1"/>
  <c r="Q113" i="29"/>
  <c r="T113" i="29"/>
  <c r="S113" i="29"/>
  <c r="R113" i="29"/>
  <c r="Q114" i="29" a="1"/>
  <c r="Q114" i="29"/>
  <c r="R114" i="29"/>
  <c r="T114" i="29"/>
  <c r="S114" i="29"/>
  <c r="Q115" i="29" a="1"/>
  <c r="Q115" i="29"/>
  <c r="T115" i="29"/>
  <c r="S115" i="29"/>
  <c r="R115" i="29"/>
  <c r="Q116" i="29" a="1"/>
  <c r="Q116" i="29"/>
  <c r="T116" i="29"/>
  <c r="S116" i="29"/>
  <c r="R116" i="29"/>
  <c r="Q117" i="29" a="1"/>
  <c r="Q117" i="29"/>
  <c r="T117" i="29"/>
  <c r="S117" i="29"/>
  <c r="R117" i="29"/>
  <c r="Q118" i="29" a="1"/>
  <c r="Q118" i="29"/>
  <c r="T118" i="29"/>
  <c r="S118" i="29"/>
  <c r="R118" i="29"/>
  <c r="Q119" i="29" a="1"/>
  <c r="Q119" i="29"/>
  <c r="T119" i="29"/>
  <c r="S119" i="29"/>
  <c r="R119" i="29"/>
  <c r="Q120" i="29" a="1"/>
  <c r="Q120" i="29"/>
  <c r="T120" i="29"/>
  <c r="S120" i="29"/>
  <c r="R120" i="29"/>
  <c r="Q121" i="29" a="1"/>
  <c r="Q121" i="29"/>
  <c r="R121" i="29"/>
  <c r="T121" i="29"/>
  <c r="S121" i="29"/>
  <c r="Q122" i="29" a="1"/>
  <c r="Q122" i="29"/>
  <c r="T122" i="29"/>
  <c r="S122" i="29"/>
  <c r="R122" i="29"/>
  <c r="Q123" i="29" a="1"/>
  <c r="Q123" i="29"/>
  <c r="T123" i="29"/>
  <c r="S123" i="29"/>
  <c r="R123" i="29"/>
  <c r="Q124" i="29" a="1"/>
  <c r="Q124" i="29"/>
  <c r="T124" i="29"/>
  <c r="S124" i="29"/>
  <c r="R124" i="29"/>
  <c r="Q125" i="29" a="1"/>
  <c r="Q125" i="29"/>
  <c r="T125" i="29"/>
  <c r="S125" i="29"/>
  <c r="R125" i="29"/>
  <c r="Q126" i="29" a="1"/>
  <c r="Q126" i="29"/>
  <c r="T126" i="29"/>
  <c r="S126" i="29"/>
  <c r="R126" i="29"/>
  <c r="Q127" i="29" a="1"/>
  <c r="Q127" i="29"/>
  <c r="T127" i="29"/>
  <c r="S127" i="29"/>
  <c r="R127" i="29"/>
  <c r="Q128" i="29" a="1"/>
  <c r="Q128" i="29"/>
  <c r="S128" i="29"/>
  <c r="R128" i="29"/>
  <c r="T128" i="29"/>
  <c r="Q129" i="29" a="1"/>
  <c r="Q129" i="29"/>
  <c r="T129" i="29"/>
  <c r="S129" i="29"/>
  <c r="R129" i="29"/>
  <c r="Q130" i="29" a="1"/>
  <c r="Q130" i="29"/>
  <c r="T130" i="29"/>
  <c r="S130" i="29"/>
  <c r="R130" i="29"/>
  <c r="Q131" i="29" a="1"/>
  <c r="Q131" i="29"/>
  <c r="T131" i="29"/>
  <c r="S131" i="29"/>
  <c r="R131" i="29"/>
  <c r="Q132" i="29" a="1"/>
  <c r="Q132" i="29"/>
  <c r="T132" i="29"/>
  <c r="S132" i="29"/>
  <c r="R132" i="29"/>
  <c r="Q133" i="29" a="1"/>
  <c r="Q133" i="29"/>
  <c r="T133" i="29"/>
  <c r="S133" i="29"/>
  <c r="R133" i="29"/>
  <c r="Q134" i="29" a="1"/>
  <c r="Q134" i="29"/>
  <c r="T134" i="29"/>
  <c r="S134" i="29"/>
  <c r="R134" i="29"/>
  <c r="Q135" i="29" a="1"/>
  <c r="Q135" i="29"/>
  <c r="T135" i="29"/>
  <c r="S135" i="29"/>
  <c r="R135" i="29"/>
  <c r="Q136" i="29" a="1"/>
  <c r="Q136" i="29"/>
  <c r="T136" i="29"/>
  <c r="S136" i="29"/>
  <c r="R136" i="29"/>
  <c r="Q137" i="29" a="1"/>
  <c r="Q137" i="29"/>
  <c r="S137" i="29"/>
  <c r="R137" i="29"/>
  <c r="T137" i="29"/>
  <c r="Q138" i="29" a="1"/>
  <c r="Q138" i="29"/>
  <c r="T138" i="29"/>
  <c r="S138" i="29"/>
  <c r="R138" i="29"/>
  <c r="Q139" i="29" a="1"/>
  <c r="Q139" i="29"/>
  <c r="T139" i="29"/>
  <c r="S139" i="29"/>
  <c r="R139" i="29"/>
  <c r="Q140" i="29" a="1"/>
  <c r="Q140" i="29"/>
  <c r="T140" i="29"/>
  <c r="S140" i="29"/>
  <c r="R140" i="29"/>
  <c r="Q141" i="29" a="1"/>
  <c r="Q141" i="29"/>
  <c r="T141" i="29"/>
  <c r="S141" i="29"/>
  <c r="R141" i="29"/>
  <c r="Q142" i="29" a="1"/>
  <c r="Q142" i="29"/>
  <c r="T142" i="29"/>
  <c r="S142" i="29"/>
  <c r="R142" i="29"/>
  <c r="Q143" i="29" a="1"/>
  <c r="Q143" i="29"/>
  <c r="T143" i="29"/>
  <c r="S143" i="29"/>
  <c r="R143" i="29"/>
  <c r="Q144" i="29" a="1"/>
  <c r="Q144" i="29"/>
  <c r="T144" i="29"/>
  <c r="S144" i="29"/>
  <c r="R144" i="29"/>
  <c r="Q145" i="29" a="1"/>
  <c r="Q145" i="29"/>
  <c r="T145" i="29"/>
  <c r="S145" i="29"/>
  <c r="R145" i="29"/>
  <c r="Q146" i="29" a="1"/>
  <c r="Q146" i="29"/>
  <c r="R146" i="29"/>
  <c r="T146" i="29"/>
  <c r="S146" i="29"/>
  <c r="Q147" i="29" a="1"/>
  <c r="Q147" i="29"/>
  <c r="T147" i="29"/>
  <c r="S147" i="29"/>
  <c r="R147" i="29"/>
  <c r="Q148" i="29" a="1"/>
  <c r="Q148" i="29"/>
  <c r="T148" i="29"/>
  <c r="S148" i="29"/>
  <c r="R148" i="29"/>
  <c r="Q149" i="29" a="1"/>
  <c r="Q149" i="29"/>
  <c r="T149" i="29"/>
  <c r="S149" i="29"/>
  <c r="R149" i="29"/>
  <c r="Q150" i="29" a="1"/>
  <c r="Q150" i="29"/>
  <c r="T150" i="29"/>
  <c r="S150" i="29"/>
  <c r="R150" i="29"/>
  <c r="Q151" i="29" a="1"/>
  <c r="Q151" i="29"/>
  <c r="T151" i="29"/>
  <c r="S151" i="29"/>
  <c r="R151" i="29"/>
  <c r="Q152" i="29" a="1"/>
  <c r="Q152" i="29"/>
  <c r="T152" i="29"/>
  <c r="S152" i="29"/>
  <c r="R152" i="29"/>
  <c r="Q153" i="29" a="1"/>
  <c r="Q153" i="29"/>
  <c r="S153" i="29"/>
  <c r="R153" i="29"/>
  <c r="T153" i="29"/>
  <c r="Q154" i="29" a="1"/>
  <c r="Q154" i="29"/>
  <c r="T154" i="29"/>
  <c r="S154" i="29"/>
  <c r="R154" i="29"/>
  <c r="Q155" i="29" a="1"/>
  <c r="Q155" i="29"/>
  <c r="T155" i="29"/>
  <c r="S155" i="29"/>
  <c r="R155" i="29"/>
  <c r="Q156" i="29" a="1"/>
  <c r="Q156" i="29"/>
  <c r="T156" i="29"/>
  <c r="S156" i="29"/>
  <c r="R156" i="29"/>
  <c r="Q157" i="29" a="1"/>
  <c r="Q157" i="29"/>
  <c r="T157" i="29"/>
  <c r="S157" i="29"/>
  <c r="R157" i="29"/>
  <c r="Q158" i="29" a="1"/>
  <c r="Q158" i="29"/>
  <c r="T158" i="29"/>
  <c r="S158" i="29"/>
  <c r="R158" i="29"/>
  <c r="Q159" i="29" a="1"/>
  <c r="Q159" i="29"/>
  <c r="T159" i="29"/>
  <c r="S159" i="29"/>
  <c r="R159" i="29"/>
  <c r="Q160" i="29" a="1"/>
  <c r="Q160" i="29"/>
  <c r="T160" i="29"/>
  <c r="S160" i="29"/>
  <c r="R160" i="29"/>
  <c r="Q161" i="29" a="1"/>
  <c r="Q161" i="29"/>
  <c r="T161" i="29"/>
  <c r="S161" i="29"/>
  <c r="R161" i="29"/>
  <c r="Q162" i="29" a="1"/>
  <c r="Q162" i="29"/>
  <c r="R162" i="29"/>
  <c r="T162" i="29"/>
  <c r="S162" i="29"/>
  <c r="Q163" i="29" a="1"/>
  <c r="Q163" i="29"/>
  <c r="T163" i="29"/>
  <c r="S163" i="29"/>
  <c r="R163" i="29"/>
  <c r="Q164" i="29" a="1"/>
  <c r="Q164" i="29"/>
  <c r="T164" i="29"/>
  <c r="S164" i="29"/>
  <c r="R164" i="29"/>
  <c r="Q165" i="29" a="1"/>
  <c r="Q165" i="29"/>
  <c r="T165" i="29"/>
  <c r="S165" i="29"/>
  <c r="R165" i="29"/>
  <c r="Q166" i="29" a="1"/>
  <c r="Q166" i="29"/>
  <c r="T166" i="29"/>
  <c r="S166" i="29"/>
  <c r="R166" i="29"/>
  <c r="Q167" i="29" a="1"/>
  <c r="Q167" i="29"/>
  <c r="T167" i="29"/>
  <c r="S167" i="29"/>
  <c r="R167" i="29"/>
  <c r="Q168" i="29" a="1"/>
  <c r="Q168" i="29"/>
  <c r="T168" i="29"/>
  <c r="S168" i="29"/>
  <c r="R168" i="29"/>
  <c r="Q169" i="29" a="1"/>
  <c r="Q169" i="29"/>
  <c r="S169" i="29"/>
  <c r="R169" i="29"/>
  <c r="T169" i="29"/>
  <c r="Q170" i="29" a="1"/>
  <c r="Q170" i="29"/>
  <c r="T170" i="29"/>
  <c r="S170" i="29"/>
  <c r="R170" i="29"/>
  <c r="Q171" i="29" a="1"/>
  <c r="Q171" i="29"/>
  <c r="T171" i="29"/>
  <c r="S171" i="29"/>
  <c r="R171" i="29"/>
  <c r="Q172" i="29" a="1"/>
  <c r="Q172" i="29"/>
  <c r="T172" i="29"/>
  <c r="S172" i="29"/>
  <c r="R172" i="29"/>
  <c r="Q173" i="29" a="1"/>
  <c r="Q173" i="29"/>
  <c r="T173" i="29"/>
  <c r="S173" i="29"/>
  <c r="R173" i="29"/>
  <c r="Q174" i="29" a="1"/>
  <c r="Q174" i="29"/>
  <c r="T174" i="29"/>
  <c r="S174" i="29"/>
  <c r="R174" i="29"/>
  <c r="Q175" i="29" a="1"/>
  <c r="Q175" i="29"/>
  <c r="T175" i="29"/>
  <c r="S175" i="29"/>
  <c r="R175" i="29"/>
  <c r="Q176" i="29" a="1"/>
  <c r="Q176" i="29"/>
  <c r="T176" i="29"/>
  <c r="S176" i="29"/>
  <c r="R176" i="29"/>
  <c r="Q177" i="29" a="1"/>
  <c r="Q177" i="29"/>
  <c r="T177" i="29"/>
  <c r="S177" i="29"/>
  <c r="R177" i="29"/>
  <c r="Q178" i="29" a="1"/>
  <c r="Q178" i="29"/>
  <c r="R178" i="29"/>
  <c r="S178" i="29"/>
  <c r="T178" i="29"/>
  <c r="Q179" i="29" a="1"/>
  <c r="Q179" i="29"/>
  <c r="T179" i="29"/>
  <c r="S179" i="29"/>
  <c r="R179" i="29"/>
  <c r="Q180" i="29" a="1"/>
  <c r="Q180" i="29"/>
  <c r="R180" i="29"/>
  <c r="T180" i="29"/>
  <c r="S180" i="29"/>
  <c r="Q181" i="29" a="1"/>
  <c r="Q181" i="29"/>
  <c r="T181" i="29"/>
  <c r="S181" i="29"/>
  <c r="R181" i="29"/>
  <c r="Q182" i="29" a="1"/>
  <c r="Q182" i="29"/>
  <c r="T182" i="29"/>
  <c r="S182" i="29"/>
  <c r="R182" i="29"/>
  <c r="Q183" i="29" a="1"/>
  <c r="Q183" i="29"/>
  <c r="T183" i="29"/>
  <c r="S183" i="29"/>
  <c r="R183" i="29"/>
  <c r="Q184" i="29" a="1"/>
  <c r="Q184" i="29"/>
  <c r="T184" i="29"/>
  <c r="S184" i="29"/>
  <c r="R184" i="29"/>
  <c r="Q185" i="29" a="1"/>
  <c r="Q185" i="29"/>
  <c r="S185" i="29"/>
  <c r="T185" i="29"/>
  <c r="R185" i="29"/>
  <c r="Q186" i="29" a="1"/>
  <c r="Q186" i="29"/>
  <c r="T186" i="29"/>
  <c r="S186" i="29"/>
  <c r="R186" i="29"/>
  <c r="Q187" i="29" a="1"/>
  <c r="Q187" i="29"/>
  <c r="T187" i="29"/>
  <c r="S187" i="29"/>
  <c r="R187" i="29"/>
  <c r="Q188" i="29" a="1"/>
  <c r="Q188" i="29"/>
  <c r="T188" i="29"/>
  <c r="S188" i="29"/>
  <c r="R188" i="29"/>
  <c r="Q189" i="29" a="1"/>
  <c r="Q189" i="29"/>
  <c r="T189" i="29"/>
  <c r="S189" i="29"/>
  <c r="R189" i="29"/>
  <c r="Q190" i="29" a="1"/>
  <c r="Q190" i="29"/>
  <c r="T190" i="29"/>
  <c r="S190" i="29"/>
  <c r="R190" i="29"/>
  <c r="Q191" i="29" a="1"/>
  <c r="Q191" i="29"/>
  <c r="S191" i="29"/>
  <c r="R191" i="29"/>
  <c r="T191" i="29"/>
  <c r="Q192" i="29" a="1"/>
  <c r="Q192" i="29"/>
  <c r="T192" i="29"/>
  <c r="S192" i="29"/>
  <c r="R192" i="29"/>
  <c r="Q193" i="29" a="1"/>
  <c r="Q193" i="29"/>
  <c r="R193" i="29"/>
  <c r="T193" i="29"/>
  <c r="S193" i="29"/>
  <c r="Q194" i="29" a="1"/>
  <c r="Q194" i="29"/>
  <c r="R194" i="29"/>
  <c r="T194" i="29"/>
  <c r="S194" i="29"/>
  <c r="Q195" i="29" a="1"/>
  <c r="Q195" i="29"/>
  <c r="T195" i="29"/>
  <c r="S195" i="29"/>
  <c r="R195" i="29"/>
  <c r="Q196" i="29" a="1"/>
  <c r="Q196" i="29"/>
  <c r="T196" i="29"/>
  <c r="S196" i="29"/>
  <c r="R196" i="29"/>
  <c r="Q197" i="29" a="1"/>
  <c r="Q197" i="29"/>
  <c r="T197" i="29"/>
  <c r="S197" i="29"/>
  <c r="R197" i="29"/>
  <c r="Q198" i="29" a="1"/>
  <c r="Q198" i="29"/>
  <c r="T198" i="29"/>
  <c r="S198" i="29"/>
  <c r="R198" i="29"/>
  <c r="Q199" i="29" a="1"/>
  <c r="Q199" i="29"/>
  <c r="T199" i="29"/>
  <c r="S199" i="29"/>
  <c r="R199" i="29"/>
  <c r="Q200" i="29" a="1"/>
  <c r="Q200" i="29"/>
  <c r="T200" i="29"/>
  <c r="S200" i="29"/>
  <c r="R200" i="29"/>
  <c r="Q201" i="29" a="1"/>
  <c r="Q201" i="29"/>
  <c r="S201" i="29"/>
  <c r="T201" i="29"/>
  <c r="R201" i="29"/>
  <c r="Q202" i="29" a="1"/>
  <c r="Q202" i="29"/>
  <c r="T202" i="29"/>
  <c r="S202" i="29"/>
  <c r="R202" i="29"/>
  <c r="Q203" i="29" a="1"/>
  <c r="Q203" i="29"/>
  <c r="T203" i="29"/>
  <c r="S203" i="29"/>
  <c r="R203" i="29"/>
  <c r="Q204" i="29" a="1"/>
  <c r="Q204" i="29"/>
  <c r="T204" i="29"/>
  <c r="S204" i="29"/>
  <c r="R204" i="29"/>
  <c r="Q205" i="29" a="1"/>
  <c r="Q205" i="29"/>
  <c r="S205" i="29"/>
  <c r="T205" i="29"/>
  <c r="R205" i="29"/>
  <c r="Q206" i="29" a="1"/>
  <c r="Q206" i="29"/>
  <c r="T206" i="29"/>
  <c r="S206" i="29"/>
  <c r="R206" i="29"/>
  <c r="Q207" i="29" a="1"/>
  <c r="Q207" i="29"/>
  <c r="T207" i="29"/>
  <c r="S207" i="29"/>
  <c r="R207" i="29"/>
  <c r="Q208" i="29" a="1"/>
  <c r="Q208" i="29"/>
  <c r="T208" i="29"/>
  <c r="S208" i="29"/>
  <c r="R208" i="29"/>
  <c r="Q209" i="29" a="1"/>
  <c r="Q209" i="29"/>
  <c r="T209" i="29"/>
  <c r="S209" i="29"/>
  <c r="R209" i="29"/>
  <c r="Q210" i="29" a="1"/>
  <c r="Q210" i="29"/>
  <c r="R210" i="29"/>
  <c r="T210" i="29"/>
  <c r="S210" i="29"/>
  <c r="Q211" i="29" a="1"/>
  <c r="Q211" i="29"/>
  <c r="S211" i="29"/>
  <c r="T211" i="29"/>
  <c r="R211" i="29"/>
  <c r="Q212" i="29" a="1"/>
  <c r="Q212" i="29"/>
  <c r="T212" i="29"/>
  <c r="S212" i="29"/>
  <c r="S11" i="29"/>
  <c r="R212" i="29"/>
  <c r="R11" i="29"/>
  <c r="Q213" i="29" a="1"/>
  <c r="Q213" i="29"/>
  <c r="T213" i="29"/>
  <c r="S213" i="29"/>
  <c r="R213" i="29"/>
  <c r="Q214" i="29" a="1"/>
  <c r="Q214" i="29"/>
  <c r="R214" i="29"/>
  <c r="T214" i="29"/>
  <c r="S214" i="29"/>
  <c r="Q215" i="29" a="1"/>
  <c r="Q215" i="29"/>
  <c r="S215" i="29"/>
  <c r="R215" i="29"/>
  <c r="T215" i="29"/>
  <c r="Q216" i="29" a="1"/>
  <c r="Q216" i="29"/>
  <c r="T216" i="29"/>
  <c r="S216" i="29"/>
  <c r="R216" i="29"/>
  <c r="Q217" i="29" a="1"/>
  <c r="Q217" i="29"/>
  <c r="S217" i="29"/>
  <c r="T217" i="29"/>
  <c r="R217" i="29"/>
  <c r="Q218" i="29" a="1"/>
  <c r="Q218" i="29"/>
  <c r="T218" i="29"/>
  <c r="S218" i="29"/>
  <c r="R218" i="29"/>
  <c r="Q219" i="29" a="1"/>
  <c r="Q219" i="29"/>
  <c r="S219" i="29"/>
  <c r="T219" i="29"/>
  <c r="R219" i="29"/>
  <c r="Q220" i="29" a="1"/>
  <c r="Q220" i="29"/>
  <c r="R220" i="29"/>
  <c r="T220" i="29"/>
  <c r="S220" i="29"/>
  <c r="Q221" i="29" a="1"/>
  <c r="Q221" i="29"/>
  <c r="S221" i="29"/>
  <c r="T221" i="29"/>
  <c r="R221" i="29"/>
  <c r="Q222" i="29" a="1"/>
  <c r="Q222" i="29"/>
  <c r="R222" i="29"/>
  <c r="T222" i="29"/>
  <c r="S222" i="29"/>
  <c r="Q223" i="29" a="1"/>
  <c r="Q223" i="29"/>
  <c r="T223" i="29"/>
  <c r="S223" i="29"/>
  <c r="R223" i="29"/>
  <c r="Q224" i="29" a="1"/>
  <c r="Q224" i="29"/>
  <c r="T224" i="29"/>
  <c r="S224" i="29"/>
  <c r="R224" i="29"/>
  <c r="Q225" i="29" a="1"/>
  <c r="Q225" i="29"/>
  <c r="T225" i="29"/>
  <c r="S225" i="29"/>
  <c r="R225" i="29"/>
  <c r="Q226" i="29" a="1"/>
  <c r="Q226" i="29"/>
  <c r="T226" i="29"/>
  <c r="R226" i="29"/>
  <c r="S226" i="29"/>
  <c r="Q227" i="29" a="1"/>
  <c r="Q227" i="29"/>
  <c r="S227" i="29"/>
  <c r="T227" i="29"/>
  <c r="R227" i="29"/>
  <c r="Q228" i="29" a="1"/>
  <c r="Q228" i="29"/>
  <c r="T228" i="29"/>
  <c r="R228" i="29"/>
  <c r="S228" i="29"/>
  <c r="Q229" i="29" a="1"/>
  <c r="Q229" i="29"/>
  <c r="S229" i="29"/>
  <c r="R229" i="29"/>
  <c r="T229" i="29"/>
  <c r="Q230" i="29" a="1"/>
  <c r="Q230" i="29"/>
  <c r="R230" i="29"/>
  <c r="T230" i="29"/>
  <c r="S230" i="29"/>
  <c r="Q231" i="29" a="1"/>
  <c r="Q231" i="29"/>
  <c r="T231" i="29"/>
  <c r="S231" i="29"/>
  <c r="R231" i="29"/>
  <c r="Q232" i="29" a="1"/>
  <c r="Q232" i="29"/>
  <c r="T232" i="29"/>
  <c r="S232" i="29"/>
  <c r="R232" i="29"/>
  <c r="Q233" i="29" a="1"/>
  <c r="Q233" i="29"/>
  <c r="S233" i="29"/>
  <c r="R233" i="29"/>
  <c r="T233" i="29"/>
  <c r="Q234" i="29" a="1"/>
  <c r="Q234" i="29"/>
  <c r="T234" i="29"/>
  <c r="S234" i="29"/>
  <c r="R234" i="29"/>
  <c r="Q235" i="29" a="1"/>
  <c r="Q235" i="29"/>
  <c r="S235" i="29"/>
  <c r="T235" i="29"/>
  <c r="R235" i="29"/>
  <c r="Q236" i="29" a="1"/>
  <c r="Q236" i="29"/>
  <c r="R236" i="29"/>
  <c r="T236" i="29"/>
  <c r="S236" i="29"/>
  <c r="Q237" i="29" a="1"/>
  <c r="Q237" i="29"/>
  <c r="S237" i="29"/>
  <c r="T237" i="29"/>
  <c r="R237" i="29"/>
  <c r="Q238" i="29" a="1"/>
  <c r="Q238" i="29"/>
  <c r="S238" i="29"/>
  <c r="T238" i="29"/>
  <c r="R238" i="29"/>
  <c r="Q239" i="29" a="1"/>
  <c r="Q239" i="29"/>
  <c r="T239" i="29"/>
  <c r="S239" i="29"/>
  <c r="R239" i="29"/>
  <c r="Q240" i="29" a="1"/>
  <c r="Q240" i="29"/>
  <c r="T240" i="29"/>
  <c r="S240" i="29"/>
  <c r="R240" i="29"/>
  <c r="Q241" i="29" a="1"/>
  <c r="Q241" i="29"/>
  <c r="T241" i="29"/>
  <c r="S241" i="29"/>
  <c r="R241" i="29"/>
  <c r="Q242" i="29" a="1"/>
  <c r="Q242" i="29"/>
  <c r="T242" i="29"/>
  <c r="S242" i="29"/>
  <c r="R242" i="29"/>
  <c r="Q243" i="29" a="1"/>
  <c r="Q243" i="29"/>
  <c r="S243" i="29"/>
  <c r="R243" i="29"/>
  <c r="T243" i="29"/>
  <c r="Q244" i="29" a="1"/>
  <c r="Q244" i="29"/>
  <c r="T244" i="29"/>
  <c r="S244" i="29"/>
  <c r="R244" i="29"/>
  <c r="Q245" i="29" a="1"/>
  <c r="Q245" i="29"/>
  <c r="T245" i="29"/>
  <c r="S245" i="29"/>
  <c r="R245" i="29"/>
  <c r="Q246" i="29" a="1"/>
  <c r="Q246" i="29"/>
  <c r="R246" i="29"/>
  <c r="T246" i="29"/>
  <c r="S246" i="29"/>
  <c r="Q247" i="29" a="1"/>
  <c r="Q247" i="29"/>
  <c r="T247" i="29"/>
  <c r="R247" i="29"/>
  <c r="S247" i="29"/>
  <c r="Q248" i="29" a="1"/>
  <c r="Q248" i="29"/>
  <c r="S248" i="29"/>
  <c r="T248" i="29"/>
  <c r="R248" i="29"/>
  <c r="Q249" i="29" a="1"/>
  <c r="Q249" i="29"/>
  <c r="T249" i="29"/>
  <c r="S249" i="29"/>
  <c r="R249" i="29"/>
  <c r="Q250" i="29" a="1"/>
  <c r="Q250" i="29"/>
  <c r="T250" i="29"/>
  <c r="S250" i="29"/>
  <c r="R250" i="29"/>
  <c r="Q251" i="29" a="1"/>
  <c r="Q251" i="29"/>
  <c r="T251" i="29"/>
  <c r="S251" i="29"/>
  <c r="R251" i="29"/>
  <c r="Q252" i="29" a="1"/>
  <c r="Q252" i="29"/>
  <c r="S252" i="29"/>
  <c r="R252" i="29"/>
  <c r="T252" i="29"/>
  <c r="Q253" i="29" a="1"/>
  <c r="Q253" i="29"/>
  <c r="S253" i="29"/>
  <c r="R253" i="29"/>
  <c r="T253" i="29"/>
  <c r="Q254" i="29" a="1"/>
  <c r="Q254" i="29"/>
  <c r="S254" i="29"/>
  <c r="R254" i="29"/>
  <c r="T254" i="29"/>
  <c r="Q255" i="29" a="1"/>
  <c r="Q255" i="29"/>
  <c r="T255" i="29"/>
  <c r="S255" i="29"/>
  <c r="R255" i="29"/>
  <c r="Q256" i="29" a="1"/>
  <c r="Q256" i="29"/>
  <c r="T256" i="29"/>
  <c r="S256" i="29"/>
  <c r="R256" i="29"/>
  <c r="Q257" i="29" a="1"/>
  <c r="Q257" i="29"/>
  <c r="R257" i="29"/>
  <c r="T257" i="29"/>
  <c r="S257" i="29"/>
  <c r="Q258" i="29" a="1"/>
  <c r="Q258" i="29"/>
  <c r="T258" i="29"/>
  <c r="S258" i="29"/>
  <c r="R258" i="29"/>
  <c r="Q259" i="29" a="1"/>
  <c r="Q259" i="29"/>
  <c r="T259" i="29"/>
  <c r="S259" i="29"/>
  <c r="R259" i="29"/>
  <c r="Q260" i="29" a="1"/>
  <c r="Q260" i="29"/>
  <c r="T260" i="29"/>
  <c r="S260" i="29"/>
  <c r="R260" i="29"/>
  <c r="Q261" i="29" a="1"/>
  <c r="Q261" i="29"/>
  <c r="T261" i="29"/>
  <c r="R261" i="29"/>
  <c r="S261" i="29"/>
  <c r="Q262" i="29" a="1"/>
  <c r="Q262" i="29"/>
  <c r="R262" i="29"/>
  <c r="T262" i="29"/>
  <c r="S262" i="29"/>
  <c r="Q263" i="29" a="1"/>
  <c r="Q263" i="29"/>
  <c r="T263" i="29"/>
  <c r="S263" i="29"/>
  <c r="R263" i="29"/>
  <c r="Q264" i="29" a="1"/>
  <c r="Q264" i="29"/>
  <c r="S264" i="29"/>
  <c r="T264" i="29"/>
  <c r="R264" i="29"/>
  <c r="Q265" i="29" a="1"/>
  <c r="Q265" i="29"/>
  <c r="T265" i="29"/>
  <c r="S265" i="29"/>
  <c r="R265" i="29"/>
  <c r="Q266" i="29" a="1"/>
  <c r="Q266" i="29"/>
  <c r="T266" i="29"/>
  <c r="S266" i="29"/>
  <c r="R266" i="29"/>
  <c r="Q267" i="29" a="1"/>
  <c r="Q267" i="29"/>
  <c r="T267" i="29"/>
  <c r="S267" i="29"/>
  <c r="R267" i="29"/>
  <c r="Q268" i="29" a="1"/>
  <c r="Q268" i="29"/>
  <c r="S268" i="29"/>
  <c r="R268" i="29"/>
  <c r="T268" i="29"/>
  <c r="Q269" i="29" a="1"/>
  <c r="Q269" i="29"/>
  <c r="S269" i="29"/>
  <c r="R269" i="29"/>
  <c r="T269" i="29"/>
  <c r="Q270" i="29" a="1"/>
  <c r="Q270" i="29"/>
  <c r="T270" i="29"/>
  <c r="S270" i="29"/>
  <c r="R270" i="29"/>
  <c r="Q271" i="29" a="1"/>
  <c r="Q271" i="29"/>
  <c r="T271" i="29"/>
  <c r="S271" i="29"/>
  <c r="R271" i="29"/>
  <c r="Q272" i="29" a="1"/>
  <c r="Q272" i="29"/>
  <c r="T272" i="29"/>
  <c r="S272" i="29"/>
  <c r="R272" i="29"/>
  <c r="Q273" i="29" a="1"/>
  <c r="Q273" i="29"/>
  <c r="R273" i="29"/>
  <c r="T273" i="29"/>
  <c r="S273" i="29"/>
  <c r="Q274" i="29" a="1"/>
  <c r="Q274" i="29"/>
  <c r="T274" i="29"/>
  <c r="S274" i="29"/>
  <c r="R274" i="29"/>
  <c r="Q275" i="29" a="1"/>
  <c r="Q275" i="29"/>
  <c r="T275" i="29"/>
  <c r="S275" i="29"/>
  <c r="R275" i="29"/>
  <c r="Q276" i="29" a="1"/>
  <c r="Q276" i="29"/>
  <c r="T276" i="29"/>
  <c r="S276" i="29"/>
  <c r="R276" i="29"/>
  <c r="Q277" i="29" a="1"/>
  <c r="Q277" i="29"/>
  <c r="T277" i="29"/>
  <c r="S277" i="29"/>
  <c r="R277" i="29"/>
  <c r="Q278" i="29" a="1"/>
  <c r="Q278" i="29"/>
  <c r="S278" i="29"/>
  <c r="R278" i="29"/>
  <c r="T278" i="29"/>
  <c r="Q279" i="29" a="1"/>
  <c r="Q279" i="29"/>
  <c r="T279" i="29"/>
  <c r="S279" i="29"/>
  <c r="R279" i="29"/>
  <c r="Q280" i="29" a="1"/>
  <c r="Q280" i="29"/>
  <c r="S280" i="29"/>
  <c r="T280" i="29"/>
  <c r="R280" i="29"/>
  <c r="Q281" i="29" a="1"/>
  <c r="Q281" i="29"/>
  <c r="T281" i="29"/>
  <c r="S281" i="29"/>
  <c r="R281" i="29"/>
  <c r="Q282" i="29" a="1"/>
  <c r="Q282" i="29"/>
  <c r="T282" i="29"/>
  <c r="S282" i="29"/>
  <c r="R282" i="29"/>
  <c r="Q283" i="29" a="1"/>
  <c r="Q283" i="29"/>
  <c r="T283" i="29"/>
  <c r="S283" i="29"/>
  <c r="R283" i="29"/>
  <c r="Q284" i="29" a="1"/>
  <c r="Q284" i="29"/>
  <c r="T284" i="29"/>
  <c r="S284" i="29"/>
  <c r="R284" i="29"/>
  <c r="Q285" i="29" a="1"/>
  <c r="Q285" i="29"/>
  <c r="T285" i="29"/>
  <c r="S285" i="29"/>
  <c r="R285" i="29"/>
  <c r="Q286" i="29" a="1"/>
  <c r="Q286" i="29"/>
  <c r="T286" i="29"/>
  <c r="S286" i="29"/>
  <c r="R286" i="29"/>
  <c r="Q287" i="29" a="1"/>
  <c r="Q287" i="29"/>
  <c r="T287" i="29"/>
  <c r="R287" i="29"/>
  <c r="S287" i="29"/>
  <c r="Q288" i="29" a="1"/>
  <c r="Q288" i="29"/>
  <c r="T288" i="29"/>
  <c r="S288" i="29"/>
  <c r="R288" i="29"/>
  <c r="Q289" i="29" a="1"/>
  <c r="Q289" i="29"/>
  <c r="R289" i="29"/>
  <c r="T289" i="29"/>
  <c r="S289" i="29"/>
  <c r="Q290" i="29" a="1"/>
  <c r="Q290" i="29"/>
  <c r="T290" i="29"/>
  <c r="S290" i="29"/>
  <c r="R290" i="29"/>
  <c r="Q291" i="29" a="1"/>
  <c r="Q291" i="29"/>
  <c r="T291" i="29"/>
  <c r="S291" i="29"/>
  <c r="R291" i="29"/>
  <c r="Q292" i="29" a="1"/>
  <c r="Q292" i="29"/>
  <c r="T292" i="29"/>
  <c r="S292" i="29"/>
  <c r="R292" i="29"/>
  <c r="Q293" i="29" a="1"/>
  <c r="Q293" i="29"/>
  <c r="T293" i="29"/>
  <c r="S293" i="29"/>
  <c r="R293" i="29"/>
  <c r="Q294" i="29" a="1"/>
  <c r="Q294" i="29"/>
  <c r="T294" i="29"/>
  <c r="S294" i="29"/>
  <c r="R294" i="29"/>
  <c r="Q295" i="29" a="1"/>
  <c r="Q295" i="29"/>
  <c r="T295" i="29"/>
  <c r="S295" i="29"/>
  <c r="R295" i="29"/>
  <c r="Q296" i="29" a="1"/>
  <c r="Q296" i="29"/>
  <c r="S296" i="29"/>
  <c r="T296" i="29"/>
  <c r="R296" i="29"/>
  <c r="Q297" i="29" a="1"/>
  <c r="Q297" i="29"/>
  <c r="T297" i="29"/>
  <c r="S297" i="29"/>
  <c r="R297" i="29"/>
  <c r="Q298" i="29" a="1"/>
  <c r="Q298" i="29"/>
  <c r="S298" i="29"/>
  <c r="R298" i="29"/>
  <c r="T298" i="29"/>
  <c r="Q299" i="29" a="1"/>
  <c r="Q299" i="29"/>
  <c r="T299" i="29"/>
  <c r="S299" i="29"/>
  <c r="R299" i="29"/>
  <c r="Q300" i="29" a="1"/>
  <c r="Q300" i="29"/>
  <c r="T300" i="29"/>
  <c r="R300" i="29"/>
  <c r="S300" i="29"/>
  <c r="Q301" i="29" a="1"/>
  <c r="Q301" i="29"/>
  <c r="T301" i="29"/>
  <c r="S301" i="29"/>
  <c r="R301" i="29"/>
  <c r="Q302" i="29" a="1"/>
  <c r="Q302" i="29"/>
  <c r="R302" i="29"/>
  <c r="T302" i="29"/>
  <c r="S302" i="29"/>
  <c r="Q303" i="29" a="1"/>
  <c r="Q303" i="29"/>
  <c r="T303" i="29"/>
  <c r="S303" i="29"/>
  <c r="R303" i="29"/>
  <c r="Q304" i="29" a="1"/>
  <c r="Q304" i="29"/>
  <c r="T304" i="29"/>
  <c r="S304" i="29"/>
  <c r="R304" i="29"/>
  <c r="Q305" i="29" a="1"/>
  <c r="Q305" i="29"/>
  <c r="R305" i="29"/>
  <c r="T305" i="29"/>
  <c r="S305" i="29"/>
  <c r="Q306" i="29" a="1"/>
  <c r="Q306" i="29"/>
  <c r="T306" i="29"/>
  <c r="S306" i="29"/>
  <c r="R306" i="29"/>
  <c r="Q307" i="29" a="1"/>
  <c r="Q307" i="29"/>
  <c r="T307" i="29"/>
  <c r="S307" i="29"/>
  <c r="R307" i="29"/>
  <c r="Q308" i="29" a="1"/>
  <c r="Q308" i="29"/>
  <c r="T308" i="29"/>
  <c r="S308" i="29"/>
  <c r="R308" i="29"/>
  <c r="Q309" i="29" a="1"/>
  <c r="Q309" i="29"/>
  <c r="S309" i="29"/>
  <c r="T309" i="29"/>
  <c r="R309" i="29"/>
  <c r="Q310" i="29" a="1"/>
  <c r="Q310" i="29"/>
  <c r="T310" i="29"/>
  <c r="S310" i="29"/>
  <c r="R310" i="29"/>
  <c r="Q311" i="29" a="1"/>
  <c r="Q311" i="29"/>
  <c r="T311" i="29"/>
  <c r="S311" i="29"/>
  <c r="R311" i="29"/>
  <c r="Q312" i="29" a="1"/>
  <c r="Q312" i="29"/>
  <c r="S312" i="29"/>
  <c r="T312" i="29"/>
  <c r="R312" i="29"/>
  <c r="Q313" i="29" a="1"/>
  <c r="Q313" i="29"/>
  <c r="T313" i="29"/>
  <c r="S313" i="29"/>
  <c r="R313" i="29"/>
  <c r="Q314" i="29" a="1"/>
  <c r="Q314" i="29"/>
  <c r="S314" i="29"/>
  <c r="R314" i="29"/>
  <c r="T314" i="29"/>
  <c r="Q315" i="29" a="1"/>
  <c r="Q315" i="29"/>
  <c r="T315" i="29"/>
  <c r="S315" i="29"/>
  <c r="R315" i="29"/>
  <c r="Q316" i="29" a="1"/>
  <c r="Q316" i="29"/>
  <c r="T316" i="29"/>
  <c r="S316" i="29"/>
  <c r="R316" i="29"/>
  <c r="Q317" i="29" a="1"/>
  <c r="Q317" i="29"/>
  <c r="T317" i="29"/>
  <c r="S317" i="29"/>
  <c r="R317" i="29"/>
  <c r="Q318" i="29" a="1"/>
  <c r="Q318" i="29"/>
  <c r="R318" i="29"/>
  <c r="T318" i="29"/>
  <c r="S318" i="29"/>
  <c r="Q319" i="29" a="1"/>
  <c r="Q319" i="29"/>
  <c r="T319" i="29"/>
  <c r="S319" i="29"/>
  <c r="R319" i="29"/>
  <c r="Q320" i="29" a="1"/>
  <c r="Q320" i="29"/>
  <c r="T320" i="29"/>
  <c r="S320" i="29"/>
  <c r="R320" i="29"/>
  <c r="Q321" i="29" a="1"/>
  <c r="Q321" i="29"/>
  <c r="T321" i="29"/>
  <c r="R321" i="29"/>
  <c r="S321" i="29"/>
  <c r="Q322" i="29" a="1"/>
  <c r="Q322" i="29"/>
  <c r="T322" i="29"/>
  <c r="S322" i="29"/>
  <c r="R322" i="29"/>
  <c r="Q323" i="29" a="1"/>
  <c r="Q323" i="29"/>
  <c r="R323" i="29"/>
  <c r="T323" i="29"/>
  <c r="S323" i="29"/>
  <c r="Q324" i="29" a="1"/>
  <c r="Q324" i="29"/>
  <c r="T324" i="29"/>
  <c r="S324" i="29"/>
  <c r="R324" i="29"/>
  <c r="Q325" i="29" a="1"/>
  <c r="Q325" i="29"/>
  <c r="S325" i="29"/>
  <c r="T325" i="29"/>
  <c r="R325" i="29"/>
  <c r="Q326" i="29" a="1"/>
  <c r="Q326" i="29"/>
  <c r="T326" i="29"/>
  <c r="S326" i="29"/>
  <c r="R326" i="29"/>
  <c r="Q327" i="29" a="1"/>
  <c r="Q327" i="29"/>
  <c r="T327" i="29"/>
  <c r="S327" i="29"/>
  <c r="R327" i="29"/>
  <c r="Q328" i="29" a="1"/>
  <c r="Q328" i="29"/>
  <c r="S328" i="29"/>
  <c r="T328" i="29"/>
  <c r="R328" i="29"/>
  <c r="Q329" i="29" a="1"/>
  <c r="Q329" i="29"/>
  <c r="T329" i="29"/>
  <c r="S329" i="29"/>
  <c r="R329" i="29"/>
  <c r="Q330" i="29" a="1"/>
  <c r="Q330" i="29"/>
  <c r="S330" i="29"/>
  <c r="T330" i="29"/>
  <c r="R330" i="29"/>
  <c r="Q331" i="29" a="1"/>
  <c r="Q331" i="29"/>
  <c r="T331" i="29"/>
  <c r="S331" i="29"/>
  <c r="R331" i="29"/>
  <c r="Q332" i="29" a="1"/>
  <c r="Q332" i="29"/>
  <c r="T332" i="29"/>
  <c r="S332" i="29"/>
  <c r="R332" i="29"/>
  <c r="Q333" i="29" a="1"/>
  <c r="Q333" i="29"/>
  <c r="R333" i="29"/>
  <c r="T333" i="29"/>
  <c r="S333" i="29"/>
  <c r="Q334" i="29" a="1"/>
  <c r="Q334" i="29"/>
  <c r="R334" i="29"/>
  <c r="T334" i="29"/>
  <c r="S334" i="29"/>
  <c r="Q335" i="29" a="1"/>
  <c r="Q335" i="29"/>
  <c r="T335" i="29"/>
  <c r="R335" i="29"/>
  <c r="S335" i="29"/>
  <c r="Q336" i="29" a="1"/>
  <c r="Q336" i="29"/>
  <c r="S336" i="29"/>
  <c r="T336" i="29"/>
  <c r="R336" i="29"/>
  <c r="Q337" i="29" a="1"/>
  <c r="Q337" i="29"/>
  <c r="T337" i="29"/>
  <c r="R337" i="29"/>
  <c r="S337" i="29"/>
  <c r="Q338" i="29" a="1"/>
  <c r="Q338" i="29"/>
  <c r="T338" i="29"/>
  <c r="S338" i="29"/>
  <c r="R338" i="29"/>
  <c r="Q339" i="29" a="1"/>
  <c r="Q339" i="29"/>
  <c r="R339" i="29"/>
  <c r="T339" i="29"/>
  <c r="S339" i="29"/>
  <c r="Q340" i="29" a="1"/>
  <c r="Q340" i="29"/>
  <c r="T340" i="29"/>
  <c r="S340" i="29"/>
  <c r="R340" i="29"/>
  <c r="Q341" i="29" a="1"/>
  <c r="Q341" i="29"/>
  <c r="S341" i="29"/>
  <c r="T341" i="29"/>
  <c r="R341" i="29"/>
  <c r="Q342" i="29" a="1"/>
  <c r="Q342" i="29"/>
  <c r="T342" i="29"/>
  <c r="S342" i="29"/>
  <c r="R342" i="29"/>
  <c r="Q343" i="29" a="1"/>
  <c r="Q343" i="29"/>
  <c r="T343" i="29"/>
  <c r="S343" i="29"/>
  <c r="R343" i="29"/>
  <c r="Q344" i="29" a="1"/>
  <c r="Q344" i="29"/>
  <c r="S344" i="29"/>
  <c r="T344" i="29"/>
  <c r="R344" i="29"/>
  <c r="Q345" i="29" a="1"/>
  <c r="Q345" i="29"/>
  <c r="R345" i="29"/>
  <c r="T345" i="29"/>
  <c r="S345" i="29"/>
  <c r="Q346" i="29" a="1"/>
  <c r="Q346" i="29"/>
  <c r="S346" i="29"/>
  <c r="T346" i="29"/>
  <c r="R346" i="29"/>
  <c r="Q347" i="29" a="1"/>
  <c r="Q347" i="29"/>
  <c r="T347" i="29"/>
  <c r="S347" i="29"/>
  <c r="R347" i="29"/>
  <c r="Q348" i="29" a="1"/>
  <c r="Q348" i="29"/>
  <c r="T348" i="29"/>
  <c r="S348" i="29"/>
  <c r="R348" i="29"/>
  <c r="Q349" i="29" a="1"/>
  <c r="Q349" i="29"/>
  <c r="T349" i="29"/>
  <c r="S349" i="29"/>
  <c r="R349" i="29"/>
  <c r="Q350" i="29" a="1"/>
  <c r="Q350" i="29"/>
  <c r="R350" i="29"/>
  <c r="T350" i="29"/>
  <c r="S350" i="29"/>
  <c r="Q351" i="29" a="1"/>
  <c r="Q351" i="29"/>
  <c r="T351" i="29"/>
  <c r="S351" i="29"/>
  <c r="R351" i="29"/>
  <c r="Q352" i="29" a="1"/>
  <c r="Q352" i="29"/>
  <c r="S352" i="29"/>
  <c r="T352" i="29"/>
  <c r="R352" i="29"/>
  <c r="Q353" i="29" a="1"/>
  <c r="Q353" i="29"/>
  <c r="T353" i="29"/>
  <c r="S353" i="29"/>
  <c r="R353" i="29"/>
  <c r="Q354" i="29" a="1"/>
  <c r="Q354" i="29"/>
  <c r="T354" i="29"/>
  <c r="S354" i="29"/>
  <c r="R354" i="29"/>
  <c r="Q355" i="29" a="1"/>
  <c r="Q355" i="29"/>
  <c r="S355" i="29"/>
  <c r="R355" i="29"/>
  <c r="T355" i="29"/>
  <c r="Q356" i="29" a="1"/>
  <c r="Q356" i="29"/>
  <c r="T356" i="29"/>
  <c r="S356" i="29"/>
  <c r="R356" i="29"/>
  <c r="Q357" i="29" a="1"/>
  <c r="Q357" i="29"/>
  <c r="S357" i="29"/>
  <c r="T357" i="29"/>
  <c r="R357" i="29"/>
  <c r="Q358" i="29" a="1"/>
  <c r="Q358" i="29"/>
  <c r="S358" i="29"/>
  <c r="R358" i="29"/>
  <c r="T358" i="29"/>
  <c r="Q359" i="29" a="1"/>
  <c r="Q359" i="29"/>
  <c r="T359" i="29"/>
  <c r="S359" i="29"/>
  <c r="R359" i="29"/>
  <c r="Q360" i="29" a="1"/>
  <c r="Q360" i="29"/>
  <c r="T360" i="29"/>
  <c r="S360" i="29"/>
  <c r="R360" i="29"/>
  <c r="Q361" i="29" a="1"/>
  <c r="Q361" i="29"/>
  <c r="R361" i="29"/>
  <c r="T361" i="29"/>
  <c r="S361" i="29"/>
  <c r="Q362" i="29" a="1"/>
  <c r="Q362" i="29"/>
  <c r="T362" i="29"/>
  <c r="S362" i="29"/>
  <c r="R362" i="29"/>
  <c r="Q363" i="29" a="1"/>
  <c r="Q363" i="29"/>
  <c r="T363" i="29"/>
  <c r="S363" i="29"/>
  <c r="R363" i="29"/>
  <c r="Q364" i="29" a="1"/>
  <c r="Q364" i="29"/>
  <c r="T364" i="29"/>
  <c r="R364" i="29"/>
  <c r="S364" i="29"/>
  <c r="Q365" i="29" a="1"/>
  <c r="Q365" i="29"/>
  <c r="T365" i="29"/>
  <c r="S365" i="29"/>
  <c r="R365" i="29"/>
  <c r="Q366" i="29" a="1"/>
  <c r="Q366" i="29"/>
  <c r="R366" i="29"/>
  <c r="S366" i="29"/>
  <c r="T366" i="29"/>
  <c r="Q367" i="29" a="1"/>
  <c r="Q367" i="29"/>
  <c r="T367" i="29"/>
  <c r="S367" i="29"/>
  <c r="R367" i="29"/>
  <c r="Q368" i="29" a="1"/>
  <c r="Q368" i="29"/>
  <c r="S368" i="29"/>
  <c r="T368" i="29"/>
  <c r="R368" i="29"/>
  <c r="Q369" i="29" a="1"/>
  <c r="Q369" i="29"/>
  <c r="T369" i="29"/>
  <c r="S369" i="29"/>
  <c r="R369" i="29"/>
  <c r="Q370" i="29" a="1"/>
  <c r="Q370" i="29"/>
  <c r="T370" i="29"/>
  <c r="S370" i="29"/>
  <c r="R370" i="29"/>
  <c r="Q371" i="29" a="1"/>
  <c r="Q371" i="29"/>
  <c r="S371" i="29"/>
  <c r="R371" i="29"/>
  <c r="T371" i="29"/>
  <c r="Q372" i="29" a="1"/>
  <c r="Q372" i="29"/>
  <c r="T372" i="29"/>
  <c r="S372" i="29"/>
  <c r="R372" i="29"/>
  <c r="Q373" i="29" a="1"/>
  <c r="Q373" i="29"/>
  <c r="S373" i="29"/>
  <c r="T373" i="29"/>
  <c r="R373" i="29"/>
  <c r="Q374" i="29" a="1"/>
  <c r="Q374" i="29"/>
  <c r="T374" i="29"/>
  <c r="S374" i="29"/>
  <c r="R374" i="29"/>
  <c r="Q375" i="29" a="1"/>
  <c r="Q375" i="29"/>
  <c r="T375" i="29"/>
  <c r="S375" i="29"/>
  <c r="R375" i="29"/>
  <c r="Q376" i="29" a="1"/>
  <c r="Q376" i="29"/>
  <c r="T376" i="29"/>
  <c r="S376" i="29"/>
  <c r="R376" i="29"/>
  <c r="Q377" i="29" a="1"/>
  <c r="Q377" i="29"/>
  <c r="S377" i="29"/>
  <c r="R377" i="29"/>
  <c r="T377" i="29"/>
  <c r="Q378" i="29" a="1"/>
  <c r="Q378" i="29"/>
  <c r="T378" i="29"/>
  <c r="S378" i="29"/>
  <c r="R378" i="29"/>
  <c r="Q379" i="29" a="1"/>
  <c r="Q379" i="29"/>
  <c r="S379" i="29"/>
  <c r="T379" i="29"/>
  <c r="R379" i="29"/>
  <c r="Q380" i="29" a="1"/>
  <c r="Q380" i="29"/>
  <c r="T380" i="29"/>
  <c r="R380" i="29"/>
  <c r="S380" i="29"/>
  <c r="Q381" i="29" a="1"/>
  <c r="Q381" i="29"/>
  <c r="T381" i="29"/>
  <c r="S381" i="29"/>
  <c r="R381" i="29"/>
  <c r="Q382" i="29" a="1"/>
  <c r="Q382" i="29"/>
  <c r="T382" i="29"/>
  <c r="R382" i="29"/>
  <c r="S382" i="29"/>
  <c r="Q383" i="29" a="1"/>
  <c r="Q383" i="29"/>
  <c r="T383" i="29"/>
  <c r="S383" i="29"/>
  <c r="R383" i="29"/>
  <c r="Q384" i="29" a="1"/>
  <c r="Q384" i="29"/>
  <c r="T384" i="29"/>
  <c r="S384" i="29"/>
  <c r="R384" i="29"/>
  <c r="Q385" i="29" a="1"/>
  <c r="Q385" i="29"/>
  <c r="T385" i="29"/>
  <c r="S385" i="29"/>
  <c r="R385" i="29"/>
  <c r="Q386" i="29" a="1"/>
  <c r="Q386" i="29"/>
  <c r="T386" i="29"/>
  <c r="R386" i="29"/>
  <c r="S386" i="29"/>
  <c r="Q387" i="29" a="1"/>
  <c r="Q387" i="29"/>
  <c r="S387" i="29"/>
  <c r="R387" i="29"/>
  <c r="T387" i="29"/>
  <c r="Q388" i="29" a="1"/>
  <c r="Q388" i="29"/>
  <c r="S388" i="29"/>
  <c r="R388" i="29"/>
  <c r="T388" i="29"/>
  <c r="Q389" i="29" a="1"/>
  <c r="Q389" i="29"/>
  <c r="S389" i="29"/>
  <c r="T389" i="29"/>
  <c r="R389" i="29"/>
  <c r="Q390" i="29" a="1"/>
  <c r="Q390" i="29"/>
  <c r="T390" i="29"/>
  <c r="S390" i="29"/>
  <c r="R390" i="29"/>
  <c r="Q391" i="29" a="1"/>
  <c r="Q391" i="29"/>
  <c r="T391" i="29"/>
  <c r="S391" i="29"/>
  <c r="R391" i="29"/>
  <c r="Q392" i="29" a="1"/>
  <c r="Q392" i="29"/>
  <c r="T392" i="29"/>
  <c r="S392" i="29"/>
  <c r="R392" i="29"/>
  <c r="Q393" i="29" a="1"/>
  <c r="Q393" i="29"/>
  <c r="S393" i="29"/>
  <c r="R393" i="29"/>
  <c r="T393" i="29"/>
  <c r="Q394" i="29" a="1"/>
  <c r="Q394" i="29"/>
  <c r="T394" i="29"/>
  <c r="S394" i="29"/>
  <c r="R394" i="29"/>
  <c r="Q395" i="29" a="1"/>
  <c r="Q395" i="29"/>
  <c r="T395" i="29"/>
  <c r="S395" i="29"/>
  <c r="R395" i="29"/>
  <c r="Q396" i="29" a="1"/>
  <c r="Q396" i="29"/>
  <c r="T396" i="29"/>
  <c r="R396" i="29"/>
  <c r="S396" i="29"/>
  <c r="Q397" i="29" a="1"/>
  <c r="Q397" i="29"/>
  <c r="R397" i="29"/>
  <c r="T397" i="29"/>
  <c r="S397" i="29"/>
  <c r="Q398" i="29" a="1"/>
  <c r="Q398" i="29"/>
  <c r="T398" i="29"/>
  <c r="R398" i="29"/>
  <c r="S398" i="29"/>
  <c r="Q399" i="29" a="1"/>
  <c r="Q399" i="29"/>
  <c r="T399" i="29"/>
  <c r="S399" i="29"/>
  <c r="R399" i="29"/>
  <c r="Q400" i="29" a="1"/>
  <c r="Q400" i="29"/>
  <c r="T400" i="29"/>
  <c r="S400" i="29"/>
  <c r="R400" i="29"/>
  <c r="Q401" i="29" a="1"/>
  <c r="Q401" i="29"/>
  <c r="T401" i="29"/>
  <c r="S401" i="29"/>
  <c r="R401" i="29"/>
  <c r="Q402" i="29" a="1"/>
  <c r="Q402" i="29"/>
  <c r="T402" i="29"/>
  <c r="R402" i="29"/>
  <c r="S402" i="29"/>
  <c r="Q403" i="29" a="1"/>
  <c r="Q403" i="29"/>
  <c r="S403" i="29"/>
  <c r="R403" i="29"/>
  <c r="T403" i="29"/>
  <c r="Q404" i="29" a="1"/>
  <c r="Q404" i="29"/>
  <c r="S404" i="29"/>
  <c r="R404" i="29"/>
  <c r="T404" i="29"/>
  <c r="Q405" i="29" a="1"/>
  <c r="Q405" i="29"/>
  <c r="S405" i="29"/>
  <c r="T405" i="29"/>
  <c r="R405" i="29"/>
  <c r="Q406" i="29" a="1"/>
  <c r="Q406" i="29"/>
  <c r="T406" i="29"/>
  <c r="S406" i="29"/>
  <c r="R406" i="29"/>
  <c r="Q407" i="29" a="1"/>
  <c r="Q407" i="29"/>
  <c r="T407" i="29"/>
  <c r="S407" i="29"/>
  <c r="R407" i="29"/>
  <c r="Q408" i="29" a="1"/>
  <c r="Q408" i="29"/>
  <c r="T408" i="29"/>
  <c r="S408" i="29"/>
  <c r="R408" i="29"/>
  <c r="Q409" i="29" a="1"/>
  <c r="Q409" i="29"/>
  <c r="S409" i="29"/>
  <c r="R409" i="29"/>
  <c r="T409" i="29"/>
  <c r="Q410" i="29" a="1"/>
  <c r="Q410" i="29"/>
  <c r="T410" i="29"/>
  <c r="S410" i="29"/>
  <c r="R410" i="29"/>
  <c r="Q411" i="29" a="1"/>
  <c r="Q411" i="29"/>
  <c r="T411" i="29"/>
  <c r="S411" i="29"/>
  <c r="R411" i="29"/>
  <c r="Q412" i="29" a="1"/>
  <c r="Q412" i="29"/>
  <c r="T412" i="29"/>
  <c r="R412" i="29"/>
  <c r="S412" i="29"/>
  <c r="Q413" i="29" a="1"/>
  <c r="Q413" i="29"/>
  <c r="S413" i="29"/>
  <c r="R413" i="29"/>
  <c r="T413" i="29"/>
  <c r="Q414" i="29" a="1"/>
  <c r="Q414" i="29"/>
  <c r="T414" i="29"/>
  <c r="S414" i="29"/>
  <c r="R414" i="29"/>
  <c r="Q415" i="29" a="1"/>
  <c r="Q415" i="29"/>
  <c r="R415" i="29"/>
  <c r="T415" i="29"/>
  <c r="S415" i="29"/>
  <c r="Q416" i="29" a="1"/>
  <c r="Q416" i="29"/>
  <c r="T416" i="29"/>
  <c r="S416" i="29"/>
  <c r="R416" i="29"/>
  <c r="Q417" i="29" a="1"/>
  <c r="Q417" i="29"/>
  <c r="T417" i="29"/>
  <c r="S417" i="29"/>
  <c r="R417" i="29"/>
  <c r="Q418" i="29" a="1"/>
  <c r="Q418" i="29"/>
  <c r="T418" i="29"/>
  <c r="S418" i="29"/>
  <c r="R418" i="29"/>
  <c r="Q419" i="29" a="1"/>
  <c r="Q419" i="29"/>
  <c r="S419" i="29"/>
  <c r="T419" i="29"/>
  <c r="R419" i="29"/>
  <c r="Q420" i="29" a="1"/>
  <c r="Q420" i="29"/>
  <c r="T420" i="29"/>
  <c r="S420" i="29"/>
  <c r="R420" i="29"/>
  <c r="Q421" i="29" a="1"/>
  <c r="Q421" i="29"/>
  <c r="T421" i="29"/>
  <c r="S421" i="29"/>
  <c r="R421" i="29"/>
  <c r="Q422" i="29" a="1"/>
  <c r="Q422" i="29"/>
  <c r="T422" i="29"/>
  <c r="S422" i="29"/>
  <c r="R422" i="29"/>
  <c r="Q423" i="29" a="1"/>
  <c r="Q423" i="29"/>
  <c r="T423" i="29"/>
  <c r="S423" i="29"/>
  <c r="R423" i="29"/>
  <c r="Q424" i="29" a="1"/>
  <c r="Q424" i="29"/>
  <c r="T424" i="29"/>
  <c r="S424" i="29"/>
  <c r="R424" i="29"/>
  <c r="Q425" i="29" a="1"/>
  <c r="Q425" i="29"/>
  <c r="S425" i="29"/>
  <c r="T425" i="29"/>
  <c r="R425" i="29"/>
  <c r="Q426" i="29" a="1"/>
  <c r="Q426" i="29"/>
  <c r="T426" i="29"/>
  <c r="S426" i="29"/>
  <c r="R426" i="29"/>
  <c r="Q427" i="29" a="1"/>
  <c r="Q427" i="29"/>
  <c r="T427" i="29"/>
  <c r="S427" i="29"/>
  <c r="R427" i="29"/>
  <c r="Q428" i="29" a="1"/>
  <c r="Q428" i="29"/>
  <c r="R428" i="29"/>
  <c r="T428" i="29"/>
  <c r="S428" i="29"/>
  <c r="Q429" i="29" a="1"/>
  <c r="Q429" i="29"/>
  <c r="T429" i="29"/>
  <c r="S429" i="29"/>
  <c r="R429" i="29"/>
  <c r="Q430" i="29" a="1"/>
  <c r="Q430" i="29"/>
  <c r="T430" i="29"/>
  <c r="S430" i="29"/>
  <c r="R430" i="29"/>
  <c r="Q431" i="29" a="1"/>
  <c r="Q431" i="29"/>
  <c r="T431" i="29"/>
  <c r="S431" i="29"/>
  <c r="R431" i="29"/>
  <c r="Q432" i="29" a="1"/>
  <c r="Q432" i="29"/>
  <c r="T432" i="29"/>
  <c r="S432" i="29"/>
  <c r="R432" i="29"/>
  <c r="Q433" i="29" a="1"/>
  <c r="Q433" i="29"/>
  <c r="T433" i="29"/>
  <c r="S433" i="29"/>
  <c r="R433" i="29"/>
  <c r="Q434" i="29" a="1"/>
  <c r="Q434" i="29"/>
  <c r="S434" i="29"/>
  <c r="R434" i="29"/>
  <c r="T434" i="29"/>
  <c r="Q435" i="29" a="1"/>
  <c r="Q435" i="29"/>
  <c r="S435" i="29"/>
  <c r="T435" i="29"/>
  <c r="R435" i="29"/>
  <c r="Q436" i="29" a="1"/>
  <c r="Q436" i="29"/>
  <c r="T436" i="29"/>
  <c r="S436" i="29"/>
  <c r="R436" i="29"/>
  <c r="Q437" i="29" a="1"/>
  <c r="Q437" i="29"/>
  <c r="T437" i="29"/>
  <c r="S437" i="29"/>
  <c r="R437" i="29"/>
  <c r="Q438" i="29" a="1"/>
  <c r="Q438" i="29"/>
  <c r="T438" i="29"/>
  <c r="S438" i="29"/>
  <c r="R438" i="29"/>
  <c r="Q439" i="29" a="1"/>
  <c r="Q439" i="29"/>
  <c r="R439" i="29"/>
  <c r="T439" i="29"/>
  <c r="S439" i="29"/>
  <c r="Q440" i="29" a="1"/>
  <c r="Q440" i="29"/>
  <c r="T440" i="29"/>
  <c r="S440" i="29"/>
  <c r="R440" i="29"/>
  <c r="Q441" i="29" a="1"/>
  <c r="Q441" i="29"/>
  <c r="T441" i="29"/>
  <c r="S441" i="29"/>
  <c r="R441" i="29"/>
  <c r="Q442" i="29" a="1"/>
  <c r="Q442" i="29"/>
  <c r="T442" i="29"/>
  <c r="S442" i="29"/>
  <c r="R442" i="29"/>
  <c r="Q443" i="29" a="1"/>
  <c r="Q443" i="29"/>
  <c r="R443" i="29"/>
  <c r="T443" i="29"/>
  <c r="S443" i="29"/>
  <c r="Q444" i="29" a="1"/>
  <c r="Q444" i="29"/>
  <c r="R444" i="29"/>
  <c r="T444" i="29"/>
  <c r="S444" i="29"/>
  <c r="Q445" i="29" a="1"/>
  <c r="Q445" i="29"/>
  <c r="T445" i="29"/>
  <c r="S445" i="29"/>
  <c r="R445" i="29"/>
  <c r="Q446" i="29" a="1"/>
  <c r="Q446" i="29"/>
  <c r="T446" i="29"/>
  <c r="S446" i="29"/>
  <c r="R446" i="29"/>
  <c r="Q447" i="29" a="1"/>
  <c r="Q447" i="29"/>
  <c r="T447" i="29"/>
  <c r="S447" i="29"/>
  <c r="R447" i="29"/>
  <c r="Q448" i="29" a="1"/>
  <c r="Q448" i="29"/>
  <c r="T448" i="29"/>
  <c r="S448" i="29"/>
  <c r="R448" i="29"/>
  <c r="Q449" i="29" a="1"/>
  <c r="Q449" i="29"/>
  <c r="T449" i="29"/>
  <c r="S449" i="29"/>
  <c r="R449" i="29"/>
  <c r="Q450" i="29" a="1"/>
  <c r="Q450" i="29"/>
  <c r="S450" i="29"/>
  <c r="R450" i="29"/>
  <c r="T450" i="29"/>
  <c r="Q451" i="29" a="1"/>
  <c r="Q451" i="29"/>
  <c r="S451" i="29"/>
  <c r="R451" i="29"/>
  <c r="T451" i="29"/>
  <c r="Q452" i="29" a="1"/>
  <c r="Q452" i="29"/>
  <c r="T452" i="29"/>
  <c r="S452" i="29"/>
  <c r="R452" i="29"/>
  <c r="Q453" i="29" a="1"/>
  <c r="Q453" i="29"/>
  <c r="T453" i="29"/>
  <c r="S453" i="29"/>
  <c r="R453" i="29"/>
  <c r="Q454" i="29" a="1"/>
  <c r="Q454" i="29"/>
  <c r="T454" i="29"/>
  <c r="S454" i="29"/>
  <c r="R454" i="29"/>
  <c r="Q455" i="29" a="1"/>
  <c r="Q455" i="29"/>
  <c r="T455" i="29"/>
  <c r="S455" i="29"/>
  <c r="R455" i="29"/>
  <c r="Q456" i="29" a="1"/>
  <c r="Q456" i="29"/>
  <c r="T456" i="29"/>
  <c r="S456" i="29"/>
  <c r="R456" i="29"/>
  <c r="Q457" i="29" a="1"/>
  <c r="Q457" i="29"/>
  <c r="T457" i="29"/>
  <c r="S457" i="29"/>
  <c r="R457" i="29"/>
  <c r="Q458" i="29" a="1"/>
  <c r="Q458" i="29"/>
  <c r="T458" i="29"/>
  <c r="S458" i="29"/>
  <c r="R458" i="29"/>
  <c r="Q459" i="29" a="1"/>
  <c r="Q459" i="29"/>
  <c r="R459" i="29"/>
  <c r="T459" i="29"/>
  <c r="S459" i="29"/>
  <c r="Q460" i="29" a="1"/>
  <c r="Q460" i="29"/>
  <c r="R460" i="29"/>
  <c r="T460" i="29"/>
  <c r="S460" i="29"/>
  <c r="Q461" i="29" a="1"/>
  <c r="Q461" i="29"/>
  <c r="T461" i="29"/>
  <c r="S461" i="29"/>
  <c r="R461" i="29"/>
  <c r="Q462" i="29" a="1"/>
  <c r="Q462" i="29"/>
  <c r="T462" i="29"/>
  <c r="S462" i="29"/>
  <c r="R462" i="29"/>
  <c r="Q463" i="29" a="1"/>
  <c r="Q463" i="29"/>
  <c r="T463" i="29"/>
  <c r="S463" i="29"/>
  <c r="R463" i="29"/>
  <c r="Q464" i="29" a="1"/>
  <c r="Q464" i="29"/>
  <c r="T464" i="29"/>
  <c r="S464" i="29"/>
  <c r="R464" i="29"/>
  <c r="Q465" i="29" a="1"/>
  <c r="Q465" i="29"/>
  <c r="T465" i="29"/>
  <c r="S465" i="29"/>
  <c r="R465" i="29"/>
  <c r="Q466" i="29" a="1"/>
  <c r="Q466" i="29"/>
  <c r="S466" i="29"/>
  <c r="R466" i="29"/>
  <c r="T466" i="29"/>
  <c r="Q467" i="29" a="1"/>
  <c r="Q467" i="29"/>
  <c r="S467" i="29"/>
  <c r="R467" i="29"/>
  <c r="T467" i="29"/>
  <c r="Q468" i="29" a="1"/>
  <c r="Q468" i="29"/>
  <c r="T468" i="29"/>
  <c r="S468" i="29"/>
  <c r="R468" i="29"/>
  <c r="Q469" i="29" a="1"/>
  <c r="Q469" i="29"/>
  <c r="S469" i="29"/>
  <c r="T469" i="29"/>
  <c r="R469" i="29"/>
  <c r="Q470" i="29" a="1"/>
  <c r="Q470" i="29"/>
  <c r="T470" i="29"/>
  <c r="S470" i="29"/>
  <c r="R470" i="29"/>
  <c r="Q471" i="29" a="1"/>
  <c r="Q471" i="29"/>
  <c r="T471" i="29"/>
  <c r="S471" i="29"/>
  <c r="R471" i="29"/>
  <c r="Q472" i="29" a="1"/>
  <c r="Q472" i="29"/>
  <c r="T472" i="29"/>
  <c r="S472" i="29"/>
  <c r="R472" i="29"/>
  <c r="Q473" i="29" a="1"/>
  <c r="Q473" i="29"/>
  <c r="T473" i="29"/>
  <c r="S473" i="29"/>
  <c r="R473" i="29"/>
  <c r="Q474" i="29" a="1"/>
  <c r="Q474" i="29"/>
  <c r="T474" i="29"/>
  <c r="S474" i="29"/>
  <c r="R474" i="29"/>
  <c r="Q475" i="29" a="1"/>
  <c r="Q475" i="29"/>
  <c r="R475" i="29"/>
  <c r="T475" i="29"/>
  <c r="S475" i="29"/>
  <c r="Q476" i="29" a="1"/>
  <c r="Q476" i="29"/>
  <c r="T476" i="29"/>
  <c r="R476" i="29"/>
  <c r="S476" i="29"/>
  <c r="Q477" i="29" a="1"/>
  <c r="Q477" i="29"/>
  <c r="T477" i="29"/>
  <c r="S477" i="29"/>
  <c r="R477" i="29"/>
  <c r="Q478" i="29" a="1"/>
  <c r="Q478" i="29"/>
  <c r="R478" i="29"/>
  <c r="T478" i="29"/>
  <c r="S478" i="29"/>
  <c r="Q479" i="29" a="1"/>
  <c r="Q479" i="29"/>
  <c r="T479" i="29"/>
  <c r="S479" i="29"/>
  <c r="R479" i="29"/>
  <c r="Q480" i="29" a="1"/>
  <c r="Q480" i="29"/>
  <c r="T480" i="29"/>
  <c r="S480" i="29"/>
  <c r="R480" i="29"/>
  <c r="Q481" i="29" a="1"/>
  <c r="Q481" i="29"/>
  <c r="T481" i="29"/>
  <c r="S481" i="29"/>
  <c r="R481" i="29"/>
  <c r="Q482" i="29" a="1"/>
  <c r="Q482" i="29"/>
  <c r="S482" i="29"/>
  <c r="R482" i="29"/>
  <c r="T482" i="29"/>
  <c r="Q483" i="29" a="1"/>
  <c r="Q483" i="29"/>
  <c r="S483" i="29"/>
  <c r="R483" i="29"/>
  <c r="T483" i="29"/>
  <c r="Q484" i="29" a="1"/>
  <c r="Q484" i="29"/>
  <c r="S484" i="29"/>
  <c r="T484" i="29"/>
  <c r="R484" i="29"/>
  <c r="Q485" i="29" a="1"/>
  <c r="Q485" i="29"/>
  <c r="S485" i="29"/>
  <c r="R485" i="29"/>
  <c r="T485" i="29"/>
  <c r="Q486" i="29" a="1"/>
  <c r="Q486" i="29"/>
  <c r="S486" i="29"/>
  <c r="T486" i="29"/>
  <c r="R486" i="29"/>
  <c r="Q487" i="29" a="1"/>
  <c r="Q487" i="29"/>
  <c r="T487" i="29"/>
  <c r="S487" i="29"/>
  <c r="R487" i="29"/>
  <c r="Q488" i="29" a="1"/>
  <c r="Q488" i="29"/>
  <c r="R488" i="29"/>
  <c r="T488" i="29"/>
  <c r="S488" i="29"/>
  <c r="Q489" i="29" a="1"/>
  <c r="Q489" i="29"/>
  <c r="T489" i="29"/>
  <c r="S489" i="29"/>
  <c r="R489" i="29"/>
  <c r="Q490" i="29" a="1"/>
  <c r="Q490" i="29"/>
  <c r="T490" i="29"/>
  <c r="S490" i="29"/>
  <c r="R490" i="29"/>
  <c r="Q491" i="29" a="1"/>
  <c r="Q491" i="29"/>
  <c r="T491" i="29"/>
  <c r="R491" i="29"/>
  <c r="S491" i="29"/>
  <c r="Q492" i="29" a="1"/>
  <c r="Q492" i="29"/>
  <c r="T492" i="29"/>
  <c r="R492" i="29"/>
  <c r="S492" i="29"/>
  <c r="Q493" i="29" a="1"/>
  <c r="Q493" i="29"/>
  <c r="T493" i="29"/>
  <c r="R493" i="29"/>
  <c r="S493" i="29"/>
  <c r="Q494" i="29" a="1"/>
  <c r="Q494" i="29"/>
  <c r="R494" i="29"/>
  <c r="T494" i="29"/>
  <c r="S494" i="29"/>
  <c r="Q495" i="29" a="1"/>
  <c r="Q495" i="29"/>
  <c r="R495" i="29"/>
  <c r="T495" i="29"/>
  <c r="S495" i="29"/>
  <c r="Q496" i="29" a="1"/>
  <c r="Q496" i="29"/>
  <c r="T496" i="29"/>
  <c r="S496" i="29"/>
  <c r="R496" i="29"/>
  <c r="Q497" i="29" a="1"/>
  <c r="Q497" i="29"/>
  <c r="T497" i="29"/>
  <c r="S497" i="29"/>
  <c r="R497" i="29"/>
  <c r="Q498" i="29" a="1"/>
  <c r="Q498" i="29"/>
  <c r="S498" i="29"/>
  <c r="R498" i="29"/>
  <c r="T498" i="29"/>
  <c r="Q499" i="29" a="1"/>
  <c r="Q499" i="29"/>
  <c r="S499" i="29"/>
  <c r="R499" i="29"/>
  <c r="T499" i="29"/>
  <c r="Q500" i="29" a="1"/>
  <c r="Q500" i="29"/>
  <c r="S500" i="29"/>
  <c r="T500" i="29"/>
  <c r="R500" i="29"/>
  <c r="Q501" i="29" a="1"/>
  <c r="Q501" i="29"/>
  <c r="S501" i="29"/>
  <c r="T501" i="29"/>
  <c r="R501" i="29"/>
  <c r="Q502" i="29" a="1"/>
  <c r="Q502" i="29"/>
  <c r="S502" i="29"/>
  <c r="T502" i="29"/>
  <c r="R502" i="29"/>
  <c r="Q503" i="29" a="1"/>
  <c r="Q503" i="29"/>
  <c r="T503" i="29"/>
  <c r="S503" i="29"/>
  <c r="R503" i="29"/>
  <c r="Q504" i="29" a="1"/>
  <c r="Q504" i="29"/>
  <c r="T504" i="29"/>
  <c r="S504" i="29"/>
  <c r="R504" i="29"/>
  <c r="Q505" i="29" a="1"/>
  <c r="Q505" i="29"/>
  <c r="T505" i="29"/>
  <c r="S505" i="29"/>
  <c r="R505" i="29"/>
  <c r="Q506" i="29" a="1"/>
  <c r="Q506" i="29"/>
  <c r="T506" i="29"/>
  <c r="S506" i="29"/>
  <c r="R506" i="29"/>
  <c r="Q507" i="29" a="1"/>
  <c r="Q507" i="29"/>
  <c r="T507" i="29"/>
  <c r="R507" i="29"/>
  <c r="S507" i="29"/>
  <c r="Q508" i="29" a="1"/>
  <c r="Q508" i="29"/>
  <c r="T508" i="29"/>
  <c r="R508" i="29"/>
  <c r="S508" i="29"/>
  <c r="Q509" i="29" a="1"/>
  <c r="Q509" i="29"/>
  <c r="T509" i="29"/>
  <c r="S509" i="29"/>
  <c r="R509" i="29"/>
  <c r="Q510" i="29" a="1"/>
  <c r="Q510" i="29"/>
  <c r="R510" i="29"/>
  <c r="T510" i="29"/>
  <c r="S510" i="29"/>
  <c r="Q511" i="29" a="1"/>
  <c r="Q511" i="29"/>
  <c r="R511" i="29"/>
  <c r="T511" i="29"/>
  <c r="S511" i="29"/>
  <c r="Q512" i="29" a="1"/>
  <c r="Q512" i="29"/>
  <c r="T512" i="29"/>
  <c r="S512" i="29"/>
  <c r="R512" i="29"/>
  <c r="Q513" i="29" a="1"/>
  <c r="Q513" i="29"/>
  <c r="T513" i="29"/>
  <c r="S513" i="29"/>
  <c r="R513" i="29"/>
  <c r="Q514" i="29" a="1"/>
  <c r="Q514" i="29"/>
  <c r="S514" i="29"/>
  <c r="R514" i="29"/>
  <c r="T514" i="29"/>
  <c r="Q515" i="29" a="1"/>
  <c r="Q515" i="29"/>
  <c r="S515" i="29"/>
  <c r="R515" i="29"/>
  <c r="T515" i="29"/>
  <c r="Q516" i="29" a="1"/>
  <c r="Q516" i="29"/>
  <c r="T516" i="29"/>
  <c r="S516" i="29"/>
  <c r="R516" i="29"/>
  <c r="Q517" i="29" a="1"/>
  <c r="Q517" i="29"/>
  <c r="S517" i="29"/>
  <c r="T517" i="29"/>
  <c r="R517" i="29"/>
  <c r="Q518" i="29" a="1"/>
  <c r="Q518" i="29"/>
  <c r="S518" i="29"/>
  <c r="R518" i="29"/>
  <c r="T518" i="29"/>
  <c r="Q519" i="29" a="1"/>
  <c r="Q519" i="29"/>
  <c r="T519" i="29"/>
  <c r="S519" i="29"/>
  <c r="R519" i="29"/>
  <c r="Q520" i="29" a="1"/>
  <c r="Q520" i="29"/>
  <c r="T520" i="29"/>
  <c r="S520" i="29"/>
  <c r="R520" i="29"/>
  <c r="Q521" i="29" a="1"/>
  <c r="Q521" i="29"/>
  <c r="T521" i="29"/>
  <c r="S521" i="29"/>
  <c r="R521" i="29"/>
  <c r="Q522" i="29" a="1"/>
  <c r="Q522" i="29"/>
  <c r="T522" i="29"/>
  <c r="S522" i="29"/>
  <c r="R522" i="29"/>
  <c r="Q523" i="29" a="1"/>
  <c r="Q523" i="29"/>
  <c r="T523" i="29"/>
  <c r="R523" i="29"/>
  <c r="S523" i="29"/>
  <c r="Q524" i="29" a="1"/>
  <c r="Q524" i="29"/>
  <c r="T524" i="29"/>
  <c r="S524" i="29"/>
  <c r="R524" i="29"/>
  <c r="Q525" i="29" a="1"/>
  <c r="Q525" i="29"/>
  <c r="T525" i="29"/>
  <c r="S525" i="29"/>
  <c r="R525" i="29"/>
  <c r="Q526" i="29" a="1"/>
  <c r="Q526" i="29"/>
  <c r="R526" i="29"/>
  <c r="T526" i="29"/>
  <c r="S526" i="29"/>
  <c r="Q527" i="29" a="1"/>
  <c r="Q527" i="29"/>
  <c r="R527" i="29"/>
  <c r="T527" i="29"/>
  <c r="S527" i="29"/>
  <c r="Q528" i="29" a="1"/>
  <c r="Q528" i="29"/>
  <c r="T528" i="29"/>
  <c r="S528" i="29"/>
  <c r="R528" i="29"/>
  <c r="Q529" i="29" a="1"/>
  <c r="Q529" i="29"/>
  <c r="T529" i="29"/>
  <c r="S529" i="29"/>
  <c r="R529" i="29"/>
  <c r="Q530" i="29" a="1"/>
  <c r="Q530" i="29"/>
  <c r="S530" i="29"/>
  <c r="R530" i="29"/>
  <c r="T530" i="29"/>
  <c r="Q531" i="29" a="1"/>
  <c r="Q531" i="29"/>
  <c r="T531" i="29"/>
  <c r="S531" i="29"/>
  <c r="R531" i="29"/>
  <c r="Q532" i="29" a="1"/>
  <c r="Q532" i="29"/>
  <c r="T532" i="29"/>
  <c r="S532" i="29"/>
  <c r="R532" i="29"/>
  <c r="Q533" i="29" a="1"/>
  <c r="Q533" i="29"/>
  <c r="S533" i="29"/>
  <c r="R533" i="29"/>
  <c r="T533" i="29"/>
  <c r="Q534" i="29" a="1"/>
  <c r="Q534" i="29"/>
  <c r="S534" i="29"/>
  <c r="R534" i="29"/>
  <c r="T534" i="29"/>
  <c r="Q535" i="29" a="1"/>
  <c r="Q535" i="29"/>
  <c r="T535" i="29"/>
  <c r="S535" i="29"/>
  <c r="R535" i="29"/>
  <c r="Q536" i="29" a="1"/>
  <c r="Q536" i="29"/>
  <c r="S536" i="29"/>
  <c r="T536" i="29"/>
  <c r="R536" i="29"/>
  <c r="Q537" i="29" a="1"/>
  <c r="Q537" i="29"/>
  <c r="T537" i="29"/>
  <c r="S537" i="29"/>
  <c r="R537" i="29"/>
  <c r="Q538" i="29" a="1"/>
  <c r="Q538" i="29"/>
  <c r="T538" i="29"/>
  <c r="S538" i="29"/>
  <c r="R538" i="29"/>
  <c r="Q539" i="29" a="1"/>
  <c r="Q539" i="29"/>
  <c r="T539" i="29"/>
  <c r="R539" i="29"/>
  <c r="S539" i="29"/>
  <c r="Q540" i="29" a="1"/>
  <c r="Q540" i="29"/>
  <c r="T540" i="29"/>
  <c r="S540" i="29"/>
  <c r="R540" i="29"/>
  <c r="Q541" i="29" a="1"/>
  <c r="Q541" i="29"/>
  <c r="T541" i="29"/>
  <c r="S541" i="29"/>
  <c r="R541" i="29"/>
  <c r="Q542" i="29" a="1"/>
  <c r="Q542" i="29"/>
  <c r="R542" i="29"/>
  <c r="T542" i="29"/>
  <c r="S542" i="29"/>
  <c r="Q543" i="29" a="1"/>
  <c r="Q543" i="29"/>
  <c r="T543" i="29"/>
  <c r="R543" i="29"/>
  <c r="S543" i="29"/>
  <c r="Q544" i="29" a="1"/>
  <c r="Q544" i="29"/>
  <c r="T544" i="29"/>
  <c r="S544" i="29"/>
  <c r="R544" i="29"/>
  <c r="Q545" i="29" a="1"/>
  <c r="Q545" i="29"/>
  <c r="R545" i="29"/>
  <c r="T545" i="29"/>
  <c r="S545" i="29"/>
  <c r="Q546" i="29" a="1"/>
  <c r="Q546" i="29"/>
  <c r="S546" i="29"/>
  <c r="R546" i="29"/>
  <c r="T546" i="29"/>
  <c r="Q547" i="29" a="1"/>
  <c r="Q547" i="29"/>
  <c r="T547" i="29"/>
  <c r="S547" i="29"/>
  <c r="R547" i="29"/>
  <c r="Q548" i="29" a="1"/>
  <c r="Q548" i="29"/>
  <c r="T548" i="29"/>
  <c r="S548" i="29"/>
  <c r="R548" i="29"/>
  <c r="Q549" i="29" a="1"/>
  <c r="Q549" i="29"/>
  <c r="S549" i="29"/>
  <c r="R549" i="29"/>
  <c r="T549" i="29"/>
  <c r="Q550" i="29" a="1"/>
  <c r="Q550" i="29"/>
  <c r="S550" i="29"/>
  <c r="R550" i="29"/>
  <c r="T550" i="29"/>
  <c r="Q551" i="29" a="1"/>
  <c r="Q551" i="29"/>
  <c r="T551" i="29"/>
  <c r="S551" i="29"/>
  <c r="R551" i="29"/>
  <c r="Q552" i="29" a="1"/>
  <c r="Q552" i="29"/>
  <c r="S552" i="29"/>
  <c r="T552" i="29"/>
  <c r="R552" i="29"/>
  <c r="Q553" i="29" a="1"/>
  <c r="Q553" i="29"/>
  <c r="T553" i="29"/>
  <c r="S553" i="29"/>
  <c r="R553" i="29"/>
  <c r="Q554" i="29" a="1"/>
  <c r="Q554" i="29"/>
  <c r="T554" i="29"/>
  <c r="S554" i="29"/>
  <c r="R554" i="29"/>
  <c r="Q555" i="29" a="1"/>
  <c r="Q555" i="29"/>
  <c r="R555" i="29"/>
  <c r="T555" i="29"/>
  <c r="S555" i="29"/>
  <c r="Q556" i="29" a="1"/>
  <c r="Q556" i="29"/>
  <c r="T556" i="29"/>
  <c r="S556" i="29"/>
  <c r="R556" i="29"/>
  <c r="Q557" i="29" a="1"/>
  <c r="Q557" i="29"/>
  <c r="T557" i="29"/>
  <c r="S557" i="29"/>
  <c r="R557" i="29"/>
  <c r="Q558" i="29" a="1"/>
  <c r="Q558" i="29"/>
  <c r="T558" i="29"/>
  <c r="S558" i="29"/>
  <c r="R558" i="29"/>
  <c r="Q559" i="29" a="1"/>
  <c r="Q559" i="29"/>
  <c r="T559" i="29"/>
  <c r="S559" i="29"/>
  <c r="R559" i="29"/>
  <c r="Q560" i="29" a="1"/>
  <c r="Q560" i="29"/>
  <c r="S560" i="29"/>
  <c r="R560" i="29"/>
  <c r="T560" i="29"/>
  <c r="Q561" i="29" a="1"/>
  <c r="Q561" i="29"/>
  <c r="S561" i="29"/>
  <c r="R561" i="29"/>
  <c r="T561" i="29"/>
  <c r="Q562" i="29" a="1"/>
  <c r="Q562" i="29"/>
  <c r="S562" i="29"/>
  <c r="T562" i="29"/>
  <c r="R562" i="29"/>
  <c r="Q563" i="29" a="1"/>
  <c r="Q563" i="29"/>
  <c r="T563" i="29"/>
  <c r="R563" i="29"/>
  <c r="S563" i="29"/>
  <c r="Q564" i="29" a="1"/>
  <c r="Q564" i="29"/>
  <c r="T564" i="29"/>
  <c r="S564" i="29"/>
  <c r="R564" i="29"/>
  <c r="Q565" i="29" a="1"/>
  <c r="Q565" i="29"/>
  <c r="S565" i="29"/>
  <c r="T565" i="29"/>
  <c r="R565" i="29"/>
  <c r="Q566" i="29" a="1"/>
  <c r="Q566" i="29"/>
  <c r="T566" i="29"/>
  <c r="S566" i="29"/>
  <c r="R566" i="29"/>
  <c r="Q567" i="29" a="1"/>
  <c r="Q567" i="29"/>
  <c r="S567" i="29"/>
  <c r="T567" i="29"/>
  <c r="R567" i="29"/>
  <c r="Q568" i="29" a="1"/>
  <c r="Q568" i="29"/>
  <c r="T568" i="29"/>
  <c r="S568" i="29"/>
  <c r="R568" i="29"/>
  <c r="Q569" i="29" a="1"/>
  <c r="Q569" i="29"/>
  <c r="T569" i="29"/>
  <c r="S569" i="29"/>
  <c r="R569" i="29"/>
  <c r="Q570" i="29" a="1"/>
  <c r="Q570" i="29"/>
  <c r="T570" i="29"/>
  <c r="S570" i="29"/>
  <c r="R570" i="29"/>
  <c r="Q571" i="29" a="1"/>
  <c r="Q571" i="29"/>
  <c r="S571" i="29"/>
  <c r="R571" i="29"/>
  <c r="T571" i="29"/>
  <c r="Q572" i="29" a="1"/>
  <c r="Q572" i="29"/>
  <c r="T572" i="29"/>
  <c r="S572" i="29"/>
  <c r="R572" i="29"/>
  <c r="Q573" i="29" a="1"/>
  <c r="Q573" i="29"/>
  <c r="S573" i="29"/>
  <c r="R573" i="29"/>
  <c r="T573" i="29"/>
  <c r="Q574" i="29" a="1"/>
  <c r="Q574" i="29"/>
  <c r="T574" i="29"/>
  <c r="S574" i="29"/>
  <c r="R574" i="29"/>
  <c r="Q575" i="29" a="1"/>
  <c r="Q575" i="29"/>
  <c r="T575" i="29"/>
  <c r="S575" i="29"/>
  <c r="R575" i="29"/>
  <c r="Q576" i="29" a="1"/>
  <c r="Q576" i="29"/>
  <c r="T576" i="29"/>
  <c r="S576" i="29"/>
  <c r="R576" i="29"/>
  <c r="Q577" i="29" a="1"/>
  <c r="Q577" i="29"/>
  <c r="S577" i="29"/>
  <c r="T577" i="29"/>
  <c r="R577" i="29"/>
  <c r="Q578" i="29" a="1"/>
  <c r="Q578" i="29"/>
  <c r="T578" i="29"/>
  <c r="S578" i="29"/>
  <c r="R578" i="29"/>
  <c r="Q579" i="29" a="1"/>
  <c r="Q579" i="29"/>
  <c r="S579" i="29"/>
  <c r="T579" i="29"/>
  <c r="R579" i="29"/>
  <c r="Q580" i="29" a="1"/>
  <c r="Q580" i="29"/>
  <c r="R580" i="29"/>
  <c r="T580" i="29"/>
  <c r="S580" i="29"/>
  <c r="Q581" i="29" a="1"/>
  <c r="Q581" i="29"/>
  <c r="T581" i="29"/>
  <c r="S581" i="29"/>
  <c r="R581" i="29"/>
  <c r="Q582" i="29" a="1"/>
  <c r="Q582" i="29"/>
  <c r="R582" i="29"/>
  <c r="T582" i="29"/>
  <c r="S582" i="29"/>
  <c r="Q583" i="29" a="1"/>
  <c r="Q583" i="29"/>
  <c r="T583" i="29"/>
  <c r="S583" i="29"/>
  <c r="R583" i="29"/>
  <c r="Q584" i="29" a="1"/>
  <c r="Q584" i="29"/>
  <c r="T584" i="29"/>
  <c r="S584" i="29"/>
  <c r="R584" i="29"/>
  <c r="Q585" i="29" a="1"/>
  <c r="Q585" i="29"/>
  <c r="T585" i="29"/>
  <c r="S585" i="29"/>
  <c r="R585" i="29"/>
  <c r="Q586" i="29" a="1"/>
  <c r="Q586" i="29"/>
  <c r="T586" i="29"/>
  <c r="R586" i="29"/>
  <c r="S586" i="29"/>
  <c r="Q587" i="29" a="1"/>
  <c r="Q587" i="29"/>
  <c r="S587" i="29"/>
  <c r="R587" i="29"/>
  <c r="T587" i="29"/>
  <c r="Q588" i="29" a="1"/>
  <c r="Q588" i="29"/>
  <c r="R588" i="29"/>
  <c r="T588" i="29"/>
  <c r="S588" i="29"/>
  <c r="Q589" i="29" a="1"/>
  <c r="Q589" i="29"/>
  <c r="T589" i="29"/>
  <c r="S589" i="29"/>
  <c r="R589" i="29"/>
  <c r="Q590" i="29" a="1"/>
  <c r="Q590" i="29"/>
  <c r="T590" i="29"/>
  <c r="S590" i="29"/>
  <c r="R590" i="29"/>
  <c r="Q591" i="29" a="1"/>
  <c r="Q591" i="29"/>
  <c r="T591" i="29"/>
  <c r="S591" i="29"/>
  <c r="R591" i="29"/>
  <c r="Q592" i="29" a="1"/>
  <c r="Q592" i="29"/>
  <c r="T592" i="29"/>
  <c r="S592" i="29"/>
  <c r="R592" i="29"/>
  <c r="Q593" i="29" a="1"/>
  <c r="Q593" i="29"/>
  <c r="S593" i="29"/>
  <c r="T593" i="29"/>
  <c r="R593" i="29"/>
  <c r="Q594" i="29" a="1"/>
  <c r="Q594" i="29"/>
  <c r="T594" i="29"/>
  <c r="S594" i="29"/>
  <c r="R594" i="29"/>
  <c r="Q595" i="29" a="1"/>
  <c r="Q595" i="29"/>
  <c r="S595" i="29"/>
  <c r="R595" i="29"/>
  <c r="T595" i="29"/>
  <c r="Q596" i="29" a="1"/>
  <c r="Q596" i="29"/>
  <c r="S596" i="29"/>
  <c r="R596" i="29"/>
  <c r="T596" i="29"/>
  <c r="Q597" i="29" a="1"/>
  <c r="Q597" i="29"/>
  <c r="S597" i="29"/>
  <c r="T597" i="29"/>
  <c r="R597" i="29"/>
  <c r="Q598" i="29" a="1"/>
  <c r="Q598" i="29"/>
  <c r="T598" i="29"/>
  <c r="S598" i="29"/>
  <c r="R598" i="29"/>
  <c r="Q599" i="29" a="1"/>
  <c r="Q599" i="29"/>
  <c r="T599" i="29"/>
  <c r="S599" i="29"/>
  <c r="R599" i="29"/>
  <c r="Q600" i="29" a="1"/>
  <c r="Q600" i="29"/>
  <c r="T600" i="29"/>
  <c r="S600" i="29"/>
  <c r="R600" i="29"/>
  <c r="Q601" i="29" a="1"/>
  <c r="Q601" i="29"/>
  <c r="T601" i="29"/>
  <c r="S601" i="29"/>
  <c r="R601" i="29"/>
  <c r="Q602" i="29" a="1"/>
  <c r="Q602" i="29"/>
  <c r="T602" i="29"/>
  <c r="R602" i="29"/>
  <c r="S602" i="29"/>
  <c r="Q603" i="29" a="1"/>
  <c r="Q603" i="29"/>
  <c r="T603" i="29"/>
  <c r="S603" i="29"/>
  <c r="R603" i="29"/>
  <c r="Q604" i="29" a="1"/>
  <c r="Q604" i="29"/>
  <c r="R604" i="29"/>
  <c r="T604" i="29"/>
  <c r="S604" i="29"/>
  <c r="Q605" i="29" a="1"/>
  <c r="Q605" i="29"/>
  <c r="R605" i="29"/>
  <c r="T605" i="29"/>
  <c r="S605" i="29"/>
  <c r="Q606" i="29" a="1"/>
  <c r="Q606" i="29"/>
  <c r="R606" i="29"/>
  <c r="T606" i="29"/>
  <c r="S606" i="29"/>
  <c r="Q607" i="29" a="1"/>
  <c r="Q607" i="29"/>
  <c r="T607" i="29"/>
  <c r="S607" i="29"/>
  <c r="R607" i="29"/>
  <c r="Q608" i="29" a="1"/>
  <c r="Q608" i="29"/>
  <c r="T608" i="29"/>
  <c r="S608" i="29"/>
  <c r="R608" i="29"/>
  <c r="Q609" i="29" a="1"/>
  <c r="Q609" i="29"/>
  <c r="S609" i="29"/>
  <c r="T609" i="29"/>
  <c r="R609" i="29"/>
  <c r="Q610" i="29" a="1"/>
  <c r="Q610" i="29"/>
  <c r="T610" i="29"/>
  <c r="S610" i="29"/>
  <c r="R610" i="29"/>
  <c r="Q611" i="29" a="1"/>
  <c r="Q611" i="29"/>
  <c r="S611" i="29"/>
  <c r="T611" i="29"/>
  <c r="R611" i="29"/>
  <c r="Q612" i="29" a="1"/>
  <c r="Q612" i="29"/>
  <c r="S612" i="29"/>
  <c r="R612" i="29"/>
  <c r="T612" i="29"/>
  <c r="Q613" i="29" a="1"/>
  <c r="Q613" i="29"/>
  <c r="S613" i="29"/>
  <c r="T613" i="29"/>
  <c r="R613" i="29"/>
  <c r="Q614" i="29" a="1"/>
  <c r="Q614" i="29"/>
  <c r="T614" i="29"/>
  <c r="S614" i="29"/>
  <c r="R614" i="29"/>
  <c r="Q615" i="29" a="1"/>
  <c r="Q615" i="29"/>
  <c r="T615" i="29"/>
  <c r="S615" i="29"/>
  <c r="R615" i="29"/>
  <c r="Q616" i="29" a="1"/>
  <c r="Q616" i="29"/>
  <c r="T616" i="29"/>
  <c r="S616" i="29"/>
  <c r="R616" i="29"/>
  <c r="Q617" i="29" a="1"/>
  <c r="Q617" i="29"/>
  <c r="T617" i="29"/>
  <c r="R617" i="29"/>
  <c r="S617" i="29"/>
  <c r="Q618" i="29" a="1"/>
  <c r="Q618" i="29"/>
  <c r="T618" i="29"/>
  <c r="R618" i="29"/>
  <c r="S618" i="29"/>
  <c r="Q619" i="29" a="1"/>
  <c r="Q619" i="29"/>
  <c r="T619" i="29"/>
  <c r="S619" i="29"/>
  <c r="R619" i="29"/>
  <c r="Q620" i="29" a="1"/>
  <c r="Q620" i="29"/>
  <c r="R620" i="29"/>
  <c r="T620" i="29"/>
  <c r="S620" i="29"/>
  <c r="Q621" i="29" a="1"/>
  <c r="Q621" i="29"/>
  <c r="S621" i="29"/>
  <c r="R621" i="29"/>
  <c r="T621" i="29"/>
  <c r="Q622" i="29" a="1"/>
  <c r="Q622" i="29"/>
  <c r="R622" i="29"/>
  <c r="T622" i="29"/>
  <c r="S622" i="29"/>
  <c r="Q623" i="29" a="1"/>
  <c r="Q623" i="29"/>
  <c r="T623" i="29"/>
  <c r="S623" i="29"/>
  <c r="R623" i="29"/>
  <c r="Q624" i="29" a="1"/>
  <c r="Q624" i="29"/>
  <c r="T624" i="29"/>
  <c r="S624" i="29"/>
  <c r="R624" i="29"/>
  <c r="Q625" i="29" a="1"/>
  <c r="Q625" i="29"/>
  <c r="S625" i="29"/>
  <c r="T625" i="29"/>
  <c r="R625" i="29"/>
  <c r="Q626" i="29" a="1"/>
  <c r="Q626" i="29"/>
  <c r="T626" i="29"/>
  <c r="S626" i="29"/>
  <c r="R626" i="29"/>
  <c r="Q627" i="29" a="1"/>
  <c r="Q627" i="29"/>
  <c r="S627" i="29"/>
  <c r="T627" i="29"/>
  <c r="R627" i="29"/>
  <c r="Q628" i="29" a="1"/>
  <c r="Q628" i="29"/>
  <c r="T628" i="29"/>
  <c r="S628" i="29"/>
  <c r="R628" i="29"/>
  <c r="Q629" i="29" a="1"/>
  <c r="Q629" i="29"/>
  <c r="S629" i="29"/>
  <c r="T629" i="29"/>
  <c r="R629" i="29"/>
  <c r="Q630" i="29" a="1"/>
  <c r="Q630" i="29"/>
  <c r="R630" i="29"/>
  <c r="T630" i="29"/>
  <c r="S630" i="29"/>
  <c r="Q631" i="29" a="1"/>
  <c r="Q631" i="29"/>
  <c r="S631" i="29"/>
  <c r="R631" i="29"/>
  <c r="T631" i="29"/>
  <c r="Q632" i="29" a="1"/>
  <c r="Q632" i="29"/>
  <c r="T632" i="29"/>
  <c r="S632" i="29"/>
  <c r="R632" i="29"/>
  <c r="Q633" i="29" a="1"/>
  <c r="Q633" i="29"/>
  <c r="T633" i="29"/>
  <c r="S633" i="29"/>
  <c r="R633" i="29"/>
  <c r="Q634" i="29" a="1"/>
  <c r="Q634" i="29"/>
  <c r="T634" i="29"/>
  <c r="S634" i="29"/>
  <c r="R634" i="29"/>
  <c r="Q635" i="29" a="1"/>
  <c r="Q635" i="29"/>
  <c r="T635" i="29"/>
  <c r="S635" i="29"/>
  <c r="R635" i="29"/>
  <c r="Q636" i="29" a="1"/>
  <c r="Q636" i="29"/>
  <c r="S636" i="29"/>
  <c r="R636" i="29"/>
  <c r="T636" i="29"/>
  <c r="Q637" i="29" a="1"/>
  <c r="Q637" i="29"/>
  <c r="S637" i="29"/>
  <c r="R637" i="29"/>
  <c r="T637" i="29"/>
  <c r="Q638" i="29" a="1"/>
  <c r="Q638" i="29"/>
  <c r="S638" i="29"/>
  <c r="R638" i="29"/>
  <c r="T638" i="29"/>
  <c r="Q639" i="29" a="1"/>
  <c r="Q639" i="29"/>
  <c r="T639" i="29"/>
  <c r="S639" i="29"/>
  <c r="R639" i="29"/>
  <c r="Q640" i="29" a="1"/>
  <c r="Q640" i="29"/>
  <c r="T640" i="29"/>
  <c r="S640" i="29"/>
  <c r="R640" i="29"/>
  <c r="Q641" i="29" a="1"/>
  <c r="Q641" i="29"/>
  <c r="T641" i="29"/>
  <c r="S641" i="29"/>
  <c r="R641" i="29"/>
  <c r="Q642" i="29" a="1"/>
  <c r="Q642" i="29"/>
  <c r="T642" i="29"/>
  <c r="S642" i="29"/>
  <c r="R642" i="29"/>
  <c r="Q643" i="29" a="1"/>
  <c r="Q643" i="29"/>
  <c r="T643" i="29"/>
  <c r="S643" i="29"/>
  <c r="R643" i="29"/>
  <c r="Q644" i="29" a="1"/>
  <c r="Q644" i="29"/>
  <c r="T644" i="29"/>
  <c r="S644" i="29"/>
  <c r="R644" i="29"/>
  <c r="Q645" i="29" a="1"/>
  <c r="Q645" i="29"/>
  <c r="R645" i="29"/>
  <c r="T645" i="29"/>
  <c r="S645" i="29"/>
  <c r="Q646" i="29" a="1"/>
  <c r="Q646" i="29"/>
  <c r="R646" i="29"/>
  <c r="T646" i="29"/>
  <c r="S646" i="29"/>
  <c r="Q647" i="29" a="1"/>
  <c r="Q647" i="29"/>
  <c r="T647" i="29"/>
  <c r="R647" i="29"/>
  <c r="S647" i="29"/>
  <c r="Q648" i="29" a="1"/>
  <c r="Q648" i="29"/>
  <c r="T648" i="29"/>
  <c r="S648" i="29"/>
  <c r="R648" i="29"/>
  <c r="Q649" i="29" a="1"/>
  <c r="Q649" i="29"/>
  <c r="T649" i="29"/>
  <c r="S649" i="29"/>
  <c r="R649" i="29"/>
  <c r="Q650" i="29" a="1"/>
  <c r="Q650" i="29"/>
  <c r="T650" i="29"/>
  <c r="S650" i="29"/>
  <c r="R650" i="29"/>
  <c r="Q651" i="29" a="1"/>
  <c r="Q651" i="29"/>
  <c r="T651" i="29"/>
  <c r="S651" i="29"/>
  <c r="R651" i="29"/>
  <c r="Q652" i="29" a="1"/>
  <c r="Q652" i="29"/>
  <c r="T652" i="29"/>
  <c r="S652" i="29"/>
  <c r="R652" i="29"/>
  <c r="Q653" i="29" a="1"/>
  <c r="Q653" i="29"/>
  <c r="T653" i="29"/>
  <c r="S653" i="29"/>
  <c r="R653" i="29"/>
  <c r="Q654" i="29" a="1"/>
  <c r="Q654" i="29"/>
  <c r="S654" i="29"/>
  <c r="R654" i="29"/>
  <c r="T654" i="29"/>
  <c r="Q655" i="29" a="1"/>
  <c r="Q655" i="29"/>
  <c r="R655" i="29"/>
  <c r="T655" i="29"/>
  <c r="S655" i="29"/>
  <c r="Q656" i="29" a="1"/>
  <c r="Q656" i="29"/>
  <c r="R656" i="29"/>
  <c r="T656" i="29"/>
  <c r="S656" i="29"/>
  <c r="Q657" i="29" a="1"/>
  <c r="Q657" i="29"/>
  <c r="S657" i="29"/>
  <c r="R657" i="29"/>
  <c r="T657" i="29"/>
  <c r="Q658" i="29" a="1"/>
  <c r="Q658" i="29"/>
  <c r="S658" i="29"/>
  <c r="R658" i="29"/>
  <c r="T658" i="29"/>
  <c r="Q659" i="29" a="1"/>
  <c r="Q659" i="29"/>
  <c r="R659" i="29"/>
  <c r="T659" i="29"/>
  <c r="S659" i="29"/>
  <c r="Q660" i="29" a="1"/>
  <c r="Q660" i="29"/>
  <c r="T660" i="29"/>
  <c r="R660" i="29"/>
  <c r="S660" i="29"/>
  <c r="Q661" i="29" a="1"/>
  <c r="Q661" i="29"/>
  <c r="T661" i="29"/>
  <c r="S661" i="29"/>
  <c r="R661" i="29"/>
  <c r="Q662" i="29" a="1"/>
  <c r="Q662" i="29"/>
  <c r="S662" i="29"/>
  <c r="T662" i="29"/>
  <c r="R662" i="29"/>
  <c r="Q663" i="29" a="1"/>
  <c r="Q663" i="29"/>
  <c r="T663" i="29"/>
  <c r="S663" i="29"/>
  <c r="R663" i="29"/>
  <c r="Q664" i="29" a="1"/>
  <c r="Q664" i="29"/>
  <c r="T664" i="29"/>
  <c r="S664" i="29"/>
  <c r="R664" i="29"/>
  <c r="Q665" i="29" a="1"/>
  <c r="Q665" i="29"/>
  <c r="T665" i="29"/>
  <c r="S665" i="29"/>
  <c r="R665" i="29"/>
  <c r="Q666" i="29" a="1"/>
  <c r="Q666" i="29"/>
  <c r="T666" i="29"/>
  <c r="S666" i="29"/>
  <c r="R666" i="29"/>
  <c r="Q667" i="29" a="1"/>
  <c r="Q667" i="29"/>
  <c r="T667" i="29"/>
  <c r="S667" i="29"/>
  <c r="R667" i="29"/>
  <c r="Q668" i="29" a="1"/>
  <c r="Q668" i="29"/>
  <c r="T668" i="29"/>
  <c r="S668" i="29"/>
  <c r="R668" i="29"/>
  <c r="Q669" i="29" a="1"/>
  <c r="Q669" i="29"/>
  <c r="T669" i="29"/>
  <c r="R669" i="29"/>
  <c r="S669" i="29"/>
  <c r="Q670" i="29" a="1"/>
  <c r="Q670" i="29"/>
  <c r="S670" i="29"/>
  <c r="R670" i="29"/>
  <c r="T670" i="29"/>
  <c r="Q671" i="29" a="1"/>
  <c r="Q671" i="29"/>
  <c r="R671" i="29"/>
  <c r="T671" i="29"/>
  <c r="S671" i="29"/>
  <c r="Q672" i="29" a="1"/>
  <c r="Q672" i="29"/>
  <c r="R672" i="29"/>
  <c r="T672" i="29"/>
  <c r="S672" i="29"/>
  <c r="Q673" i="29" a="1"/>
  <c r="Q673" i="29"/>
  <c r="T673" i="29"/>
  <c r="S673" i="29"/>
  <c r="R673" i="29"/>
  <c r="Q674" i="29" a="1"/>
  <c r="Q674" i="29"/>
  <c r="T674" i="29"/>
  <c r="S674" i="29"/>
  <c r="R674" i="29"/>
  <c r="Q675" i="29" a="1"/>
  <c r="Q675" i="29"/>
  <c r="T675" i="29"/>
  <c r="S675" i="29"/>
  <c r="R675" i="29"/>
  <c r="Q676" i="29" a="1"/>
  <c r="Q676" i="29"/>
  <c r="T676" i="29"/>
  <c r="S676" i="29"/>
  <c r="R676" i="29"/>
  <c r="Q677" i="29" a="1"/>
  <c r="Q677" i="29"/>
  <c r="T677" i="29"/>
  <c r="S677" i="29"/>
  <c r="R677" i="29"/>
  <c r="Q678" i="29" a="1"/>
  <c r="Q678" i="29"/>
  <c r="S678" i="29"/>
  <c r="T678" i="29"/>
  <c r="R678" i="29"/>
  <c r="Q679" i="29" a="1"/>
  <c r="Q679" i="29"/>
  <c r="T679" i="29"/>
  <c r="S679" i="29"/>
  <c r="R679" i="29"/>
  <c r="Q680" i="29" a="1"/>
  <c r="Q680" i="29"/>
  <c r="T680" i="29"/>
  <c r="S680" i="29"/>
  <c r="R680" i="29"/>
  <c r="Q681" i="29" a="1"/>
  <c r="Q681" i="29"/>
  <c r="T681" i="29"/>
  <c r="S681" i="29"/>
  <c r="R681" i="29"/>
  <c r="Q682" i="29" a="1"/>
  <c r="Q682" i="29"/>
  <c r="T682" i="29"/>
  <c r="S682" i="29"/>
  <c r="R682" i="29"/>
  <c r="Q683" i="29" a="1"/>
  <c r="Q683" i="29"/>
  <c r="T683" i="29"/>
  <c r="S683" i="29"/>
  <c r="R683" i="29"/>
  <c r="Q684" i="29" a="1"/>
  <c r="Q684" i="29"/>
  <c r="R684" i="29"/>
  <c r="T684" i="29"/>
  <c r="S684" i="29"/>
  <c r="Q685" i="29" a="1"/>
  <c r="Q685" i="29"/>
  <c r="T685" i="29"/>
  <c r="R685" i="29"/>
  <c r="S685" i="29"/>
  <c r="Q686" i="29" a="1"/>
  <c r="Q686" i="29"/>
  <c r="T686" i="29"/>
  <c r="S686" i="29"/>
  <c r="R686" i="29"/>
  <c r="Q687" i="29" a="1"/>
  <c r="Q687" i="29"/>
  <c r="R687" i="29"/>
  <c r="T687" i="29"/>
  <c r="S687" i="29"/>
  <c r="Q688" i="29" a="1"/>
  <c r="Q688" i="29"/>
  <c r="T688" i="29"/>
  <c r="S688" i="29"/>
  <c r="R688" i="29"/>
  <c r="Q689" i="29" a="1"/>
  <c r="Q689" i="29"/>
  <c r="T689" i="29"/>
  <c r="S689" i="29"/>
  <c r="R689" i="29"/>
  <c r="Q690" i="29" a="1"/>
  <c r="Q690" i="29"/>
  <c r="T690" i="29"/>
  <c r="S690" i="29"/>
  <c r="R690" i="29"/>
  <c r="Q691" i="29" a="1"/>
  <c r="Q691" i="29"/>
  <c r="T691" i="29"/>
  <c r="S691" i="29"/>
  <c r="R691" i="29"/>
  <c r="Q692" i="29" a="1"/>
  <c r="Q692" i="29"/>
  <c r="T692" i="29"/>
  <c r="S692" i="29"/>
  <c r="R692" i="29"/>
  <c r="Q693" i="29" a="1"/>
  <c r="Q693" i="29"/>
  <c r="T693" i="29"/>
  <c r="S693" i="29"/>
  <c r="R693" i="29"/>
  <c r="Q694" i="29" a="1"/>
  <c r="Q694" i="29"/>
  <c r="S694" i="29"/>
  <c r="T694" i="29"/>
  <c r="R694" i="29"/>
  <c r="Q695" i="29" a="1"/>
  <c r="Q695" i="29"/>
  <c r="T695" i="29"/>
  <c r="S695" i="29"/>
  <c r="R695" i="29"/>
  <c r="Q696" i="29" a="1"/>
  <c r="Q696" i="29"/>
  <c r="S696" i="29"/>
  <c r="T696" i="29"/>
  <c r="R696" i="29"/>
  <c r="Q697" i="29" a="1"/>
  <c r="Q697" i="29"/>
  <c r="T697" i="29"/>
  <c r="S697" i="29"/>
  <c r="R697" i="29"/>
  <c r="Q698" i="29" a="1"/>
  <c r="Q698" i="29"/>
  <c r="T698" i="29"/>
  <c r="S698" i="29"/>
  <c r="R698" i="29"/>
  <c r="Q699" i="29" a="1"/>
  <c r="Q699" i="29"/>
  <c r="T699" i="29"/>
  <c r="S699" i="29"/>
  <c r="R699" i="29"/>
  <c r="Q700" i="29" a="1"/>
  <c r="Q700" i="29"/>
  <c r="T700" i="29"/>
  <c r="S700" i="29"/>
  <c r="R700" i="29"/>
  <c r="Q701" i="29" a="1"/>
  <c r="Q701" i="29"/>
  <c r="T701" i="29"/>
  <c r="S701" i="29"/>
  <c r="R701" i="29"/>
  <c r="Q702" i="29" a="1"/>
  <c r="Q702" i="29"/>
  <c r="T702" i="29"/>
  <c r="S702" i="29"/>
  <c r="R702" i="29"/>
  <c r="Q703" i="29" a="1"/>
  <c r="Q703" i="29"/>
  <c r="T703" i="29"/>
  <c r="R703" i="29"/>
  <c r="S703" i="29"/>
  <c r="Q704" i="29" a="1"/>
  <c r="Q704" i="29"/>
  <c r="S704" i="29"/>
  <c r="T704" i="29"/>
  <c r="R704" i="29"/>
  <c r="Q705" i="29" a="1"/>
  <c r="Q705" i="29"/>
  <c r="R705" i="29"/>
  <c r="T705" i="29"/>
  <c r="S705" i="29"/>
  <c r="Q706" i="29" a="1"/>
  <c r="Q706" i="29"/>
  <c r="T706" i="29"/>
  <c r="S706" i="29"/>
  <c r="R706" i="29"/>
  <c r="Q707" i="29" a="1"/>
  <c r="Q707" i="29"/>
  <c r="T707" i="29"/>
  <c r="S707" i="29"/>
  <c r="R707" i="29"/>
  <c r="Q708" i="29" a="1"/>
  <c r="Q708" i="29"/>
  <c r="T708" i="29"/>
  <c r="S708" i="29"/>
  <c r="R708" i="29"/>
  <c r="Q709" i="29" a="1"/>
  <c r="Q709" i="29"/>
  <c r="T709" i="29"/>
  <c r="S709" i="29"/>
  <c r="R709" i="29"/>
  <c r="Q710" i="29" a="1"/>
  <c r="Q710" i="29"/>
  <c r="S710" i="29"/>
  <c r="T710" i="29"/>
  <c r="R710" i="29"/>
  <c r="Q711" i="29" a="1"/>
  <c r="Q711" i="29"/>
  <c r="T711" i="29"/>
  <c r="S711" i="29"/>
  <c r="R711" i="29"/>
  <c r="Q712" i="29" a="1"/>
  <c r="Q712" i="29"/>
  <c r="S712" i="29"/>
  <c r="T712" i="29"/>
  <c r="R712" i="29"/>
  <c r="Q713" i="29" a="1"/>
  <c r="Q713" i="29"/>
  <c r="R713" i="29"/>
  <c r="T713" i="29"/>
  <c r="S713" i="29"/>
  <c r="Q714" i="29" a="1"/>
  <c r="Q714" i="29"/>
  <c r="T714" i="29"/>
  <c r="S714" i="29"/>
  <c r="R714" i="29"/>
  <c r="Q715" i="29" a="1"/>
  <c r="Q715" i="29"/>
  <c r="T715" i="29"/>
  <c r="S715" i="29"/>
  <c r="R715" i="29"/>
  <c r="Q716" i="29" a="1"/>
  <c r="Q716" i="29"/>
  <c r="T716" i="29"/>
  <c r="S716" i="29"/>
  <c r="R716" i="29"/>
  <c r="Q717" i="29" a="1"/>
  <c r="Q717" i="29"/>
  <c r="T717" i="29"/>
  <c r="S717" i="29"/>
  <c r="R717" i="29"/>
  <c r="Q718" i="29" a="1"/>
  <c r="Q718" i="29"/>
  <c r="T718" i="29"/>
  <c r="S718" i="29"/>
  <c r="R718" i="29"/>
  <c r="Q719" i="29" a="1"/>
  <c r="Q719" i="29"/>
  <c r="T719" i="29"/>
  <c r="R719" i="29"/>
  <c r="S719" i="29"/>
  <c r="Q720" i="29" a="1"/>
  <c r="Q720" i="29"/>
  <c r="S720" i="29"/>
  <c r="T720" i="29"/>
  <c r="R720" i="29"/>
  <c r="Q721" i="29" a="1"/>
  <c r="Q721" i="29"/>
  <c r="R721" i="29"/>
  <c r="S721" i="29"/>
  <c r="T721" i="29"/>
  <c r="Q722" i="29" a="1"/>
  <c r="Q722" i="29"/>
  <c r="R722" i="29"/>
  <c r="T722" i="29"/>
  <c r="S722" i="29"/>
  <c r="Q723" i="29" a="1"/>
  <c r="Q723" i="29"/>
  <c r="T723" i="29"/>
  <c r="S723" i="29"/>
  <c r="R723" i="29"/>
  <c r="Q724" i="29" a="1"/>
  <c r="Q724" i="29"/>
  <c r="S724" i="29"/>
  <c r="R724" i="29"/>
  <c r="T724" i="29"/>
  <c r="Q725" i="29" a="1"/>
  <c r="Q725" i="29"/>
  <c r="T725" i="29"/>
  <c r="S725" i="29"/>
  <c r="R725" i="29"/>
  <c r="Q726" i="29" a="1"/>
  <c r="Q726" i="29"/>
  <c r="S726" i="29"/>
  <c r="R726" i="29"/>
  <c r="T726" i="29"/>
  <c r="Q727" i="29" a="1"/>
  <c r="Q727" i="29"/>
  <c r="T727" i="29"/>
  <c r="S727" i="29"/>
  <c r="R727" i="29"/>
  <c r="Q728" i="29" a="1"/>
  <c r="Q728" i="29"/>
  <c r="S728" i="29"/>
  <c r="T728" i="29"/>
  <c r="R728" i="29"/>
  <c r="Q729" i="29" a="1"/>
  <c r="Q729" i="29"/>
  <c r="R729" i="29"/>
  <c r="T729" i="29"/>
  <c r="S729" i="29"/>
  <c r="Q730" i="29" a="1"/>
  <c r="Q730" i="29"/>
  <c r="T730" i="29"/>
  <c r="S730" i="29"/>
  <c r="R730" i="29"/>
  <c r="Q731" i="29" a="1"/>
  <c r="Q731" i="29"/>
  <c r="T731" i="29"/>
  <c r="S731" i="29"/>
  <c r="R731" i="29"/>
  <c r="Q732" i="29" a="1"/>
  <c r="Q732" i="29"/>
  <c r="T732" i="29"/>
  <c r="S732" i="29"/>
  <c r="R732" i="29"/>
  <c r="Q733" i="29" a="1"/>
  <c r="Q733" i="29"/>
  <c r="T733" i="29"/>
  <c r="S733" i="29"/>
  <c r="R733" i="29"/>
  <c r="Q734" i="29" a="1"/>
  <c r="Q734" i="29"/>
  <c r="T734" i="29"/>
  <c r="S734" i="29"/>
  <c r="R734" i="29"/>
  <c r="Q735" i="29" a="1"/>
  <c r="Q735" i="29"/>
  <c r="T735" i="29"/>
  <c r="R735" i="29"/>
  <c r="S735" i="29"/>
  <c r="Q736" i="29" a="1"/>
  <c r="Q736" i="29"/>
  <c r="S736" i="29"/>
  <c r="T736" i="29"/>
  <c r="R736" i="29"/>
  <c r="Q737" i="29" a="1"/>
  <c r="Q737" i="29"/>
  <c r="S737" i="29"/>
  <c r="R737" i="29"/>
  <c r="T737" i="29"/>
  <c r="Q738" i="29" a="1"/>
  <c r="Q738" i="29"/>
  <c r="S738" i="29"/>
  <c r="R738" i="29"/>
  <c r="T738" i="29"/>
  <c r="Q739" i="29" a="1"/>
  <c r="Q739" i="29"/>
  <c r="S739" i="29"/>
  <c r="R739" i="29"/>
  <c r="T739" i="29"/>
  <c r="Q740" i="29" a="1"/>
  <c r="Q740" i="29"/>
  <c r="T740" i="29"/>
  <c r="S740" i="29"/>
  <c r="R740" i="29"/>
  <c r="Q741" i="29" a="1"/>
  <c r="Q741" i="29"/>
  <c r="T741" i="29"/>
  <c r="S741" i="29"/>
  <c r="R741" i="29"/>
  <c r="Q742" i="29" a="1"/>
  <c r="Q742" i="29"/>
  <c r="S742" i="29"/>
  <c r="T742" i="29"/>
  <c r="R742" i="29"/>
  <c r="Q743" i="29" a="1"/>
  <c r="Q743" i="29"/>
  <c r="T743" i="29"/>
  <c r="S743" i="29"/>
  <c r="R743" i="29"/>
  <c r="Q744" i="29" a="1"/>
  <c r="Q744" i="29"/>
  <c r="T744" i="29"/>
  <c r="S744" i="29"/>
  <c r="R744" i="29"/>
  <c r="Q745" i="29" a="1"/>
  <c r="Q745" i="29"/>
  <c r="T745" i="29"/>
  <c r="R745" i="29"/>
  <c r="S745" i="29"/>
  <c r="Q746" i="29" a="1"/>
  <c r="Q746" i="29"/>
  <c r="S746" i="29"/>
  <c r="R746" i="29"/>
  <c r="T746" i="29"/>
  <c r="Q747" i="29" a="1"/>
  <c r="Q747" i="29"/>
  <c r="R747" i="29"/>
  <c r="T747" i="29"/>
  <c r="S747" i="29"/>
  <c r="Q748" i="29" a="1"/>
  <c r="Q748" i="29"/>
  <c r="S748" i="29"/>
  <c r="R748" i="29"/>
  <c r="T748" i="29"/>
  <c r="Q749" i="29" a="1"/>
  <c r="Q749" i="29"/>
  <c r="T749" i="29"/>
  <c r="R749" i="29"/>
  <c r="S749" i="29"/>
  <c r="Q750" i="29" a="1"/>
  <c r="Q750" i="29"/>
  <c r="T750" i="29"/>
  <c r="S750" i="29"/>
  <c r="R750" i="29"/>
  <c r="Q751" i="29" a="1"/>
  <c r="Q751" i="29"/>
  <c r="T751" i="29"/>
  <c r="R751" i="29"/>
  <c r="S751" i="29"/>
  <c r="Q752" i="29" a="1"/>
  <c r="Q752" i="29"/>
  <c r="S752" i="29"/>
  <c r="R752" i="29"/>
  <c r="T752" i="29"/>
  <c r="Q753" i="29" a="1"/>
  <c r="Q753" i="29"/>
  <c r="T753" i="29"/>
  <c r="S753" i="29"/>
  <c r="R753" i="29"/>
  <c r="Q754" i="29" a="1"/>
  <c r="Q754" i="29"/>
  <c r="S754" i="29"/>
  <c r="T754" i="29"/>
  <c r="R754" i="29"/>
  <c r="Q755" i="29" a="1"/>
  <c r="Q755" i="29"/>
  <c r="R755" i="29"/>
  <c r="T755" i="29"/>
  <c r="S755" i="29"/>
  <c r="Q756" i="29" a="1"/>
  <c r="Q756" i="29"/>
  <c r="S756" i="29"/>
  <c r="R756" i="29"/>
  <c r="T756" i="29"/>
  <c r="Q757" i="29" a="1"/>
  <c r="Q757" i="29"/>
  <c r="T757" i="29"/>
  <c r="S757" i="29"/>
  <c r="R757" i="29"/>
  <c r="Q758" i="29" a="1"/>
  <c r="Q758" i="29"/>
  <c r="S758" i="29"/>
  <c r="T758" i="29"/>
  <c r="R758" i="29"/>
  <c r="Q759" i="29" a="1"/>
  <c r="Q759" i="29"/>
  <c r="T759" i="29"/>
  <c r="S759" i="29"/>
  <c r="R759" i="29"/>
  <c r="Q760" i="29" a="1"/>
  <c r="Q760" i="29"/>
  <c r="T760" i="29"/>
  <c r="S760" i="29"/>
  <c r="R760" i="29"/>
  <c r="Q761" i="29" a="1"/>
  <c r="Q761" i="29"/>
  <c r="T761" i="29"/>
  <c r="R761" i="29"/>
  <c r="S761" i="29"/>
  <c r="Q762" i="29" a="1"/>
  <c r="Q762" i="29"/>
  <c r="S762" i="29"/>
  <c r="R762" i="29"/>
  <c r="T762" i="29"/>
  <c r="Q763" i="29" a="1"/>
  <c r="Q763" i="29"/>
  <c r="S763" i="29"/>
  <c r="R763" i="29"/>
  <c r="T763" i="29"/>
  <c r="Q764" i="29" a="1"/>
  <c r="Q764" i="29"/>
  <c r="S764" i="29"/>
  <c r="R764" i="29"/>
  <c r="T764" i="29"/>
  <c r="Q765" i="29" a="1"/>
  <c r="Q765" i="29"/>
  <c r="T765" i="29"/>
  <c r="S765" i="29"/>
  <c r="R765" i="29"/>
  <c r="Q766" i="29" a="1"/>
  <c r="Q766" i="29"/>
  <c r="T766" i="29"/>
  <c r="S766" i="29"/>
  <c r="R766" i="29"/>
  <c r="Q767" i="29" a="1"/>
  <c r="Q767" i="29"/>
  <c r="T767" i="29"/>
  <c r="R767" i="29"/>
  <c r="S767" i="29"/>
  <c r="Q768" i="29" a="1"/>
  <c r="Q768" i="29"/>
  <c r="S768" i="29"/>
  <c r="R768" i="29"/>
  <c r="T768" i="29"/>
  <c r="Q769" i="29" a="1"/>
  <c r="Q769" i="29"/>
  <c r="T769" i="29"/>
  <c r="S769" i="29"/>
  <c r="R769" i="29"/>
  <c r="Q770" i="29" a="1"/>
  <c r="Q770" i="29"/>
  <c r="T770" i="29"/>
  <c r="S770" i="29"/>
  <c r="R770" i="29"/>
  <c r="Q771" i="29" a="1"/>
  <c r="Q771" i="29"/>
  <c r="S771" i="29"/>
  <c r="R771" i="29"/>
  <c r="T771" i="29"/>
  <c r="Q772" i="29" a="1"/>
  <c r="Q772" i="29"/>
  <c r="T772" i="29"/>
  <c r="R772" i="29"/>
  <c r="S772" i="29"/>
  <c r="Q773" i="29" a="1"/>
  <c r="Q773" i="29"/>
  <c r="T773" i="29"/>
  <c r="S773" i="29"/>
  <c r="R773" i="29"/>
  <c r="Q774" i="29" a="1"/>
  <c r="Q774" i="29"/>
  <c r="S774" i="29"/>
  <c r="R774" i="29"/>
  <c r="T774" i="29"/>
  <c r="Q775" i="29" a="1"/>
  <c r="Q775" i="29"/>
  <c r="T775" i="29"/>
  <c r="S775" i="29"/>
  <c r="R775" i="29"/>
  <c r="Q776" i="29" a="1"/>
  <c r="Q776" i="29"/>
  <c r="T776" i="29"/>
  <c r="S776" i="29"/>
  <c r="R776" i="29"/>
  <c r="Q777" i="29" a="1"/>
  <c r="Q777" i="29"/>
  <c r="T777" i="29"/>
  <c r="R777" i="29"/>
  <c r="S777" i="29"/>
  <c r="Q778" i="29" a="1"/>
  <c r="Q778" i="29"/>
  <c r="T778" i="29"/>
  <c r="S778" i="29"/>
  <c r="R778" i="29"/>
  <c r="Q779" i="29" a="1"/>
  <c r="Q779" i="29"/>
  <c r="S779" i="29"/>
  <c r="R779" i="29"/>
  <c r="T779" i="29"/>
  <c r="Q780" i="29" a="1"/>
  <c r="Q780" i="29"/>
  <c r="R780" i="29"/>
  <c r="T780" i="29"/>
  <c r="S780" i="29"/>
  <c r="Q781" i="29" a="1"/>
  <c r="Q781" i="29"/>
  <c r="T781" i="29"/>
  <c r="S781" i="29"/>
  <c r="R781" i="29"/>
  <c r="Q782" i="29" a="1"/>
  <c r="Q782" i="29"/>
  <c r="T782" i="29"/>
  <c r="S782" i="29"/>
  <c r="R782" i="29"/>
  <c r="Q783" i="29" a="1"/>
  <c r="Q783" i="29"/>
  <c r="T783" i="29"/>
  <c r="R783" i="29"/>
  <c r="S783" i="29"/>
  <c r="Q784" i="29" a="1"/>
  <c r="Q784" i="29"/>
  <c r="S784" i="29"/>
  <c r="R784" i="29"/>
  <c r="T784" i="29"/>
  <c r="Q785" i="29" a="1"/>
  <c r="Q785" i="29"/>
  <c r="T785" i="29"/>
  <c r="S785" i="29"/>
  <c r="R785" i="29"/>
  <c r="Q786" i="29" a="1"/>
  <c r="Q786" i="29"/>
  <c r="T786" i="29"/>
  <c r="S786" i="29"/>
  <c r="R786" i="29"/>
  <c r="Q787" i="29" a="1"/>
  <c r="Q787" i="29"/>
  <c r="S787" i="29"/>
  <c r="R787" i="29"/>
  <c r="T787" i="29"/>
  <c r="Q788" i="29" a="1"/>
  <c r="Q788" i="29"/>
  <c r="T788" i="29"/>
  <c r="R788" i="29"/>
  <c r="S788" i="29"/>
  <c r="Q789" i="29" a="1"/>
  <c r="Q789" i="29"/>
  <c r="T789" i="29"/>
  <c r="S789" i="29"/>
  <c r="R789" i="29"/>
  <c r="Q790" i="29" a="1"/>
  <c r="Q790" i="29"/>
  <c r="S790" i="29"/>
  <c r="R790" i="29"/>
  <c r="T790" i="29"/>
  <c r="Q791" i="29" a="1"/>
  <c r="Q791" i="29"/>
  <c r="T791" i="29"/>
  <c r="S791" i="29"/>
  <c r="R791" i="29"/>
  <c r="Q792" i="29" a="1"/>
  <c r="Q792" i="29"/>
  <c r="T792" i="29"/>
  <c r="S792" i="29"/>
  <c r="R792" i="29"/>
  <c r="Q793" i="29" a="1"/>
  <c r="Q793" i="29"/>
  <c r="T793" i="29"/>
  <c r="S793" i="29"/>
  <c r="R793" i="29"/>
  <c r="Q794" i="29" a="1"/>
  <c r="Q794" i="29"/>
  <c r="T794" i="29"/>
  <c r="S794" i="29"/>
  <c r="R794" i="29"/>
  <c r="Q795" i="29" a="1"/>
  <c r="Q795" i="29"/>
  <c r="S795" i="29"/>
  <c r="R795" i="29"/>
  <c r="T795" i="29"/>
  <c r="Q796" i="29" a="1"/>
  <c r="Q796" i="29"/>
  <c r="R796" i="29"/>
  <c r="T796" i="29"/>
  <c r="S796" i="29"/>
  <c r="Q797" i="29" a="1"/>
  <c r="Q797" i="29"/>
  <c r="T797" i="29"/>
  <c r="S797" i="29"/>
  <c r="R797" i="29"/>
  <c r="Q798" i="29" a="1"/>
  <c r="Q798" i="29"/>
  <c r="T798" i="29"/>
  <c r="S798" i="29"/>
  <c r="R798" i="29"/>
  <c r="Q799" i="29" a="1"/>
  <c r="Q799" i="29"/>
  <c r="T799" i="29"/>
  <c r="S799" i="29"/>
  <c r="R799" i="29"/>
  <c r="Q800" i="29" a="1"/>
  <c r="Q800" i="29"/>
  <c r="T800" i="29"/>
  <c r="S800" i="29"/>
  <c r="R800" i="29"/>
  <c r="Q801" i="29" a="1"/>
  <c r="Q801" i="29"/>
  <c r="T801" i="29"/>
  <c r="S801" i="29"/>
  <c r="R801" i="29"/>
  <c r="Q802" i="29" a="1"/>
  <c r="Q802" i="29"/>
  <c r="T802" i="29"/>
  <c r="S802" i="29"/>
  <c r="R802" i="29"/>
  <c r="Q803" i="29" a="1"/>
  <c r="Q803" i="29"/>
  <c r="S803" i="29"/>
  <c r="R803" i="29"/>
  <c r="T803" i="29"/>
  <c r="Q804" i="29" a="1"/>
  <c r="Q804" i="29"/>
  <c r="T804" i="29"/>
  <c r="R804" i="29"/>
  <c r="S804" i="29"/>
  <c r="Q805" i="29" a="1"/>
  <c r="Q805" i="29"/>
  <c r="T805" i="29"/>
  <c r="S805" i="29"/>
  <c r="R805" i="29"/>
  <c r="Q806" i="29" a="1"/>
  <c r="Q806" i="29"/>
  <c r="T806" i="29"/>
  <c r="S806" i="29"/>
  <c r="R806" i="29"/>
  <c r="Q807" i="29" a="1"/>
  <c r="Q807" i="29"/>
  <c r="T807" i="29"/>
  <c r="S807" i="29"/>
  <c r="R807" i="29"/>
  <c r="Q808" i="29" a="1"/>
  <c r="Q808" i="29"/>
  <c r="T808" i="29"/>
  <c r="S808" i="29"/>
  <c r="R808" i="29"/>
  <c r="Q809" i="29" a="1"/>
  <c r="Q809" i="29"/>
  <c r="T809" i="29"/>
  <c r="S809" i="29"/>
  <c r="R809" i="29"/>
  <c r="Q810" i="29" a="1"/>
  <c r="Q810" i="29"/>
  <c r="R810" i="29"/>
  <c r="T810" i="29"/>
  <c r="S810" i="29"/>
  <c r="Q811" i="29" a="1"/>
  <c r="Q811" i="29"/>
  <c r="T811" i="29"/>
  <c r="S811" i="29"/>
  <c r="R811" i="29"/>
  <c r="Q812" i="29" a="1"/>
  <c r="Q812" i="29"/>
  <c r="T812" i="29"/>
  <c r="S812" i="29"/>
  <c r="R812" i="29"/>
  <c r="Q813" i="29" a="1"/>
  <c r="Q813" i="29"/>
  <c r="T813" i="29"/>
  <c r="S813" i="29"/>
  <c r="R813" i="29"/>
  <c r="Q814" i="29" a="1"/>
  <c r="Q814" i="29"/>
  <c r="T814" i="29"/>
  <c r="S814" i="29"/>
  <c r="R814" i="29"/>
  <c r="Q815" i="29" a="1"/>
  <c r="Q815" i="29"/>
  <c r="T815" i="29"/>
  <c r="S815" i="29"/>
  <c r="R815" i="29"/>
  <c r="Q816" i="29" a="1"/>
  <c r="Q816" i="29"/>
  <c r="T816" i="29"/>
  <c r="S816" i="29"/>
  <c r="R816" i="29"/>
  <c r="Q817" i="29" a="1"/>
  <c r="Q817" i="29"/>
  <c r="S817" i="29"/>
  <c r="T817" i="29"/>
  <c r="R817" i="29"/>
  <c r="Q818" i="29" a="1"/>
  <c r="Q818" i="29"/>
  <c r="T818" i="29"/>
  <c r="S818" i="29"/>
  <c r="R818" i="29"/>
  <c r="Q819" i="29" a="1"/>
  <c r="Q819" i="29"/>
  <c r="T819" i="29"/>
  <c r="S819" i="29"/>
  <c r="R819" i="29"/>
  <c r="Q820" i="29" a="1"/>
  <c r="Q820" i="29"/>
  <c r="S820" i="29"/>
  <c r="T820" i="29"/>
  <c r="R820" i="29"/>
  <c r="Q821" i="29" a="1"/>
  <c r="Q821" i="29"/>
  <c r="T821" i="29"/>
  <c r="S821" i="29"/>
  <c r="R821" i="29"/>
  <c r="Q822" i="29" a="1"/>
  <c r="Q822" i="29"/>
  <c r="T822" i="29"/>
  <c r="S822" i="29"/>
  <c r="R822" i="29"/>
  <c r="Q823" i="29" a="1"/>
  <c r="Q823" i="29"/>
  <c r="T823" i="29"/>
  <c r="S823" i="29"/>
  <c r="R823" i="29"/>
  <c r="Q824" i="29" a="1"/>
  <c r="Q824" i="29"/>
  <c r="T824" i="29"/>
  <c r="S824" i="29"/>
  <c r="R824" i="29"/>
  <c r="Q825" i="29" a="1"/>
  <c r="Q825" i="29"/>
  <c r="T825" i="29"/>
  <c r="S825" i="29"/>
  <c r="R825" i="29"/>
  <c r="Q826" i="29" a="1"/>
  <c r="Q826" i="29"/>
  <c r="R826" i="29"/>
  <c r="S826" i="29"/>
  <c r="T826" i="29"/>
  <c r="Q827" i="29" a="1"/>
  <c r="Q827" i="29"/>
  <c r="T827" i="29"/>
  <c r="S827" i="29"/>
  <c r="R827" i="29"/>
  <c r="Q828" i="29" a="1"/>
  <c r="Q828" i="29"/>
  <c r="S828" i="29"/>
  <c r="R828" i="29"/>
  <c r="T828" i="29"/>
  <c r="Q829" i="29" a="1"/>
  <c r="Q829" i="29"/>
  <c r="R829" i="29"/>
  <c r="T829" i="29"/>
  <c r="S829" i="29"/>
  <c r="Q830" i="29" a="1"/>
  <c r="Q830" i="29"/>
  <c r="T830" i="29"/>
  <c r="S830" i="29"/>
  <c r="R830" i="29"/>
  <c r="Q831" i="29" a="1"/>
  <c r="Q831" i="29"/>
  <c r="T831" i="29"/>
  <c r="S831" i="29"/>
  <c r="R831" i="29"/>
  <c r="Q832" i="29" a="1"/>
  <c r="Q832" i="29"/>
  <c r="T832" i="29"/>
  <c r="S832" i="29"/>
  <c r="R832" i="29"/>
  <c r="Q833" i="29" a="1"/>
  <c r="Q833" i="29"/>
  <c r="S833" i="29"/>
  <c r="T833" i="29"/>
  <c r="R833" i="29"/>
  <c r="Q834" i="29" a="1"/>
  <c r="Q834" i="29"/>
  <c r="T834" i="29"/>
  <c r="S834" i="29"/>
  <c r="R834" i="29"/>
  <c r="Q835" i="29" a="1"/>
  <c r="Q835" i="29"/>
  <c r="S835" i="29"/>
  <c r="T835" i="29"/>
  <c r="R835" i="29"/>
  <c r="Q836" i="29" a="1"/>
  <c r="Q836" i="29"/>
  <c r="S836" i="29"/>
  <c r="T836" i="29"/>
  <c r="R836" i="29"/>
  <c r="Q837" i="29" a="1"/>
  <c r="Q837" i="29"/>
  <c r="T837" i="29"/>
  <c r="S837" i="29"/>
  <c r="R837" i="29"/>
  <c r="Q838" i="29" a="1"/>
  <c r="Q838" i="29"/>
  <c r="T838" i="29"/>
  <c r="S838" i="29"/>
  <c r="R838" i="29"/>
  <c r="Q839" i="29" a="1"/>
  <c r="Q839" i="29"/>
  <c r="T839" i="29"/>
  <c r="S839" i="29"/>
  <c r="R839" i="29"/>
  <c r="Q840" i="29" a="1"/>
  <c r="Q840" i="29"/>
  <c r="T840" i="29"/>
  <c r="S840" i="29"/>
  <c r="R840" i="29"/>
  <c r="Q841" i="29" a="1"/>
  <c r="Q841" i="29"/>
  <c r="T841" i="29"/>
  <c r="S841" i="29"/>
  <c r="R841" i="29"/>
  <c r="Q842" i="29" a="1"/>
  <c r="Q842" i="29"/>
  <c r="R842" i="29"/>
  <c r="T842" i="29"/>
  <c r="S842" i="29"/>
  <c r="Q843" i="29" a="1"/>
  <c r="Q843" i="29"/>
  <c r="T843" i="29"/>
  <c r="S843" i="29"/>
  <c r="R843" i="29"/>
  <c r="Q844" i="29" a="1"/>
  <c r="Q844" i="29"/>
  <c r="R844" i="29"/>
  <c r="T844" i="29"/>
  <c r="S844" i="29"/>
  <c r="Q845" i="29" a="1"/>
  <c r="Q845" i="29"/>
  <c r="R845" i="29"/>
  <c r="T845" i="29"/>
  <c r="S845" i="29"/>
  <c r="Q846" i="29" a="1"/>
  <c r="Q846" i="29"/>
  <c r="S846" i="29"/>
  <c r="T846" i="29"/>
  <c r="R846" i="29"/>
  <c r="Q847" i="29" a="1"/>
  <c r="Q847" i="29"/>
  <c r="T847" i="29"/>
  <c r="S847" i="29"/>
  <c r="R847" i="29"/>
  <c r="Q848" i="29" a="1"/>
  <c r="Q848" i="29"/>
  <c r="T848" i="29"/>
  <c r="S848" i="29"/>
  <c r="R848" i="29"/>
  <c r="Q849" i="29" a="1"/>
  <c r="Q849" i="29"/>
  <c r="S849" i="29"/>
  <c r="T849" i="29"/>
  <c r="R849" i="29"/>
  <c r="Q850" i="29" a="1"/>
  <c r="Q850" i="29"/>
  <c r="T850" i="29"/>
  <c r="S850" i="29"/>
  <c r="R850" i="29"/>
  <c r="Q851" i="29" a="1"/>
  <c r="Q851" i="29"/>
  <c r="S851" i="29"/>
  <c r="T851" i="29"/>
  <c r="R851" i="29"/>
  <c r="Q852" i="29" a="1"/>
  <c r="Q852" i="29"/>
  <c r="S852" i="29"/>
  <c r="T852" i="29"/>
  <c r="R852" i="29"/>
  <c r="Q853" i="29" a="1"/>
  <c r="Q853" i="29"/>
  <c r="T853" i="29"/>
  <c r="S853" i="29"/>
  <c r="R853" i="29"/>
  <c r="Q854" i="29" a="1"/>
  <c r="Q854" i="29"/>
  <c r="S854" i="29"/>
  <c r="R854" i="29"/>
  <c r="T854" i="29"/>
  <c r="Q855" i="29" a="1"/>
  <c r="Q855" i="29"/>
  <c r="R855" i="29"/>
  <c r="T855" i="29"/>
  <c r="S855" i="29"/>
  <c r="Q856" i="29" a="1"/>
  <c r="Q856" i="29"/>
  <c r="T856" i="29"/>
  <c r="S856" i="29"/>
  <c r="R856" i="29"/>
  <c r="Q857" i="29" a="1"/>
  <c r="Q857" i="29"/>
  <c r="S857" i="29"/>
  <c r="T857" i="29"/>
  <c r="R857" i="29"/>
  <c r="Q858" i="29" a="1"/>
  <c r="Q858" i="29"/>
  <c r="R858" i="29"/>
  <c r="T858" i="29"/>
  <c r="S858" i="29"/>
  <c r="Q859" i="29" a="1"/>
  <c r="Q859" i="29"/>
  <c r="T859" i="29"/>
  <c r="S859" i="29"/>
  <c r="R859" i="29"/>
  <c r="Q860" i="29" a="1"/>
  <c r="Q860" i="29"/>
  <c r="R860" i="29"/>
  <c r="T860" i="29"/>
  <c r="S860" i="29"/>
  <c r="Q861" i="29" a="1"/>
  <c r="Q861" i="29"/>
  <c r="R861" i="29"/>
  <c r="T861" i="29"/>
  <c r="S861" i="29"/>
  <c r="Q862" i="29" a="1"/>
  <c r="Q862" i="29"/>
  <c r="S862" i="29"/>
  <c r="T862" i="29"/>
  <c r="R862" i="29"/>
  <c r="Q863" i="29" a="1"/>
  <c r="Q863" i="29"/>
  <c r="T863" i="29"/>
  <c r="S863" i="29"/>
  <c r="R863" i="29"/>
  <c r="Q864" i="29" a="1"/>
  <c r="Q864" i="29"/>
  <c r="T864" i="29"/>
  <c r="S864" i="29"/>
  <c r="R864" i="29"/>
  <c r="Q865" i="29" a="1"/>
  <c r="Q865" i="29"/>
  <c r="S865" i="29"/>
  <c r="T865" i="29"/>
  <c r="R865" i="29"/>
  <c r="Q866" i="29" a="1"/>
  <c r="Q866" i="29"/>
  <c r="S866" i="29"/>
  <c r="R866" i="29"/>
  <c r="T866" i="29"/>
  <c r="Q867" i="29" a="1"/>
  <c r="Q867" i="29"/>
  <c r="S867" i="29"/>
  <c r="T867" i="29"/>
  <c r="R867" i="29"/>
  <c r="Q868" i="29" a="1"/>
  <c r="Q868" i="29"/>
  <c r="S868" i="29"/>
  <c r="T868" i="29"/>
  <c r="R868" i="29"/>
  <c r="Q869" i="29" a="1"/>
  <c r="Q869" i="29"/>
  <c r="T869" i="29"/>
  <c r="S869" i="29"/>
  <c r="R869" i="29"/>
  <c r="Q870" i="29" a="1"/>
  <c r="Q870" i="29"/>
  <c r="S870" i="29"/>
  <c r="T870" i="29"/>
  <c r="R870" i="29"/>
  <c r="Q871" i="29" a="1"/>
  <c r="Q871" i="29"/>
  <c r="T871" i="29"/>
  <c r="S871" i="29"/>
  <c r="R871" i="29"/>
  <c r="Q872" i="29" a="1"/>
  <c r="Q872" i="29"/>
  <c r="T872" i="29"/>
  <c r="S872" i="29"/>
  <c r="R872" i="29"/>
  <c r="Q873" i="29" a="1"/>
  <c r="Q873" i="29"/>
  <c r="T873" i="29"/>
  <c r="S873" i="29"/>
  <c r="R873" i="29"/>
  <c r="Q874" i="29" a="1"/>
  <c r="Q874" i="29"/>
  <c r="R874" i="29"/>
  <c r="T874" i="29"/>
  <c r="S874" i="29"/>
  <c r="Q875" i="29" a="1"/>
  <c r="Q875" i="29"/>
  <c r="T875" i="29"/>
  <c r="R875" i="29"/>
  <c r="S875" i="29"/>
  <c r="Q876" i="29" a="1"/>
  <c r="Q876" i="29"/>
  <c r="S876" i="29"/>
  <c r="R876" i="29"/>
  <c r="T876" i="29"/>
  <c r="Q877" i="29" a="1"/>
  <c r="Q877" i="29"/>
  <c r="T877" i="29"/>
  <c r="R877" i="29"/>
  <c r="S877" i="29"/>
  <c r="Q878" i="29" a="1"/>
  <c r="Q878" i="29"/>
  <c r="T878" i="29"/>
  <c r="S878" i="29"/>
  <c r="R878" i="29"/>
  <c r="Q879" i="29" a="1"/>
  <c r="Q879" i="29"/>
  <c r="R879" i="29"/>
  <c r="T879" i="29"/>
  <c r="S879" i="29"/>
  <c r="Q880" i="29" a="1"/>
  <c r="Q880" i="29"/>
  <c r="T880" i="29"/>
  <c r="S880" i="29"/>
  <c r="R880" i="29"/>
  <c r="Q881" i="29" a="1"/>
  <c r="Q881" i="29"/>
  <c r="S881" i="29"/>
  <c r="T881" i="29"/>
  <c r="R881" i="29"/>
  <c r="Q882" i="29" a="1"/>
  <c r="Q882" i="29"/>
  <c r="S882" i="29"/>
  <c r="R882" i="29"/>
  <c r="T882" i="29"/>
  <c r="Q883" i="29" a="1"/>
  <c r="Q883" i="29"/>
  <c r="T883" i="29"/>
  <c r="S883" i="29"/>
  <c r="R883" i="29"/>
  <c r="Q884" i="29" a="1"/>
  <c r="Q884" i="29"/>
  <c r="S884" i="29"/>
  <c r="T884" i="29"/>
  <c r="R884" i="29"/>
  <c r="Q885" i="29" a="1"/>
  <c r="Q885" i="29"/>
  <c r="T885" i="29"/>
  <c r="S885" i="29"/>
  <c r="R885" i="29"/>
  <c r="Q886" i="29" a="1"/>
  <c r="Q886" i="29"/>
  <c r="S886" i="29"/>
  <c r="T886" i="29"/>
  <c r="R886" i="29"/>
  <c r="Q887" i="29" a="1"/>
  <c r="Q887" i="29"/>
  <c r="T887" i="29"/>
  <c r="S887" i="29"/>
  <c r="R887" i="29"/>
  <c r="Q888" i="29" a="1"/>
  <c r="Q888" i="29"/>
  <c r="T888" i="29"/>
  <c r="S888" i="29"/>
  <c r="R888" i="29"/>
  <c r="Q889" i="29" a="1"/>
  <c r="Q889" i="29"/>
  <c r="T889" i="29"/>
  <c r="S889" i="29"/>
  <c r="R889" i="29"/>
  <c r="Q890" i="29" a="1"/>
  <c r="Q890" i="29"/>
  <c r="R890" i="29"/>
  <c r="T890" i="29"/>
  <c r="S890" i="29"/>
  <c r="Q891" i="29" a="1"/>
  <c r="Q891" i="29"/>
  <c r="T891" i="29"/>
  <c r="R891" i="29"/>
  <c r="S891" i="29"/>
  <c r="Q892" i="29" a="1"/>
  <c r="Q892" i="29"/>
  <c r="T892" i="29"/>
  <c r="S892" i="29"/>
  <c r="R892" i="29"/>
  <c r="Q893" i="29" a="1"/>
  <c r="Q893" i="29"/>
  <c r="T893" i="29"/>
  <c r="S893" i="29"/>
  <c r="R893" i="29"/>
  <c r="Q894" i="29" a="1"/>
  <c r="Q894" i="29"/>
  <c r="T894" i="29"/>
  <c r="S894" i="29"/>
  <c r="R894" i="29"/>
  <c r="Q895" i="29" a="1"/>
  <c r="Q895" i="29"/>
  <c r="T895" i="29"/>
  <c r="S895" i="29"/>
  <c r="R895" i="29"/>
  <c r="Q896" i="29" a="1"/>
  <c r="Q896" i="29"/>
  <c r="T896" i="29"/>
  <c r="S896" i="29"/>
  <c r="R896" i="29"/>
  <c r="Q897" i="29" a="1"/>
  <c r="Q897" i="29"/>
  <c r="S897" i="29"/>
  <c r="R897" i="29"/>
  <c r="T897" i="29"/>
  <c r="Q898" i="29" a="1"/>
  <c r="Q898" i="29"/>
  <c r="S898" i="29"/>
  <c r="R898" i="29"/>
  <c r="T898" i="29"/>
  <c r="Q899" i="29" a="1"/>
  <c r="Q899" i="29"/>
  <c r="T899" i="29"/>
  <c r="S899" i="29"/>
  <c r="R899" i="29"/>
  <c r="Q900" i="29" a="1"/>
  <c r="Q900" i="29"/>
  <c r="T900" i="29"/>
  <c r="S900" i="29"/>
  <c r="R900" i="29"/>
  <c r="Q901" i="29" a="1"/>
  <c r="Q901" i="29"/>
  <c r="T901" i="29"/>
  <c r="S901" i="29"/>
  <c r="R901" i="29"/>
  <c r="Q902" i="29" a="1"/>
  <c r="Q902" i="29"/>
  <c r="T902" i="29"/>
  <c r="S902" i="29"/>
  <c r="R902" i="29"/>
  <c r="Q903" i="29" a="1"/>
  <c r="Q903" i="29"/>
  <c r="T903" i="29"/>
  <c r="S903" i="29"/>
  <c r="R903" i="29"/>
  <c r="Q904" i="29" a="1"/>
  <c r="Q904" i="29"/>
  <c r="T904" i="29"/>
  <c r="S904" i="29"/>
  <c r="R904" i="29"/>
  <c r="Q905" i="29" a="1"/>
  <c r="Q905" i="29"/>
  <c r="T905" i="29"/>
  <c r="S905" i="29"/>
  <c r="R905" i="29"/>
  <c r="Q906" i="29" a="1"/>
  <c r="Q906" i="29"/>
  <c r="R906" i="29"/>
  <c r="T906" i="29"/>
  <c r="S906" i="29"/>
  <c r="Q907" i="29" a="1"/>
  <c r="Q907" i="29"/>
  <c r="T907" i="29"/>
  <c r="R907" i="29"/>
  <c r="S907" i="29"/>
  <c r="Q908" i="29" a="1"/>
  <c r="Q908" i="29"/>
  <c r="T908" i="29"/>
  <c r="S908" i="29"/>
  <c r="R908" i="29"/>
  <c r="Q909" i="29" a="1"/>
  <c r="Q909" i="29"/>
  <c r="T909" i="29"/>
  <c r="S909" i="29"/>
  <c r="R909" i="29"/>
  <c r="Q910" i="29" a="1"/>
  <c r="Q910" i="29"/>
  <c r="T910" i="29"/>
  <c r="S910" i="29"/>
  <c r="R910" i="29"/>
  <c r="Q911" i="29" a="1"/>
  <c r="Q911" i="29"/>
  <c r="T911" i="29"/>
  <c r="S911" i="29"/>
  <c r="R911" i="29"/>
  <c r="Q912" i="29" a="1"/>
  <c r="Q912" i="29"/>
  <c r="T912" i="29"/>
  <c r="S912" i="29"/>
  <c r="R912" i="29"/>
  <c r="Q913" i="29" a="1"/>
  <c r="Q913" i="29"/>
  <c r="S913" i="29"/>
  <c r="R913" i="29"/>
  <c r="T913" i="29"/>
  <c r="Q914" i="29" a="1"/>
  <c r="Q914" i="29"/>
  <c r="S914" i="29"/>
  <c r="R914" i="29"/>
  <c r="T914" i="29"/>
  <c r="Q915" i="29" a="1"/>
  <c r="Q915" i="29"/>
  <c r="T915" i="29"/>
  <c r="S915" i="29"/>
  <c r="R915" i="29"/>
  <c r="Q916" i="29" a="1"/>
  <c r="Q916" i="29"/>
  <c r="T916" i="29"/>
  <c r="S916" i="29"/>
  <c r="R916" i="29"/>
  <c r="Q917" i="29" a="1"/>
  <c r="Q917" i="29"/>
  <c r="T917" i="29"/>
  <c r="S917" i="29"/>
  <c r="R917" i="29"/>
  <c r="Q918" i="29" a="1"/>
  <c r="Q918" i="29"/>
  <c r="T918" i="29"/>
  <c r="S918" i="29"/>
  <c r="R918" i="29"/>
  <c r="Q919" i="29" a="1"/>
  <c r="Q919" i="29"/>
  <c r="T919" i="29"/>
  <c r="S919" i="29"/>
  <c r="R919" i="29"/>
  <c r="Q920" i="29" a="1"/>
  <c r="Q920" i="29"/>
  <c r="T920" i="29"/>
  <c r="S920" i="29"/>
  <c r="R920" i="29"/>
  <c r="Q921" i="29" a="1"/>
  <c r="Q921" i="29"/>
  <c r="T921" i="29"/>
  <c r="S921" i="29"/>
  <c r="R921" i="29"/>
  <c r="Q922" i="29" a="1"/>
  <c r="Q922" i="29"/>
  <c r="R922" i="29"/>
  <c r="T922" i="29"/>
  <c r="S922" i="29"/>
  <c r="Q923" i="29" a="1"/>
  <c r="Q923" i="29"/>
  <c r="T923" i="29"/>
  <c r="R923" i="29"/>
  <c r="S923" i="29"/>
  <c r="Q924" i="29" a="1"/>
  <c r="Q924" i="29"/>
  <c r="T924" i="29"/>
  <c r="S924" i="29"/>
  <c r="R924" i="29"/>
  <c r="Q925" i="29" a="1"/>
  <c r="Q925" i="29"/>
  <c r="T925" i="29"/>
  <c r="S925" i="29"/>
  <c r="R925" i="29"/>
  <c r="Q926" i="29" a="1"/>
  <c r="Q926" i="29"/>
  <c r="T926" i="29"/>
  <c r="S926" i="29"/>
  <c r="R926" i="29"/>
  <c r="Q927" i="29" a="1"/>
  <c r="Q927" i="29"/>
  <c r="T927" i="29"/>
  <c r="S927" i="29"/>
  <c r="R927" i="29"/>
  <c r="Q928" i="29" a="1"/>
  <c r="Q928" i="29"/>
  <c r="T928" i="29"/>
  <c r="S928" i="29"/>
  <c r="R928" i="29"/>
  <c r="Q929" i="29" a="1"/>
  <c r="Q929" i="29"/>
  <c r="S929" i="29"/>
  <c r="R929" i="29"/>
  <c r="T929" i="29"/>
  <c r="Q930" i="29" a="1"/>
  <c r="Q930" i="29"/>
  <c r="S930" i="29"/>
  <c r="R930" i="29"/>
  <c r="T930" i="29"/>
  <c r="Q931" i="29" a="1"/>
  <c r="Q931" i="29"/>
  <c r="T931" i="29"/>
  <c r="S931" i="29"/>
  <c r="R931" i="29"/>
  <c r="Q932" i="29" a="1"/>
  <c r="Q932" i="29"/>
  <c r="T932" i="29"/>
  <c r="S932" i="29"/>
  <c r="R932" i="29"/>
  <c r="Q933" i="29" a="1"/>
  <c r="Q933" i="29"/>
  <c r="T933" i="29"/>
  <c r="S933" i="29"/>
  <c r="R933" i="29"/>
  <c r="Q934" i="29" a="1"/>
  <c r="Q934" i="29"/>
  <c r="T934" i="29"/>
  <c r="S934" i="29"/>
  <c r="R934" i="29"/>
  <c r="Q935" i="29" a="1"/>
  <c r="Q935" i="29"/>
  <c r="T935" i="29"/>
  <c r="S935" i="29"/>
  <c r="R935" i="29"/>
  <c r="Q936" i="29" a="1"/>
  <c r="Q936" i="29"/>
  <c r="T936" i="29"/>
  <c r="S936" i="29"/>
  <c r="R936" i="29"/>
  <c r="Q937" i="29" a="1"/>
  <c r="Q937" i="29"/>
  <c r="T937" i="29"/>
  <c r="S937" i="29"/>
  <c r="R937" i="29"/>
  <c r="Q938" i="29" a="1"/>
  <c r="Q938" i="29"/>
  <c r="R938" i="29"/>
  <c r="T938" i="29"/>
  <c r="S938" i="29"/>
  <c r="Q939" i="29" a="1"/>
  <c r="Q939" i="29"/>
  <c r="T939" i="29"/>
  <c r="R939" i="29"/>
  <c r="S939" i="29"/>
  <c r="Q940" i="29" a="1"/>
  <c r="Q940" i="29"/>
  <c r="T940" i="29"/>
  <c r="S940" i="29"/>
  <c r="R940" i="29"/>
  <c r="Q941" i="29" a="1"/>
  <c r="Q941" i="29"/>
  <c r="T941" i="29"/>
  <c r="S941" i="29"/>
  <c r="R941" i="29"/>
  <c r="Q942" i="29" a="1"/>
  <c r="Q942" i="29"/>
  <c r="T942" i="29"/>
  <c r="S942" i="29"/>
  <c r="R942" i="29"/>
  <c r="Q943" i="29" a="1"/>
  <c r="Q943" i="29"/>
  <c r="T943" i="29"/>
  <c r="S943" i="29"/>
  <c r="R943" i="29"/>
  <c r="Q944" i="29" a="1"/>
  <c r="Q944" i="29"/>
  <c r="T944" i="29"/>
  <c r="S944" i="29"/>
  <c r="R944" i="29"/>
  <c r="Q945" i="29" a="1"/>
  <c r="Q945" i="29"/>
  <c r="S945" i="29"/>
  <c r="R945" i="29"/>
  <c r="T945" i="29"/>
  <c r="Q946" i="29" a="1"/>
  <c r="Q946" i="29"/>
  <c r="S946" i="29"/>
  <c r="R946" i="29"/>
  <c r="T946" i="29"/>
  <c r="Q947" i="29" a="1"/>
  <c r="Q947" i="29"/>
  <c r="T947" i="29"/>
  <c r="S947" i="29"/>
  <c r="R947" i="29"/>
  <c r="Q948" i="29" a="1"/>
  <c r="Q948" i="29"/>
  <c r="T948" i="29"/>
  <c r="S948" i="29"/>
  <c r="R948" i="29"/>
  <c r="Q949" i="29" a="1"/>
  <c r="Q949" i="29"/>
  <c r="T949" i="29"/>
  <c r="S949" i="29"/>
  <c r="R949" i="29"/>
  <c r="Q950" i="29" a="1"/>
  <c r="Q950" i="29"/>
  <c r="T950" i="29"/>
  <c r="S950" i="29"/>
  <c r="R950" i="29"/>
  <c r="Q951" i="29" a="1"/>
  <c r="Q951" i="29"/>
  <c r="T951" i="29"/>
  <c r="S951" i="29"/>
  <c r="R951" i="29"/>
  <c r="Q952" i="29" a="1"/>
  <c r="Q952" i="29"/>
  <c r="T952" i="29"/>
  <c r="S952" i="29"/>
  <c r="R952" i="29"/>
  <c r="Q953" i="29" a="1"/>
  <c r="Q953" i="29"/>
  <c r="T953" i="29"/>
  <c r="S953" i="29"/>
  <c r="R953" i="29"/>
  <c r="Q954" i="29" a="1"/>
  <c r="Q954" i="29"/>
  <c r="R954" i="29"/>
  <c r="T954" i="29"/>
  <c r="S954" i="29"/>
  <c r="Q955" i="29" a="1"/>
  <c r="Q955" i="29"/>
  <c r="T955" i="29"/>
  <c r="R955" i="29"/>
  <c r="S955" i="29"/>
  <c r="Q956" i="29" a="1"/>
  <c r="Q956" i="29"/>
  <c r="T956" i="29"/>
  <c r="S956" i="29"/>
  <c r="R956" i="29"/>
  <c r="Q957" i="29" a="1"/>
  <c r="Q957" i="29"/>
  <c r="T957" i="29"/>
  <c r="S957" i="29"/>
  <c r="R957" i="29"/>
  <c r="Q958" i="29" a="1"/>
  <c r="Q958" i="29"/>
  <c r="T958" i="29"/>
  <c r="S958" i="29"/>
  <c r="R958" i="29"/>
  <c r="Q959" i="29" a="1"/>
  <c r="Q959" i="29"/>
  <c r="T959" i="29"/>
  <c r="S959" i="29"/>
  <c r="R959" i="29"/>
  <c r="Q960" i="29" a="1"/>
  <c r="Q960" i="29"/>
  <c r="T960" i="29"/>
  <c r="S960" i="29"/>
  <c r="R960" i="29"/>
  <c r="Q961" i="29" a="1"/>
  <c r="Q961" i="29"/>
  <c r="S961" i="29"/>
  <c r="R961" i="29"/>
  <c r="T961" i="29"/>
  <c r="Q962" i="29" a="1"/>
  <c r="Q962" i="29"/>
  <c r="S962" i="29"/>
  <c r="R962" i="29"/>
  <c r="T962" i="29"/>
  <c r="Q963" i="29" a="1"/>
  <c r="Q963" i="29"/>
  <c r="T963" i="29"/>
  <c r="S963" i="29"/>
  <c r="R963" i="29"/>
  <c r="Q964" i="29" a="1"/>
  <c r="Q964" i="29"/>
  <c r="T964" i="29"/>
  <c r="S964" i="29"/>
  <c r="R964" i="29"/>
  <c r="Q965" i="29" a="1"/>
  <c r="Q965" i="29"/>
  <c r="T965" i="29"/>
  <c r="S965" i="29"/>
  <c r="R965" i="29"/>
  <c r="Q966" i="29" a="1"/>
  <c r="Q966" i="29"/>
  <c r="T966" i="29"/>
  <c r="S966" i="29"/>
  <c r="R966" i="29"/>
  <c r="Q967" i="29" a="1"/>
  <c r="Q967" i="29"/>
  <c r="T967" i="29"/>
  <c r="S967" i="29"/>
  <c r="R967" i="29"/>
  <c r="Q968" i="29" a="1"/>
  <c r="Q968" i="29"/>
  <c r="T968" i="29"/>
  <c r="S968" i="29"/>
  <c r="R968" i="29"/>
  <c r="Q969" i="29" a="1"/>
  <c r="Q969" i="29"/>
  <c r="T969" i="29"/>
  <c r="S969" i="29"/>
  <c r="R969" i="29"/>
  <c r="Q970" i="29" a="1"/>
  <c r="Q970" i="29"/>
  <c r="R970" i="29"/>
  <c r="T970" i="29"/>
  <c r="S970" i="29"/>
  <c r="Q971" i="29" a="1"/>
  <c r="Q971" i="29"/>
  <c r="T971" i="29"/>
  <c r="R971" i="29"/>
  <c r="S971" i="29"/>
  <c r="Q972" i="29" a="1"/>
  <c r="Q972" i="29"/>
  <c r="T972" i="29"/>
  <c r="S972" i="29"/>
  <c r="R972" i="29"/>
  <c r="Q973" i="29" a="1"/>
  <c r="Q973" i="29"/>
  <c r="T973" i="29"/>
  <c r="S973" i="29"/>
  <c r="R973" i="29"/>
  <c r="Q974" i="29" a="1"/>
  <c r="Q974" i="29"/>
  <c r="T974" i="29"/>
  <c r="S974" i="29"/>
  <c r="R974" i="29"/>
  <c r="Q975" i="29" a="1"/>
  <c r="Q975" i="29"/>
  <c r="T975" i="29"/>
  <c r="S975" i="29"/>
  <c r="R975" i="29"/>
  <c r="Q976" i="29" a="1"/>
  <c r="Q976" i="29"/>
  <c r="T976" i="29"/>
  <c r="S976" i="29"/>
  <c r="R976" i="29"/>
  <c r="Q977" i="29" a="1"/>
  <c r="Q977" i="29"/>
  <c r="S977" i="29"/>
  <c r="R977" i="29"/>
  <c r="T977" i="29"/>
  <c r="Q978" i="29" a="1"/>
  <c r="Q978" i="29"/>
  <c r="S978" i="29"/>
  <c r="R978" i="29"/>
  <c r="T978" i="29"/>
  <c r="Q979" i="29" a="1"/>
  <c r="Q979" i="29"/>
  <c r="T979" i="29"/>
  <c r="S979" i="29"/>
  <c r="R979" i="29"/>
  <c r="Q980" i="29" a="1"/>
  <c r="Q980" i="29"/>
  <c r="T980" i="29"/>
  <c r="S980" i="29"/>
  <c r="R980" i="29"/>
  <c r="Q981" i="29" a="1"/>
  <c r="Q981" i="29"/>
  <c r="T981" i="29"/>
  <c r="S981" i="29"/>
  <c r="R981" i="29"/>
  <c r="Q982" i="29" a="1"/>
  <c r="Q982" i="29"/>
  <c r="T982" i="29"/>
  <c r="S982" i="29"/>
  <c r="R982" i="29"/>
  <c r="Q983" i="29" a="1"/>
  <c r="Q983" i="29"/>
  <c r="T983" i="29"/>
  <c r="S983" i="29"/>
  <c r="R983" i="29"/>
  <c r="Q984" i="29" a="1"/>
  <c r="Q984" i="29"/>
  <c r="T984" i="29"/>
  <c r="S984" i="29"/>
  <c r="R984" i="29"/>
  <c r="Q985" i="29" a="1"/>
  <c r="Q985" i="29"/>
  <c r="T985" i="29"/>
  <c r="S985" i="29"/>
  <c r="R985" i="29"/>
  <c r="Q986" i="29" a="1"/>
  <c r="Q986" i="29"/>
  <c r="R986" i="29"/>
  <c r="T986" i="29"/>
  <c r="S986" i="29"/>
  <c r="Q987" i="29" a="1"/>
  <c r="Q987" i="29"/>
  <c r="T987" i="29"/>
  <c r="R987" i="29"/>
  <c r="S987" i="29"/>
  <c r="Q988" i="29" a="1"/>
  <c r="Q988" i="29"/>
  <c r="T988" i="29"/>
  <c r="S988" i="29"/>
  <c r="R988" i="29"/>
  <c r="Q989" i="29" a="1"/>
  <c r="Q989" i="29"/>
  <c r="T989" i="29"/>
  <c r="S989" i="29"/>
  <c r="R989" i="29"/>
  <c r="Q990" i="29" a="1"/>
  <c r="Q990" i="29"/>
  <c r="T990" i="29"/>
  <c r="S990" i="29"/>
  <c r="R990" i="29"/>
  <c r="Q991" i="29" a="1"/>
  <c r="Q991" i="29"/>
  <c r="T991" i="29"/>
  <c r="S991" i="29"/>
  <c r="R991" i="29"/>
  <c r="Q992" i="29" a="1"/>
  <c r="Q992" i="29"/>
  <c r="T992" i="29"/>
  <c r="S992" i="29"/>
  <c r="R992" i="29"/>
  <c r="Q993" i="29" a="1"/>
  <c r="Q993" i="29"/>
  <c r="S993" i="29"/>
  <c r="R993" i="29"/>
  <c r="T993" i="29"/>
  <c r="Q994" i="29" a="1"/>
  <c r="Q994" i="29"/>
  <c r="S994" i="29"/>
  <c r="R994" i="29"/>
  <c r="T994" i="29"/>
  <c r="Q995" i="29" a="1"/>
  <c r="Q995" i="29"/>
  <c r="T995" i="29"/>
  <c r="S995" i="29"/>
  <c r="R995" i="29"/>
  <c r="Q996" i="29" a="1"/>
  <c r="Q996" i="29"/>
  <c r="T996" i="29"/>
  <c r="S996" i="29"/>
  <c r="R996" i="29"/>
  <c r="Q997" i="29" a="1"/>
  <c r="Q997" i="29"/>
  <c r="T997" i="29"/>
  <c r="S997" i="29"/>
  <c r="R997" i="29"/>
  <c r="Q998" i="29" a="1"/>
  <c r="Q998" i="29"/>
  <c r="T998" i="29"/>
  <c r="S998" i="29"/>
  <c r="R998" i="29"/>
  <c r="Q999" i="29" a="1"/>
  <c r="Q999" i="29"/>
  <c r="T999" i="29"/>
  <c r="S999" i="29"/>
  <c r="R999" i="29"/>
  <c r="Q1000" i="29" a="1"/>
  <c r="Q1000" i="29"/>
  <c r="T1000" i="29"/>
  <c r="S1000" i="29"/>
  <c r="R1000" i="29"/>
  <c r="F21" i="1"/>
  <c r="F17" i="1"/>
  <c r="G17" i="1"/>
  <c r="H17" i="1"/>
  <c r="G18" i="1"/>
  <c r="H18" i="1"/>
  <c r="F13" i="1"/>
  <c r="F16" i="1"/>
  <c r="J28" i="17"/>
  <c r="I28" i="17"/>
  <c r="K28" i="17"/>
  <c r="J27" i="17"/>
  <c r="I27" i="17"/>
  <c r="K27" i="17"/>
  <c r="K26" i="17"/>
  <c r="J26" i="17"/>
  <c r="I26" i="17"/>
  <c r="J25" i="17"/>
  <c r="I25" i="17"/>
  <c r="K25" i="17"/>
  <c r="J24" i="17"/>
  <c r="I24" i="17"/>
  <c r="K24" i="17"/>
  <c r="J23" i="17"/>
  <c r="I23" i="17"/>
  <c r="K23" i="17"/>
  <c r="J22" i="17"/>
  <c r="I22" i="17"/>
  <c r="K22" i="17"/>
  <c r="C22" i="17"/>
  <c r="J21" i="17"/>
  <c r="I21" i="17"/>
  <c r="K21" i="17"/>
  <c r="J20" i="17"/>
  <c r="I20" i="17"/>
  <c r="J19" i="17"/>
  <c r="I19" i="17"/>
  <c r="K19" i="17"/>
  <c r="J18" i="17"/>
  <c r="I18" i="17"/>
  <c r="K18" i="17"/>
  <c r="J17" i="17"/>
  <c r="I17" i="17"/>
  <c r="K17" i="17"/>
  <c r="J16" i="17"/>
  <c r="I16" i="17"/>
  <c r="J15" i="17"/>
  <c r="I15" i="17"/>
  <c r="J14" i="17"/>
  <c r="I14" i="17"/>
  <c r="J13" i="17"/>
  <c r="I13" i="17"/>
  <c r="K13" i="17"/>
  <c r="J12" i="17"/>
  <c r="I12" i="17"/>
  <c r="J11" i="17"/>
  <c r="K11" i="17"/>
  <c r="I11" i="17"/>
  <c r="J10" i="17"/>
  <c r="I10" i="17"/>
  <c r="K10" i="17"/>
  <c r="J9" i="17"/>
  <c r="I9" i="17"/>
  <c r="J8" i="17"/>
  <c r="I8" i="17"/>
  <c r="K8" i="17"/>
  <c r="C8" i="17"/>
  <c r="J7" i="17"/>
  <c r="I7" i="17"/>
  <c r="K7" i="17"/>
  <c r="J6" i="17"/>
  <c r="I6" i="17"/>
  <c r="J5" i="17"/>
  <c r="I5" i="17"/>
  <c r="K5" i="17"/>
  <c r="J4" i="17"/>
  <c r="I4" i="17"/>
  <c r="K4" i="17"/>
  <c r="J3" i="17"/>
  <c r="I3" i="17"/>
  <c r="K3" i="17"/>
  <c r="J2" i="17"/>
  <c r="I2" i="17"/>
  <c r="B8" i="15"/>
  <c r="B7" i="15"/>
  <c r="G7" i="13"/>
  <c r="G6" i="13"/>
  <c r="G3" i="13"/>
  <c r="G4" i="13"/>
  <c r="G5" i="13"/>
  <c r="G8" i="13"/>
  <c r="L17" i="12"/>
  <c r="L16" i="12"/>
  <c r="K15" i="12"/>
  <c r="L15" i="12" s="1"/>
  <c r="L18" i="12" s="1"/>
  <c r="L20" i="12" s="1"/>
  <c r="A15" i="12"/>
  <c r="J14" i="12"/>
  <c r="K14" i="12"/>
  <c r="L14" i="12"/>
  <c r="K13" i="12"/>
  <c r="L13" i="12"/>
  <c r="J12" i="12"/>
  <c r="K12" i="12"/>
  <c r="L12" i="12"/>
  <c r="K11" i="12"/>
  <c r="L11" i="12"/>
  <c r="J11" i="12"/>
  <c r="K10" i="12"/>
  <c r="L10" i="12"/>
  <c r="K9" i="12"/>
  <c r="L9" i="12"/>
  <c r="Q20" i="11"/>
  <c r="Q21" i="11"/>
  <c r="O20" i="11"/>
  <c r="N4" i="11"/>
  <c r="N5" i="11"/>
  <c r="N20" i="11"/>
  <c r="M20" i="11"/>
  <c r="L20" i="11"/>
  <c r="C20" i="11"/>
  <c r="AC19" i="11"/>
  <c r="AD19" i="11"/>
  <c r="AB19" i="11"/>
  <c r="AD18" i="11"/>
  <c r="AB18" i="11"/>
  <c r="AA17" i="11"/>
  <c r="AB17" i="11"/>
  <c r="AD16" i="11"/>
  <c r="AC16" i="11"/>
  <c r="AB16" i="11"/>
  <c r="AA16" i="11"/>
  <c r="AD15" i="11"/>
  <c r="AC15" i="11"/>
  <c r="AB15" i="11"/>
  <c r="Z15" i="11"/>
  <c r="S15" i="11"/>
  <c r="R15" i="11"/>
  <c r="T15" i="11"/>
  <c r="Q15" i="11"/>
  <c r="O15" i="11"/>
  <c r="M15" i="11"/>
  <c r="L15" i="11"/>
  <c r="K15" i="11"/>
  <c r="J15" i="11"/>
  <c r="I15" i="11"/>
  <c r="H15" i="11"/>
  <c r="AC14" i="11"/>
  <c r="AD14" i="11"/>
  <c r="AB14" i="11"/>
  <c r="Z14" i="11"/>
  <c r="Q14" i="11"/>
  <c r="R14" i="11"/>
  <c r="O14" i="11"/>
  <c r="M14" i="11"/>
  <c r="L14" i="11"/>
  <c r="K14" i="11"/>
  <c r="J14" i="11"/>
  <c r="I14" i="11"/>
  <c r="H14" i="11"/>
  <c r="AD13" i="11"/>
  <c r="AC13" i="11"/>
  <c r="AB13" i="11"/>
  <c r="Z13" i="11"/>
  <c r="Y13" i="11"/>
  <c r="Y20" i="11"/>
  <c r="R13" i="11"/>
  <c r="Q13" i="11"/>
  <c r="O13" i="11"/>
  <c r="M13" i="11"/>
  <c r="L13" i="11"/>
  <c r="K13" i="11"/>
  <c r="I13" i="11"/>
  <c r="J12" i="11"/>
  <c r="J20" i="11"/>
  <c r="H13" i="11"/>
  <c r="AC12" i="11"/>
  <c r="AD12" i="11"/>
  <c r="AB12" i="11"/>
  <c r="AB20" i="11"/>
  <c r="Y12" i="11"/>
  <c r="S12" i="11"/>
  <c r="S20" i="11"/>
  <c r="R12" i="11"/>
  <c r="Q12" i="11"/>
  <c r="O12" i="11"/>
  <c r="M12" i="11"/>
  <c r="L12" i="11"/>
  <c r="K12" i="11"/>
  <c r="I12" i="11"/>
  <c r="J13" i="11"/>
  <c r="H12" i="11"/>
  <c r="H20" i="11"/>
  <c r="U8" i="11"/>
  <c r="E8" i="11"/>
  <c r="E7" i="11"/>
  <c r="N6" i="11"/>
  <c r="E2" i="11"/>
  <c r="M1000" i="10" a="1"/>
  <c r="M1000" i="10"/>
  <c r="P1000" i="10"/>
  <c r="D1000" i="10"/>
  <c r="M999" i="10" a="1"/>
  <c r="M999" i="10"/>
  <c r="P999" i="10"/>
  <c r="D999" i="10"/>
  <c r="M998" i="10"/>
  <c r="P998" i="10"/>
  <c r="M998" i="10" a="1"/>
  <c r="D998" i="10"/>
  <c r="M997" i="10"/>
  <c r="P997" i="10"/>
  <c r="M997" i="10" a="1"/>
  <c r="D997" i="10"/>
  <c r="M996" i="10"/>
  <c r="P996" i="10"/>
  <c r="M996" i="10" a="1"/>
  <c r="D996" i="10"/>
  <c r="M995" i="10" a="1"/>
  <c r="M995" i="10"/>
  <c r="P995" i="10"/>
  <c r="D995" i="10"/>
  <c r="M994" i="10" a="1"/>
  <c r="M994" i="10"/>
  <c r="P994" i="10"/>
  <c r="D994" i="10"/>
  <c r="M993" i="10" a="1"/>
  <c r="M993" i="10"/>
  <c r="P993" i="10"/>
  <c r="D993" i="10"/>
  <c r="P992" i="10"/>
  <c r="M992" i="10"/>
  <c r="M992" i="10" a="1"/>
  <c r="D992" i="10"/>
  <c r="M991" i="10" a="1"/>
  <c r="M991" i="10"/>
  <c r="P991" i="10"/>
  <c r="D991" i="10"/>
  <c r="M990" i="10" a="1"/>
  <c r="M990" i="10"/>
  <c r="P990" i="10"/>
  <c r="D990" i="10"/>
  <c r="M989" i="10" a="1"/>
  <c r="M989" i="10"/>
  <c r="P989" i="10"/>
  <c r="D989" i="10"/>
  <c r="M988" i="10" a="1"/>
  <c r="M988" i="10"/>
  <c r="P988" i="10"/>
  <c r="D988" i="10"/>
  <c r="M987" i="10" a="1"/>
  <c r="M987" i="10"/>
  <c r="P987" i="10"/>
  <c r="D987" i="10"/>
  <c r="M986" i="10" a="1"/>
  <c r="M986" i="10"/>
  <c r="P986" i="10"/>
  <c r="D986" i="10"/>
  <c r="P985" i="10"/>
  <c r="M985" i="10" a="1"/>
  <c r="M985" i="10"/>
  <c r="D985" i="10"/>
  <c r="P984" i="10"/>
  <c r="M984" i="10"/>
  <c r="M984" i="10" a="1"/>
  <c r="D984" i="10"/>
  <c r="M983" i="10" a="1"/>
  <c r="M983" i="10"/>
  <c r="P983" i="10"/>
  <c r="D983" i="10"/>
  <c r="M982" i="10"/>
  <c r="P982" i="10"/>
  <c r="M982" i="10" a="1"/>
  <c r="D982" i="10"/>
  <c r="M981" i="10" a="1"/>
  <c r="M981" i="10"/>
  <c r="P981" i="10"/>
  <c r="D981" i="10"/>
  <c r="P980" i="10"/>
  <c r="M980" i="10"/>
  <c r="M980" i="10" a="1"/>
  <c r="D980" i="10"/>
  <c r="P979" i="10"/>
  <c r="M979" i="10"/>
  <c r="M979" i="10" a="1"/>
  <c r="D979" i="10"/>
  <c r="M978" i="10"/>
  <c r="P978" i="10"/>
  <c r="M978" i="10" a="1"/>
  <c r="D978" i="10"/>
  <c r="M977" i="10" a="1"/>
  <c r="M977" i="10"/>
  <c r="P977" i="10"/>
  <c r="D977" i="10"/>
  <c r="P976" i="10"/>
  <c r="M976" i="10"/>
  <c r="M976" i="10" a="1"/>
  <c r="D976" i="10"/>
  <c r="M975" i="10" a="1"/>
  <c r="M975" i="10"/>
  <c r="P975" i="10"/>
  <c r="D975" i="10"/>
  <c r="M974" i="10"/>
  <c r="P974" i="10"/>
  <c r="M974" i="10" a="1"/>
  <c r="D974" i="10"/>
  <c r="P973" i="10"/>
  <c r="M973" i="10"/>
  <c r="M973" i="10" a="1"/>
  <c r="D973" i="10"/>
  <c r="M972" i="10"/>
  <c r="P972" i="10"/>
  <c r="M972" i="10" a="1"/>
  <c r="D972" i="10"/>
  <c r="M971" i="10" a="1"/>
  <c r="M971" i="10"/>
  <c r="P971" i="10"/>
  <c r="D971" i="10"/>
  <c r="P970" i="10"/>
  <c r="M970" i="10" a="1"/>
  <c r="M970" i="10"/>
  <c r="D970" i="10"/>
  <c r="P969" i="10"/>
  <c r="M969" i="10"/>
  <c r="M969" i="10" a="1"/>
  <c r="D969" i="10"/>
  <c r="M968" i="10"/>
  <c r="P968" i="10"/>
  <c r="M968" i="10" a="1"/>
  <c r="D968" i="10"/>
  <c r="M967" i="10" a="1"/>
  <c r="M967" i="10"/>
  <c r="P967" i="10"/>
  <c r="D967" i="10"/>
  <c r="M966" i="10"/>
  <c r="P966" i="10"/>
  <c r="M966" i="10" a="1"/>
  <c r="D966" i="10"/>
  <c r="M965" i="10" a="1"/>
  <c r="M965" i="10"/>
  <c r="P965" i="10"/>
  <c r="D965" i="10"/>
  <c r="P964" i="10"/>
  <c r="M964" i="10"/>
  <c r="M964" i="10" a="1"/>
  <c r="D964" i="10"/>
  <c r="P963" i="10"/>
  <c r="M963" i="10"/>
  <c r="M963" i="10" a="1"/>
  <c r="D963" i="10"/>
  <c r="M962" i="10"/>
  <c r="P962" i="10"/>
  <c r="M962" i="10" a="1"/>
  <c r="D962" i="10"/>
  <c r="M961" i="10" a="1"/>
  <c r="M961" i="10"/>
  <c r="P961" i="10"/>
  <c r="D961" i="10"/>
  <c r="P960" i="10"/>
  <c r="M960" i="10"/>
  <c r="M960" i="10" a="1"/>
  <c r="D960" i="10"/>
  <c r="M959" i="10" a="1"/>
  <c r="M959" i="10"/>
  <c r="P959" i="10"/>
  <c r="D959" i="10"/>
  <c r="M958" i="10"/>
  <c r="P958" i="10"/>
  <c r="M958" i="10" a="1"/>
  <c r="D958" i="10"/>
  <c r="P957" i="10"/>
  <c r="M957" i="10"/>
  <c r="M957" i="10" a="1"/>
  <c r="D957" i="10"/>
  <c r="M956" i="10" a="1"/>
  <c r="M956" i="10"/>
  <c r="P956" i="10"/>
  <c r="D956" i="10"/>
  <c r="M955" i="10" a="1"/>
  <c r="M955" i="10"/>
  <c r="P955" i="10"/>
  <c r="D955" i="10"/>
  <c r="P954" i="10"/>
  <c r="M954" i="10" a="1"/>
  <c r="M954" i="10"/>
  <c r="D954" i="10"/>
  <c r="P953" i="10"/>
  <c r="M953" i="10"/>
  <c r="M953" i="10" a="1"/>
  <c r="D953" i="10"/>
  <c r="M952" i="10"/>
  <c r="P952" i="10"/>
  <c r="M952" i="10" a="1"/>
  <c r="D952" i="10"/>
  <c r="M951" i="10" a="1"/>
  <c r="M951" i="10"/>
  <c r="P951" i="10"/>
  <c r="D951" i="10"/>
  <c r="M950" i="10"/>
  <c r="P950" i="10"/>
  <c r="M950" i="10" a="1"/>
  <c r="D950" i="10"/>
  <c r="M949" i="10" a="1"/>
  <c r="M949" i="10"/>
  <c r="P949" i="10"/>
  <c r="D949" i="10"/>
  <c r="P948" i="10"/>
  <c r="M948" i="10"/>
  <c r="M948" i="10" a="1"/>
  <c r="D948" i="10"/>
  <c r="P947" i="10"/>
  <c r="M947" i="10"/>
  <c r="M947" i="10" a="1"/>
  <c r="D947" i="10"/>
  <c r="M946" i="10"/>
  <c r="P946" i="10"/>
  <c r="M946" i="10" a="1"/>
  <c r="D946" i="10"/>
  <c r="M945" i="10" a="1"/>
  <c r="M945" i="10"/>
  <c r="P945" i="10"/>
  <c r="D945" i="10"/>
  <c r="P944" i="10"/>
  <c r="M944" i="10"/>
  <c r="M944" i="10" a="1"/>
  <c r="D944" i="10"/>
  <c r="M943" i="10" a="1"/>
  <c r="M943" i="10"/>
  <c r="P943" i="10"/>
  <c r="D943" i="10"/>
  <c r="M942" i="10"/>
  <c r="P942" i="10"/>
  <c r="M942" i="10" a="1"/>
  <c r="D942" i="10"/>
  <c r="P941" i="10"/>
  <c r="M941" i="10"/>
  <c r="M941" i="10" a="1"/>
  <c r="D941" i="10"/>
  <c r="M940" i="10"/>
  <c r="P940" i="10"/>
  <c r="M940" i="10" a="1"/>
  <c r="D940" i="10"/>
  <c r="M939" i="10" a="1"/>
  <c r="M939" i="10"/>
  <c r="P939" i="10"/>
  <c r="D939" i="10"/>
  <c r="M938" i="10" a="1"/>
  <c r="M938" i="10"/>
  <c r="P938" i="10"/>
  <c r="D938" i="10"/>
  <c r="P937" i="10"/>
  <c r="M937" i="10"/>
  <c r="M937" i="10" a="1"/>
  <c r="D937" i="10"/>
  <c r="M936" i="10"/>
  <c r="P936" i="10"/>
  <c r="M936" i="10" a="1"/>
  <c r="D936" i="10"/>
  <c r="M935" i="10" a="1"/>
  <c r="M935" i="10"/>
  <c r="P935" i="10"/>
  <c r="D935" i="10"/>
  <c r="M934" i="10"/>
  <c r="P934" i="10"/>
  <c r="M934" i="10" a="1"/>
  <c r="D934" i="10"/>
  <c r="M933" i="10" a="1"/>
  <c r="M933" i="10"/>
  <c r="P933" i="10"/>
  <c r="D933" i="10"/>
  <c r="P932" i="10"/>
  <c r="M932" i="10"/>
  <c r="M932" i="10" a="1"/>
  <c r="D932" i="10"/>
  <c r="M931" i="10"/>
  <c r="P931" i="10"/>
  <c r="M931" i="10" a="1"/>
  <c r="D931" i="10"/>
  <c r="M930" i="10"/>
  <c r="P930" i="10"/>
  <c r="M930" i="10" a="1"/>
  <c r="D930" i="10"/>
  <c r="M929" i="10" a="1"/>
  <c r="M929" i="10"/>
  <c r="P929" i="10"/>
  <c r="D929" i="10"/>
  <c r="P928" i="10"/>
  <c r="M928" i="10"/>
  <c r="M928" i="10" a="1"/>
  <c r="D928" i="10"/>
  <c r="P927" i="10"/>
  <c r="M927" i="10" a="1"/>
  <c r="M927" i="10"/>
  <c r="D927" i="10"/>
  <c r="M926" i="10"/>
  <c r="P926" i="10"/>
  <c r="M926" i="10" a="1"/>
  <c r="D926" i="10"/>
  <c r="P925" i="10"/>
  <c r="M925" i="10"/>
  <c r="M925" i="10" a="1"/>
  <c r="D925" i="10"/>
  <c r="M924" i="10" a="1"/>
  <c r="M924" i="10"/>
  <c r="P924" i="10"/>
  <c r="D924" i="10"/>
  <c r="M923" i="10" a="1"/>
  <c r="M923" i="10"/>
  <c r="P923" i="10"/>
  <c r="D923" i="10"/>
  <c r="M922" i="10" a="1"/>
  <c r="M922" i="10"/>
  <c r="P922" i="10"/>
  <c r="D922" i="10"/>
  <c r="P921" i="10"/>
  <c r="M921" i="10"/>
  <c r="M921" i="10" a="1"/>
  <c r="D921" i="10"/>
  <c r="P920" i="10"/>
  <c r="M920" i="10"/>
  <c r="M920" i="10" a="1"/>
  <c r="D920" i="10"/>
  <c r="M919" i="10" a="1"/>
  <c r="M919" i="10"/>
  <c r="P919" i="10"/>
  <c r="D919" i="10"/>
  <c r="M918" i="10" a="1"/>
  <c r="M918" i="10"/>
  <c r="P918" i="10"/>
  <c r="D918" i="10"/>
  <c r="M917" i="10" a="1"/>
  <c r="M917" i="10"/>
  <c r="P917" i="10"/>
  <c r="D917" i="10"/>
  <c r="P916" i="10"/>
  <c r="M916" i="10"/>
  <c r="M916" i="10" a="1"/>
  <c r="D916" i="10"/>
  <c r="M915" i="10"/>
  <c r="P915" i="10"/>
  <c r="M915" i="10" a="1"/>
  <c r="D915" i="10"/>
  <c r="M914" i="10"/>
  <c r="P914" i="10"/>
  <c r="M914" i="10" a="1"/>
  <c r="D914" i="10"/>
  <c r="M913" i="10" a="1"/>
  <c r="M913" i="10"/>
  <c r="P913" i="10"/>
  <c r="D913" i="10"/>
  <c r="P912" i="10"/>
  <c r="M912" i="10"/>
  <c r="M912" i="10" a="1"/>
  <c r="D912" i="10"/>
  <c r="M911" i="10" a="1"/>
  <c r="M911" i="10"/>
  <c r="P911" i="10"/>
  <c r="D911" i="10"/>
  <c r="M910" i="10"/>
  <c r="P910" i="10"/>
  <c r="M910" i="10" a="1"/>
  <c r="D910" i="10"/>
  <c r="M909" i="10"/>
  <c r="P909" i="10"/>
  <c r="M909" i="10" a="1"/>
  <c r="D909" i="10"/>
  <c r="M908" i="10" a="1"/>
  <c r="M908" i="10"/>
  <c r="P908" i="10"/>
  <c r="D908" i="10"/>
  <c r="M907" i="10" a="1"/>
  <c r="M907" i="10"/>
  <c r="P907" i="10"/>
  <c r="D907" i="10"/>
  <c r="M906" i="10" a="1"/>
  <c r="M906" i="10"/>
  <c r="P906" i="10"/>
  <c r="D906" i="10"/>
  <c r="P905" i="10"/>
  <c r="M905" i="10"/>
  <c r="M905" i="10" a="1"/>
  <c r="D905" i="10"/>
  <c r="M904" i="10"/>
  <c r="P904" i="10"/>
  <c r="M904" i="10" a="1"/>
  <c r="D904" i="10"/>
  <c r="P903" i="10"/>
  <c r="M903" i="10" a="1"/>
  <c r="M903" i="10"/>
  <c r="D903" i="10"/>
  <c r="M902" i="10"/>
  <c r="P902" i="10"/>
  <c r="M902" i="10" a="1"/>
  <c r="D902" i="10"/>
  <c r="M901" i="10" a="1"/>
  <c r="M901" i="10"/>
  <c r="P901" i="10"/>
  <c r="D901" i="10"/>
  <c r="M900" i="10"/>
  <c r="P900" i="10"/>
  <c r="M900" i="10" a="1"/>
  <c r="D900" i="10"/>
  <c r="M899" i="10" a="1"/>
  <c r="M899" i="10"/>
  <c r="P899" i="10"/>
  <c r="D899" i="10"/>
  <c r="M898" i="10"/>
  <c r="P898" i="10"/>
  <c r="M898" i="10" a="1"/>
  <c r="D898" i="10"/>
  <c r="P897" i="10"/>
  <c r="M897" i="10"/>
  <c r="M897" i="10" a="1"/>
  <c r="D897" i="10"/>
  <c r="M896" i="10"/>
  <c r="P896" i="10"/>
  <c r="M896" i="10" a="1"/>
  <c r="D896" i="10"/>
  <c r="P895" i="10"/>
  <c r="M895" i="10" a="1"/>
  <c r="M895" i="10"/>
  <c r="D895" i="10"/>
  <c r="M894" i="10"/>
  <c r="P894" i="10"/>
  <c r="M894" i="10" a="1"/>
  <c r="D894" i="10"/>
  <c r="M893" i="10" a="1"/>
  <c r="M893" i="10"/>
  <c r="P893" i="10"/>
  <c r="D893" i="10"/>
  <c r="M892" i="10"/>
  <c r="P892" i="10"/>
  <c r="M892" i="10" a="1"/>
  <c r="D892" i="10"/>
  <c r="P891" i="10"/>
  <c r="M891" i="10" a="1"/>
  <c r="M891" i="10"/>
  <c r="D891" i="10"/>
  <c r="M890" i="10" a="1"/>
  <c r="M890" i="10"/>
  <c r="P890" i="10"/>
  <c r="D890" i="10"/>
  <c r="M889" i="10"/>
  <c r="P889" i="10"/>
  <c r="M889" i="10" a="1"/>
  <c r="D889" i="10"/>
  <c r="M888" i="10" a="1"/>
  <c r="M888" i="10"/>
  <c r="P888" i="10"/>
  <c r="D888" i="10"/>
  <c r="M887" i="10" a="1"/>
  <c r="M887" i="10"/>
  <c r="P887" i="10"/>
  <c r="D887" i="10"/>
  <c r="M886" i="10" a="1"/>
  <c r="M886" i="10"/>
  <c r="P886" i="10"/>
  <c r="D886" i="10"/>
  <c r="M885" i="10" a="1"/>
  <c r="M885" i="10"/>
  <c r="P885" i="10"/>
  <c r="D885" i="10"/>
  <c r="M884" i="10"/>
  <c r="P884" i="10"/>
  <c r="M884" i="10" a="1"/>
  <c r="D884" i="10"/>
  <c r="P883" i="10"/>
  <c r="M883" i="10"/>
  <c r="M883" i="10" a="1"/>
  <c r="D883" i="10"/>
  <c r="M882" i="10" a="1"/>
  <c r="M882" i="10"/>
  <c r="P882" i="10"/>
  <c r="D882" i="10"/>
  <c r="M881" i="10"/>
  <c r="P881" i="10"/>
  <c r="M881" i="10" a="1"/>
  <c r="D881" i="10"/>
  <c r="M880" i="10"/>
  <c r="P880" i="10"/>
  <c r="M880" i="10" a="1"/>
  <c r="D880" i="10"/>
  <c r="M879" i="10" a="1"/>
  <c r="M879" i="10"/>
  <c r="P879" i="10"/>
  <c r="D879" i="10"/>
  <c r="M878" i="10" a="1"/>
  <c r="M878" i="10"/>
  <c r="P878" i="10"/>
  <c r="D878" i="10"/>
  <c r="P877" i="10"/>
  <c r="M877" i="10" a="1"/>
  <c r="M877" i="10"/>
  <c r="D877" i="10"/>
  <c r="M876" i="10"/>
  <c r="P876" i="10"/>
  <c r="M876" i="10" a="1"/>
  <c r="D876" i="10"/>
  <c r="M875" i="10" a="1"/>
  <c r="M875" i="10"/>
  <c r="P875" i="10"/>
  <c r="D875" i="10"/>
  <c r="M874" i="10"/>
  <c r="P874" i="10"/>
  <c r="M874" i="10" a="1"/>
  <c r="D874" i="10"/>
  <c r="M873" i="10" a="1"/>
  <c r="M873" i="10"/>
  <c r="P873" i="10"/>
  <c r="D873" i="10"/>
  <c r="P872" i="10"/>
  <c r="M872" i="10"/>
  <c r="M872" i="10" a="1"/>
  <c r="D872" i="10"/>
  <c r="M871" i="10" a="1"/>
  <c r="M871" i="10"/>
  <c r="P871" i="10"/>
  <c r="D871" i="10"/>
  <c r="P870" i="10"/>
  <c r="M870" i="10"/>
  <c r="M870" i="10" a="1"/>
  <c r="D870" i="10"/>
  <c r="M869" i="10" a="1"/>
  <c r="M869" i="10"/>
  <c r="P869" i="10"/>
  <c r="D869" i="10"/>
  <c r="P868" i="10"/>
  <c r="M868" i="10"/>
  <c r="M868" i="10" a="1"/>
  <c r="D868" i="10"/>
  <c r="M867" i="10" a="1"/>
  <c r="M867" i="10"/>
  <c r="P867" i="10"/>
  <c r="D867" i="10"/>
  <c r="M866" i="10"/>
  <c r="P866" i="10"/>
  <c r="M866" i="10" a="1"/>
  <c r="D866" i="10"/>
  <c r="M865" i="10" a="1"/>
  <c r="M865" i="10"/>
  <c r="P865" i="10"/>
  <c r="D865" i="10"/>
  <c r="P864" i="10"/>
  <c r="M864" i="10"/>
  <c r="M864" i="10" a="1"/>
  <c r="D864" i="10"/>
  <c r="M863" i="10"/>
  <c r="P863" i="10"/>
  <c r="M863" i="10" a="1"/>
  <c r="D863" i="10"/>
  <c r="M862" i="10"/>
  <c r="P862" i="10"/>
  <c r="M862" i="10" a="1"/>
  <c r="D862" i="10"/>
  <c r="M861" i="10"/>
  <c r="P861" i="10"/>
  <c r="M861" i="10" a="1"/>
  <c r="D861" i="10"/>
  <c r="M860" i="10" a="1"/>
  <c r="M860" i="10"/>
  <c r="P860" i="10"/>
  <c r="D860" i="10"/>
  <c r="P859" i="10"/>
  <c r="M859" i="10" a="1"/>
  <c r="M859" i="10"/>
  <c r="D859" i="10"/>
  <c r="M858" i="10" a="1"/>
  <c r="M858" i="10"/>
  <c r="P858" i="10"/>
  <c r="D858" i="10"/>
  <c r="M857" i="10"/>
  <c r="P857" i="10"/>
  <c r="M857" i="10" a="1"/>
  <c r="D857" i="10"/>
  <c r="M856" i="10"/>
  <c r="P856" i="10"/>
  <c r="M856" i="10" a="1"/>
  <c r="D856" i="10"/>
  <c r="P855" i="10"/>
  <c r="M855" i="10" a="1"/>
  <c r="M855" i="10"/>
  <c r="D855" i="10"/>
  <c r="M854" i="10"/>
  <c r="P854" i="10"/>
  <c r="M854" i="10" a="1"/>
  <c r="D854" i="10"/>
  <c r="M853" i="10"/>
  <c r="P853" i="10"/>
  <c r="M853" i="10" a="1"/>
  <c r="D853" i="10"/>
  <c r="M852" i="10"/>
  <c r="P852" i="10"/>
  <c r="M852" i="10" a="1"/>
  <c r="D852" i="10"/>
  <c r="M851" i="10"/>
  <c r="P851" i="10"/>
  <c r="M851" i="10" a="1"/>
  <c r="D851" i="10"/>
  <c r="M850" i="10" a="1"/>
  <c r="M850" i="10"/>
  <c r="P850" i="10"/>
  <c r="D850" i="10"/>
  <c r="M849" i="10" a="1"/>
  <c r="M849" i="10"/>
  <c r="P849" i="10"/>
  <c r="D849" i="10"/>
  <c r="M848" i="10" a="1"/>
  <c r="M848" i="10"/>
  <c r="P848" i="10"/>
  <c r="D848" i="10"/>
  <c r="M847" i="10" a="1"/>
  <c r="M847" i="10"/>
  <c r="P847" i="10"/>
  <c r="D847" i="10"/>
  <c r="M846" i="10"/>
  <c r="P846" i="10"/>
  <c r="M846" i="10" a="1"/>
  <c r="D846" i="10"/>
  <c r="M845" i="10" a="1"/>
  <c r="M845" i="10"/>
  <c r="P845" i="10"/>
  <c r="D845" i="10"/>
  <c r="P844" i="10"/>
  <c r="M844" i="10"/>
  <c r="M844" i="10" a="1"/>
  <c r="D844" i="10"/>
  <c r="P843" i="10"/>
  <c r="M843" i="10" a="1"/>
  <c r="M843" i="10"/>
  <c r="D843" i="10"/>
  <c r="M842" i="10" a="1"/>
  <c r="M842" i="10"/>
  <c r="P842" i="10"/>
  <c r="D842" i="10"/>
  <c r="P841" i="10"/>
  <c r="M841" i="10"/>
  <c r="M841" i="10" a="1"/>
  <c r="D841" i="10"/>
  <c r="M840" i="10"/>
  <c r="P840" i="10"/>
  <c r="M840" i="10" a="1"/>
  <c r="D840" i="10"/>
  <c r="M839" i="10" a="1"/>
  <c r="M839" i="10"/>
  <c r="P839" i="10"/>
  <c r="D839" i="10"/>
  <c r="M838" i="10" a="1"/>
  <c r="M838" i="10"/>
  <c r="P838" i="10"/>
  <c r="D838" i="10"/>
  <c r="M837" i="10"/>
  <c r="P837" i="10"/>
  <c r="M837" i="10" a="1"/>
  <c r="D837" i="10"/>
  <c r="M836" i="10"/>
  <c r="P836" i="10"/>
  <c r="M836" i="10" a="1"/>
  <c r="D836" i="10"/>
  <c r="M835" i="10" a="1"/>
  <c r="M835" i="10"/>
  <c r="P835" i="10"/>
  <c r="D835" i="10"/>
  <c r="M834" i="10"/>
  <c r="P834" i="10"/>
  <c r="M834" i="10" a="1"/>
  <c r="D834" i="10"/>
  <c r="M833" i="10" a="1"/>
  <c r="M833" i="10"/>
  <c r="P833" i="10"/>
  <c r="D833" i="10"/>
  <c r="M832" i="10" a="1"/>
  <c r="M832" i="10"/>
  <c r="P832" i="10"/>
  <c r="D832" i="10"/>
  <c r="M831" i="10"/>
  <c r="P831" i="10"/>
  <c r="M831" i="10" a="1"/>
  <c r="D831" i="10"/>
  <c r="M830" i="10"/>
  <c r="P830" i="10"/>
  <c r="M830" i="10" a="1"/>
  <c r="D830" i="10"/>
  <c r="P829" i="10"/>
  <c r="M829" i="10"/>
  <c r="M829" i="10" a="1"/>
  <c r="D829" i="10"/>
  <c r="P828" i="10"/>
  <c r="M828" i="10"/>
  <c r="M828" i="10" a="1"/>
  <c r="D828" i="10"/>
  <c r="M827" i="10" a="1"/>
  <c r="M827" i="10"/>
  <c r="P827" i="10"/>
  <c r="D827" i="10"/>
  <c r="M826" i="10" a="1"/>
  <c r="M826" i="10"/>
  <c r="P826" i="10"/>
  <c r="D826" i="10"/>
  <c r="M825" i="10"/>
  <c r="P825" i="10"/>
  <c r="M825" i="10" a="1"/>
  <c r="D825" i="10"/>
  <c r="M824" i="10"/>
  <c r="P824" i="10"/>
  <c r="M824" i="10" a="1"/>
  <c r="D824" i="10"/>
  <c r="M823" i="10" a="1"/>
  <c r="M823" i="10"/>
  <c r="P823" i="10"/>
  <c r="D823" i="10"/>
  <c r="M822" i="10" a="1"/>
  <c r="M822" i="10"/>
  <c r="P822" i="10"/>
  <c r="D822" i="10"/>
  <c r="M821" i="10"/>
  <c r="P821" i="10"/>
  <c r="M821" i="10" a="1"/>
  <c r="D821" i="10"/>
  <c r="M820" i="10"/>
  <c r="P820" i="10"/>
  <c r="M820" i="10" a="1"/>
  <c r="D820" i="10"/>
  <c r="M819" i="10" a="1"/>
  <c r="M819" i="10"/>
  <c r="P819" i="10"/>
  <c r="D819" i="10"/>
  <c r="M818" i="10"/>
  <c r="P818" i="10"/>
  <c r="M818" i="10" a="1"/>
  <c r="D818" i="10"/>
  <c r="M817" i="10"/>
  <c r="P817" i="10"/>
  <c r="M817" i="10" a="1"/>
  <c r="D817" i="10"/>
  <c r="P816" i="10"/>
  <c r="M816" i="10"/>
  <c r="M816" i="10" a="1"/>
  <c r="D816" i="10"/>
  <c r="M815" i="10" a="1"/>
  <c r="M815" i="10"/>
  <c r="P815" i="10"/>
  <c r="D815" i="10"/>
  <c r="P814" i="10"/>
  <c r="M814" i="10"/>
  <c r="M814" i="10" a="1"/>
  <c r="D814" i="10"/>
  <c r="M813" i="10"/>
  <c r="P813" i="10"/>
  <c r="M813" i="10" a="1"/>
  <c r="D813" i="10"/>
  <c r="M812" i="10"/>
  <c r="P812" i="10"/>
  <c r="M812" i="10" a="1"/>
  <c r="D812" i="10"/>
  <c r="M811" i="10"/>
  <c r="P811" i="10"/>
  <c r="M811" i="10" a="1"/>
  <c r="D811" i="10"/>
  <c r="M810" i="10"/>
  <c r="P810" i="10"/>
  <c r="M810" i="10" a="1"/>
  <c r="D810" i="10"/>
  <c r="M809" i="10" a="1"/>
  <c r="M809" i="10"/>
  <c r="P809" i="10"/>
  <c r="D809" i="10"/>
  <c r="M808" i="10" a="1"/>
  <c r="M808" i="10"/>
  <c r="P808" i="10"/>
  <c r="D808" i="10"/>
  <c r="M807" i="10"/>
  <c r="P807" i="10"/>
  <c r="M807" i="10" a="1"/>
  <c r="D807" i="10"/>
  <c r="M806" i="10" a="1"/>
  <c r="M806" i="10"/>
  <c r="P806" i="10"/>
  <c r="D806" i="10"/>
  <c r="M805" i="10" a="1"/>
  <c r="M805" i="10"/>
  <c r="P805" i="10"/>
  <c r="D805" i="10"/>
  <c r="M804" i="10" a="1"/>
  <c r="M804" i="10"/>
  <c r="P804" i="10"/>
  <c r="D804" i="10"/>
  <c r="M803" i="10" a="1"/>
  <c r="M803" i="10"/>
  <c r="P803" i="10"/>
  <c r="D803" i="10"/>
  <c r="P802" i="10"/>
  <c r="M802" i="10" a="1"/>
  <c r="M802" i="10"/>
  <c r="D802" i="10"/>
  <c r="M801" i="10" a="1"/>
  <c r="M801" i="10"/>
  <c r="P801" i="10"/>
  <c r="D801" i="10"/>
  <c r="M800" i="10"/>
  <c r="P800" i="10"/>
  <c r="M800" i="10" a="1"/>
  <c r="D800" i="10"/>
  <c r="M799" i="10" a="1"/>
  <c r="M799" i="10"/>
  <c r="P799" i="10"/>
  <c r="D799" i="10"/>
  <c r="P798" i="10"/>
  <c r="M798" i="10"/>
  <c r="M798" i="10" a="1"/>
  <c r="D798" i="10"/>
  <c r="M797" i="10"/>
  <c r="P797" i="10"/>
  <c r="M797" i="10" a="1"/>
  <c r="D797" i="10"/>
  <c r="M796" i="10"/>
  <c r="P796" i="10"/>
  <c r="M796" i="10" a="1"/>
  <c r="D796" i="10"/>
  <c r="M795" i="10"/>
  <c r="P795" i="10"/>
  <c r="M795" i="10" a="1"/>
  <c r="D795" i="10"/>
  <c r="M794" i="10"/>
  <c r="P794" i="10"/>
  <c r="M794" i="10" a="1"/>
  <c r="D794" i="10"/>
  <c r="M793" i="10" a="1"/>
  <c r="M793" i="10"/>
  <c r="P793" i="10"/>
  <c r="D793" i="10"/>
  <c r="M792" i="10" a="1"/>
  <c r="M792" i="10"/>
  <c r="P792" i="10"/>
  <c r="D792" i="10"/>
  <c r="M791" i="10"/>
  <c r="P791" i="10"/>
  <c r="M791" i="10" a="1"/>
  <c r="D791" i="10"/>
  <c r="M790" i="10" a="1"/>
  <c r="M790" i="10"/>
  <c r="P790" i="10"/>
  <c r="D790" i="10"/>
  <c r="M789" i="10" a="1"/>
  <c r="M789" i="10"/>
  <c r="P789" i="10"/>
  <c r="D789" i="10"/>
  <c r="M788" i="10" a="1"/>
  <c r="M788" i="10"/>
  <c r="P788" i="10"/>
  <c r="D788" i="10"/>
  <c r="M787" i="10" a="1"/>
  <c r="M787" i="10"/>
  <c r="P787" i="10"/>
  <c r="D787" i="10"/>
  <c r="P786" i="10"/>
  <c r="M786" i="10" a="1"/>
  <c r="M786" i="10"/>
  <c r="D786" i="10"/>
  <c r="M785" i="10" a="1"/>
  <c r="M785" i="10"/>
  <c r="P785" i="10"/>
  <c r="D785" i="10"/>
  <c r="M784" i="10"/>
  <c r="P784" i="10"/>
  <c r="M784" i="10" a="1"/>
  <c r="D784" i="10"/>
  <c r="M783" i="10" a="1"/>
  <c r="M783" i="10"/>
  <c r="P783" i="10"/>
  <c r="D783" i="10"/>
  <c r="M782" i="10"/>
  <c r="P782" i="10"/>
  <c r="M782" i="10" a="1"/>
  <c r="D782" i="10"/>
  <c r="M781" i="10"/>
  <c r="P781" i="10"/>
  <c r="M781" i="10" a="1"/>
  <c r="D781" i="10"/>
  <c r="M780" i="10"/>
  <c r="P780" i="10"/>
  <c r="M780" i="10" a="1"/>
  <c r="D780" i="10"/>
  <c r="M779" i="10"/>
  <c r="P779" i="10"/>
  <c r="M779" i="10" a="1"/>
  <c r="D779" i="10"/>
  <c r="M778" i="10"/>
  <c r="P778" i="10"/>
  <c r="M778" i="10" a="1"/>
  <c r="D778" i="10"/>
  <c r="M777" i="10" a="1"/>
  <c r="M777" i="10"/>
  <c r="P777" i="10"/>
  <c r="D777" i="10"/>
  <c r="M776" i="10" a="1"/>
  <c r="M776" i="10"/>
  <c r="P776" i="10"/>
  <c r="D776" i="10"/>
  <c r="M775" i="10" a="1"/>
  <c r="M775" i="10"/>
  <c r="P775" i="10"/>
  <c r="D775" i="10"/>
  <c r="M774" i="10" a="1"/>
  <c r="M774" i="10"/>
  <c r="P774" i="10"/>
  <c r="D774" i="10"/>
  <c r="P773" i="10"/>
  <c r="M773" i="10" a="1"/>
  <c r="M773" i="10"/>
  <c r="D773" i="10"/>
  <c r="M772" i="10" a="1"/>
  <c r="M772" i="10"/>
  <c r="P772" i="10"/>
  <c r="D772" i="10"/>
  <c r="M771" i="10" a="1"/>
  <c r="M771" i="10"/>
  <c r="P771" i="10"/>
  <c r="D771" i="10"/>
  <c r="M770" i="10" a="1"/>
  <c r="M770" i="10"/>
  <c r="P770" i="10"/>
  <c r="D770" i="10"/>
  <c r="M769" i="10" a="1"/>
  <c r="M769" i="10"/>
  <c r="P769" i="10"/>
  <c r="D769" i="10"/>
  <c r="M768" i="10"/>
  <c r="P768" i="10"/>
  <c r="M768" i="10" a="1"/>
  <c r="D768" i="10"/>
  <c r="M767" i="10" a="1"/>
  <c r="M767" i="10"/>
  <c r="P767" i="10"/>
  <c r="D767" i="10"/>
  <c r="M766" i="10"/>
  <c r="P766" i="10"/>
  <c r="M766" i="10" a="1"/>
  <c r="D766" i="10"/>
  <c r="P765" i="10"/>
  <c r="M765" i="10"/>
  <c r="M765" i="10" a="1"/>
  <c r="D765" i="10"/>
  <c r="M764" i="10"/>
  <c r="P764" i="10"/>
  <c r="M764" i="10" a="1"/>
  <c r="D764" i="10"/>
  <c r="M763" i="10"/>
  <c r="P763" i="10"/>
  <c r="M763" i="10" a="1"/>
  <c r="D763" i="10"/>
  <c r="M762" i="10"/>
  <c r="P762" i="10"/>
  <c r="M762" i="10" a="1"/>
  <c r="D762" i="10"/>
  <c r="M761" i="10" a="1"/>
  <c r="M761" i="10"/>
  <c r="P761" i="10"/>
  <c r="D761" i="10"/>
  <c r="M760" i="10" a="1"/>
  <c r="M760" i="10"/>
  <c r="P760" i="10"/>
  <c r="D760" i="10"/>
  <c r="M759" i="10"/>
  <c r="P759" i="10"/>
  <c r="M759" i="10" a="1"/>
  <c r="D759" i="10"/>
  <c r="M758" i="10" a="1"/>
  <c r="M758" i="10"/>
  <c r="P758" i="10"/>
  <c r="D758" i="10"/>
  <c r="P757" i="10"/>
  <c r="M757" i="10" a="1"/>
  <c r="M757" i="10"/>
  <c r="D757" i="10"/>
  <c r="P756" i="10"/>
  <c r="M756" i="10"/>
  <c r="M756" i="10" a="1"/>
  <c r="D756" i="10"/>
  <c r="M755" i="10"/>
  <c r="P755" i="10"/>
  <c r="M755" i="10" a="1"/>
  <c r="D755" i="10"/>
  <c r="P754" i="10"/>
  <c r="M754" i="10" a="1"/>
  <c r="M754" i="10"/>
  <c r="D754" i="10"/>
  <c r="P753" i="10"/>
  <c r="M753" i="10" a="1"/>
  <c r="M753" i="10"/>
  <c r="D753" i="10"/>
  <c r="P752" i="10"/>
  <c r="M752" i="10"/>
  <c r="M752" i="10" a="1"/>
  <c r="D752" i="10"/>
  <c r="P751" i="10"/>
  <c r="M751" i="10"/>
  <c r="M751" i="10" a="1"/>
  <c r="D751" i="10"/>
  <c r="P750" i="10"/>
  <c r="M750" i="10"/>
  <c r="M750" i="10" a="1"/>
  <c r="D750" i="10"/>
  <c r="M749" i="10"/>
  <c r="P749" i="10"/>
  <c r="M749" i="10" a="1"/>
  <c r="D749" i="10"/>
  <c r="P748" i="10"/>
  <c r="M748" i="10"/>
  <c r="M748" i="10" a="1"/>
  <c r="D748" i="10"/>
  <c r="P747" i="10"/>
  <c r="M747" i="10"/>
  <c r="M747" i="10" a="1"/>
  <c r="D747" i="10"/>
  <c r="P746" i="10"/>
  <c r="M746" i="10"/>
  <c r="M746" i="10" a="1"/>
  <c r="D746" i="10"/>
  <c r="M745" i="10" a="1"/>
  <c r="M745" i="10"/>
  <c r="P745" i="10"/>
  <c r="D745" i="10"/>
  <c r="M744" i="10" a="1"/>
  <c r="M744" i="10"/>
  <c r="P744" i="10"/>
  <c r="D744" i="10"/>
  <c r="M743" i="10" a="1"/>
  <c r="M743" i="10"/>
  <c r="P743" i="10"/>
  <c r="D743" i="10"/>
  <c r="M742" i="10" a="1"/>
  <c r="M742" i="10"/>
  <c r="P742" i="10"/>
  <c r="D742" i="10"/>
  <c r="P741" i="10"/>
  <c r="M741" i="10" a="1"/>
  <c r="M741" i="10"/>
  <c r="D741" i="10"/>
  <c r="M740" i="10" a="1"/>
  <c r="M740" i="10"/>
  <c r="P740" i="10"/>
  <c r="D740" i="10"/>
  <c r="M739" i="10"/>
  <c r="P739" i="10"/>
  <c r="M739" i="10" a="1"/>
  <c r="D739" i="10"/>
  <c r="P738" i="10"/>
  <c r="M738" i="10" a="1"/>
  <c r="M738" i="10"/>
  <c r="D738" i="10"/>
  <c r="P737" i="10"/>
  <c r="M737" i="10" a="1"/>
  <c r="M737" i="10"/>
  <c r="D737" i="10"/>
  <c r="M736" i="10"/>
  <c r="P736" i="10"/>
  <c r="M736" i="10" a="1"/>
  <c r="D736" i="10"/>
  <c r="M735" i="10"/>
  <c r="P735" i="10"/>
  <c r="M735" i="10" a="1"/>
  <c r="D735" i="10"/>
  <c r="M734" i="10"/>
  <c r="P734" i="10"/>
  <c r="M734" i="10" a="1"/>
  <c r="D734" i="10"/>
  <c r="M733" i="10" a="1"/>
  <c r="M733" i="10"/>
  <c r="P733" i="10"/>
  <c r="D733" i="10"/>
  <c r="M732" i="10" a="1"/>
  <c r="M732" i="10"/>
  <c r="P732" i="10"/>
  <c r="D732" i="10"/>
  <c r="M731" i="10"/>
  <c r="P731" i="10"/>
  <c r="M731" i="10" a="1"/>
  <c r="D731" i="10"/>
  <c r="P730" i="10"/>
  <c r="M730" i="10"/>
  <c r="M730" i="10" a="1"/>
  <c r="D730" i="10"/>
  <c r="M729" i="10" a="1"/>
  <c r="M729" i="10"/>
  <c r="P729" i="10"/>
  <c r="D729" i="10"/>
  <c r="M728" i="10" a="1"/>
  <c r="M728" i="10"/>
  <c r="P728" i="10"/>
  <c r="D728" i="10"/>
  <c r="M727" i="10" a="1"/>
  <c r="M727" i="10"/>
  <c r="P727" i="10"/>
  <c r="D727" i="10"/>
  <c r="M726" i="10"/>
  <c r="P726" i="10"/>
  <c r="M726" i="10" a="1"/>
  <c r="D726" i="10"/>
  <c r="M725" i="10"/>
  <c r="P725" i="10"/>
  <c r="M725" i="10" a="1"/>
  <c r="D725" i="10"/>
  <c r="P724" i="10"/>
  <c r="M724" i="10"/>
  <c r="M724" i="10" a="1"/>
  <c r="D724" i="10"/>
  <c r="P723" i="10"/>
  <c r="M723" i="10"/>
  <c r="M723" i="10" a="1"/>
  <c r="D723" i="10"/>
  <c r="M722" i="10"/>
  <c r="P722" i="10"/>
  <c r="M722" i="10" a="1"/>
  <c r="D722" i="10"/>
  <c r="M721" i="10" a="1"/>
  <c r="M721" i="10"/>
  <c r="P721" i="10"/>
  <c r="D721" i="10"/>
  <c r="M720" i="10"/>
  <c r="P720" i="10"/>
  <c r="M720" i="10" a="1"/>
  <c r="D720" i="10"/>
  <c r="M719" i="10" a="1"/>
  <c r="M719" i="10"/>
  <c r="P719" i="10"/>
  <c r="D719" i="10"/>
  <c r="M718" i="10" a="1"/>
  <c r="M718" i="10"/>
  <c r="P718" i="10"/>
  <c r="D718" i="10"/>
  <c r="M717" i="10" a="1"/>
  <c r="M717" i="10"/>
  <c r="P717" i="10"/>
  <c r="D717" i="10"/>
  <c r="P716" i="10"/>
  <c r="M716" i="10"/>
  <c r="M716" i="10" a="1"/>
  <c r="D716" i="10"/>
  <c r="M715" i="10" a="1"/>
  <c r="M715" i="10"/>
  <c r="P715" i="10"/>
  <c r="D715" i="10"/>
  <c r="P714" i="10"/>
  <c r="M714" i="10"/>
  <c r="M714" i="10" a="1"/>
  <c r="D714" i="10"/>
  <c r="M713" i="10" a="1"/>
  <c r="M713" i="10"/>
  <c r="P713" i="10"/>
  <c r="D713" i="10"/>
  <c r="M712" i="10" a="1"/>
  <c r="M712" i="10"/>
  <c r="P712" i="10"/>
  <c r="D712" i="10"/>
  <c r="M711" i="10" a="1"/>
  <c r="M711" i="10"/>
  <c r="P711" i="10"/>
  <c r="D711" i="10"/>
  <c r="M710" i="10"/>
  <c r="P710" i="10"/>
  <c r="M710" i="10" a="1"/>
  <c r="D710" i="10"/>
  <c r="M709" i="10" a="1"/>
  <c r="M709" i="10"/>
  <c r="P709" i="10"/>
  <c r="D709" i="10"/>
  <c r="P708" i="10"/>
  <c r="M708" i="10"/>
  <c r="M708" i="10" a="1"/>
  <c r="D708" i="10"/>
  <c r="P707" i="10"/>
  <c r="M707" i="10"/>
  <c r="M707" i="10" a="1"/>
  <c r="D707" i="10"/>
  <c r="M706" i="10" a="1"/>
  <c r="M706" i="10"/>
  <c r="P706" i="10"/>
  <c r="D706" i="10"/>
  <c r="M705" i="10" a="1"/>
  <c r="M705" i="10"/>
  <c r="P705" i="10"/>
  <c r="D705" i="10"/>
  <c r="M704" i="10"/>
  <c r="P704" i="10"/>
  <c r="M704" i="10" a="1"/>
  <c r="D704" i="10"/>
  <c r="P703" i="10"/>
  <c r="M703" i="10"/>
  <c r="M703" i="10" a="1"/>
  <c r="D703" i="10"/>
  <c r="M702" i="10" a="1"/>
  <c r="M702" i="10"/>
  <c r="P702" i="10"/>
  <c r="D702" i="10"/>
  <c r="M701" i="10"/>
  <c r="P701" i="10"/>
  <c r="M701" i="10" a="1"/>
  <c r="D701" i="10"/>
  <c r="P700" i="10"/>
  <c r="M700" i="10"/>
  <c r="M700" i="10" a="1"/>
  <c r="D700" i="10"/>
  <c r="M699" i="10" a="1"/>
  <c r="M699" i="10"/>
  <c r="P699" i="10"/>
  <c r="D699" i="10"/>
  <c r="P698" i="10"/>
  <c r="M698" i="10"/>
  <c r="M698" i="10" a="1"/>
  <c r="D698" i="10"/>
  <c r="M697" i="10"/>
  <c r="P697" i="10"/>
  <c r="M697" i="10" a="1"/>
  <c r="D697" i="10"/>
  <c r="M696" i="10"/>
  <c r="P696" i="10"/>
  <c r="M696" i="10" a="1"/>
  <c r="D696" i="10"/>
  <c r="P695" i="10"/>
  <c r="M695" i="10" a="1"/>
  <c r="M695" i="10"/>
  <c r="D695" i="10"/>
  <c r="M694" i="10" a="1"/>
  <c r="M694" i="10"/>
  <c r="P694" i="10"/>
  <c r="D694" i="10"/>
  <c r="P693" i="10"/>
  <c r="M693" i="10"/>
  <c r="M693" i="10" a="1"/>
  <c r="D693" i="10"/>
  <c r="P692" i="10"/>
  <c r="M692" i="10"/>
  <c r="M692" i="10" a="1"/>
  <c r="D692" i="10"/>
  <c r="P691" i="10"/>
  <c r="M691" i="10"/>
  <c r="M691" i="10" a="1"/>
  <c r="D691" i="10"/>
  <c r="M690" i="10" a="1"/>
  <c r="M690" i="10"/>
  <c r="P690" i="10"/>
  <c r="D690" i="10"/>
  <c r="M689" i="10" a="1"/>
  <c r="M689" i="10"/>
  <c r="P689" i="10"/>
  <c r="D689" i="10"/>
  <c r="P688" i="10"/>
  <c r="M688" i="10"/>
  <c r="M688" i="10" a="1"/>
  <c r="D688" i="10"/>
  <c r="M687" i="10"/>
  <c r="P687" i="10"/>
  <c r="M687" i="10" a="1"/>
  <c r="D687" i="10"/>
  <c r="M686" i="10"/>
  <c r="P686" i="10"/>
  <c r="M686" i="10" a="1"/>
  <c r="D686" i="10"/>
  <c r="M685" i="10"/>
  <c r="P685" i="10"/>
  <c r="M685" i="10" a="1"/>
  <c r="D685" i="10"/>
  <c r="M684" i="10"/>
  <c r="P684" i="10"/>
  <c r="M684" i="10" a="1"/>
  <c r="D684" i="10"/>
  <c r="M683" i="10" a="1"/>
  <c r="M683" i="10"/>
  <c r="P683" i="10"/>
  <c r="D683" i="10"/>
  <c r="P682" i="10"/>
  <c r="M682" i="10"/>
  <c r="M682" i="10" a="1"/>
  <c r="D682" i="10"/>
  <c r="M681" i="10"/>
  <c r="P681" i="10"/>
  <c r="M681" i="10" a="1"/>
  <c r="D681" i="10"/>
  <c r="M680" i="10" a="1"/>
  <c r="M680" i="10"/>
  <c r="P680" i="10"/>
  <c r="D680" i="10"/>
  <c r="M679" i="10" a="1"/>
  <c r="M679" i="10"/>
  <c r="P679" i="10"/>
  <c r="D679" i="10"/>
  <c r="M678" i="10" a="1"/>
  <c r="M678" i="10"/>
  <c r="P678" i="10"/>
  <c r="D678" i="10"/>
  <c r="P677" i="10"/>
  <c r="M677" i="10"/>
  <c r="M677" i="10" a="1"/>
  <c r="D677" i="10"/>
  <c r="P676" i="10"/>
  <c r="M676" i="10"/>
  <c r="M676" i="10" a="1"/>
  <c r="D676" i="10"/>
  <c r="P675" i="10"/>
  <c r="M675" i="10"/>
  <c r="M675" i="10" a="1"/>
  <c r="D675" i="10"/>
  <c r="M674" i="10" a="1"/>
  <c r="M674" i="10"/>
  <c r="P674" i="10"/>
  <c r="D674" i="10"/>
  <c r="M673" i="10" a="1"/>
  <c r="M673" i="10"/>
  <c r="P673" i="10"/>
  <c r="D673" i="10"/>
  <c r="M672" i="10"/>
  <c r="P672" i="10"/>
  <c r="M672" i="10" a="1"/>
  <c r="D672" i="10"/>
  <c r="M671" i="10" a="1"/>
  <c r="M671" i="10"/>
  <c r="P671" i="10"/>
  <c r="D671" i="10"/>
  <c r="M670" i="10"/>
  <c r="P670" i="10"/>
  <c r="M670" i="10" a="1"/>
  <c r="D670" i="10"/>
  <c r="M669" i="10" a="1"/>
  <c r="M669" i="10"/>
  <c r="P669" i="10"/>
  <c r="D669" i="10"/>
  <c r="M668" i="10"/>
  <c r="P668" i="10"/>
  <c r="M668" i="10" a="1"/>
  <c r="D668" i="10"/>
  <c r="P667" i="10"/>
  <c r="M667" i="10" a="1"/>
  <c r="M667" i="10"/>
  <c r="D667" i="10"/>
  <c r="P666" i="10"/>
  <c r="M666" i="10"/>
  <c r="M666" i="10" a="1"/>
  <c r="D666" i="10"/>
  <c r="P665" i="10"/>
  <c r="M665" i="10"/>
  <c r="M665" i="10" a="1"/>
  <c r="D665" i="10"/>
  <c r="M664" i="10"/>
  <c r="P664" i="10"/>
  <c r="M664" i="10" a="1"/>
  <c r="D664" i="10"/>
  <c r="M663" i="10" a="1"/>
  <c r="M663" i="10"/>
  <c r="P663" i="10"/>
  <c r="D663" i="10"/>
  <c r="M662" i="10" a="1"/>
  <c r="M662" i="10"/>
  <c r="P662" i="10"/>
  <c r="D662" i="10"/>
  <c r="M661" i="10"/>
  <c r="P661" i="10"/>
  <c r="M661" i="10" a="1"/>
  <c r="D661" i="10"/>
  <c r="P660" i="10"/>
  <c r="M660" i="10"/>
  <c r="M660" i="10" a="1"/>
  <c r="D660" i="10"/>
  <c r="M659" i="10"/>
  <c r="P659" i="10"/>
  <c r="M659" i="10" a="1"/>
  <c r="D659" i="10"/>
  <c r="M658" i="10"/>
  <c r="P658" i="10"/>
  <c r="M658" i="10" a="1"/>
  <c r="D658" i="10"/>
  <c r="M657" i="10" a="1"/>
  <c r="M657" i="10"/>
  <c r="P657" i="10"/>
  <c r="D657" i="10"/>
  <c r="M656" i="10"/>
  <c r="P656" i="10"/>
  <c r="M656" i="10" a="1"/>
  <c r="D656" i="10"/>
  <c r="M655" i="10" a="1"/>
  <c r="M655" i="10"/>
  <c r="P655" i="10"/>
  <c r="D655" i="10"/>
  <c r="M654" i="10" a="1"/>
  <c r="M654" i="10"/>
  <c r="P654" i="10"/>
  <c r="D654" i="10"/>
  <c r="M653" i="10"/>
  <c r="P653" i="10"/>
  <c r="M653" i="10" a="1"/>
  <c r="D653" i="10"/>
  <c r="M652" i="10" a="1"/>
  <c r="M652" i="10"/>
  <c r="P652" i="10"/>
  <c r="D652" i="10"/>
  <c r="M651" i="10" a="1"/>
  <c r="M651" i="10"/>
  <c r="P651" i="10"/>
  <c r="D651" i="10"/>
  <c r="M650" i="10"/>
  <c r="P650" i="10"/>
  <c r="M650" i="10" a="1"/>
  <c r="D650" i="10"/>
  <c r="P649" i="10"/>
  <c r="M649" i="10" a="1"/>
  <c r="M649" i="10"/>
  <c r="D649" i="10"/>
  <c r="M648" i="10"/>
  <c r="P648" i="10"/>
  <c r="M648" i="10" a="1"/>
  <c r="D648" i="10"/>
  <c r="P647" i="10"/>
  <c r="M647" i="10" a="1"/>
  <c r="M647" i="10"/>
  <c r="D647" i="10"/>
  <c r="M646" i="10" a="1"/>
  <c r="M646" i="10"/>
  <c r="P646" i="10"/>
  <c r="D646" i="10"/>
  <c r="M645" i="10" a="1"/>
  <c r="M645" i="10"/>
  <c r="P645" i="10"/>
  <c r="D645" i="10"/>
  <c r="P644" i="10"/>
  <c r="M644" i="10"/>
  <c r="M644" i="10" a="1"/>
  <c r="D644" i="10"/>
  <c r="P643" i="10"/>
  <c r="M643" i="10" a="1"/>
  <c r="M643" i="10"/>
  <c r="D643" i="10"/>
  <c r="M642" i="10"/>
  <c r="P642" i="10"/>
  <c r="M642" i="10" a="1"/>
  <c r="D642" i="10"/>
  <c r="P641" i="10"/>
  <c r="M641" i="10" a="1"/>
  <c r="M641" i="10"/>
  <c r="D641" i="10"/>
  <c r="M640" i="10"/>
  <c r="P640" i="10"/>
  <c r="M640" i="10" a="1"/>
  <c r="D640" i="10"/>
  <c r="M639" i="10"/>
  <c r="P639" i="10"/>
  <c r="M639" i="10" a="1"/>
  <c r="D639" i="10"/>
  <c r="M638" i="10" a="1"/>
  <c r="M638" i="10"/>
  <c r="P638" i="10"/>
  <c r="D638" i="10"/>
  <c r="M637" i="10" a="1"/>
  <c r="M637" i="10"/>
  <c r="P637" i="10"/>
  <c r="D637" i="10"/>
  <c r="M636" i="10" a="1"/>
  <c r="M636" i="10"/>
  <c r="P636" i="10"/>
  <c r="D636" i="10"/>
  <c r="M635" i="10" a="1"/>
  <c r="M635" i="10"/>
  <c r="P635" i="10"/>
  <c r="D635" i="10"/>
  <c r="M634" i="10"/>
  <c r="P634" i="10"/>
  <c r="M634" i="10" a="1"/>
  <c r="D634" i="10"/>
  <c r="M633" i="10" a="1"/>
  <c r="M633" i="10"/>
  <c r="P633" i="10"/>
  <c r="D633" i="10"/>
  <c r="M632" i="10"/>
  <c r="P632" i="10"/>
  <c r="M632" i="10" a="1"/>
  <c r="D632" i="10"/>
  <c r="P631" i="10"/>
  <c r="M631" i="10" a="1"/>
  <c r="M631" i="10"/>
  <c r="D631" i="10"/>
  <c r="M630" i="10" a="1"/>
  <c r="M630" i="10"/>
  <c r="P630" i="10"/>
  <c r="D630" i="10"/>
  <c r="P629" i="10"/>
  <c r="M629" i="10" a="1"/>
  <c r="M629" i="10"/>
  <c r="D629" i="10"/>
  <c r="M628" i="10"/>
  <c r="P628" i="10"/>
  <c r="M628" i="10" a="1"/>
  <c r="D628" i="10"/>
  <c r="M627" i="10" a="1"/>
  <c r="M627" i="10"/>
  <c r="P627" i="10"/>
  <c r="D627" i="10"/>
  <c r="M626" i="10"/>
  <c r="P626" i="10"/>
  <c r="M626" i="10" a="1"/>
  <c r="D626" i="10"/>
  <c r="P625" i="10"/>
  <c r="M625" i="10" a="1"/>
  <c r="M625" i="10"/>
  <c r="D625" i="10"/>
  <c r="P624" i="10"/>
  <c r="M624" i="10"/>
  <c r="M624" i="10" a="1"/>
  <c r="D624" i="10"/>
  <c r="M623" i="10"/>
  <c r="P623" i="10"/>
  <c r="M623" i="10" a="1"/>
  <c r="D623" i="10"/>
  <c r="M622" i="10"/>
  <c r="P622" i="10"/>
  <c r="M622" i="10" a="1"/>
  <c r="D622" i="10"/>
  <c r="M621" i="10"/>
  <c r="P621" i="10"/>
  <c r="M621" i="10" a="1"/>
  <c r="D621" i="10"/>
  <c r="M620" i="10"/>
  <c r="P620" i="10"/>
  <c r="M620" i="10" a="1"/>
  <c r="D620" i="10"/>
  <c r="M619" i="10" a="1"/>
  <c r="M619" i="10"/>
  <c r="P619" i="10"/>
  <c r="D619" i="10"/>
  <c r="M618" i="10" a="1"/>
  <c r="M618" i="10"/>
  <c r="P618" i="10"/>
  <c r="D618" i="10"/>
  <c r="M617" i="10"/>
  <c r="P617" i="10"/>
  <c r="M617" i="10" a="1"/>
  <c r="D617" i="10"/>
  <c r="M616" i="10"/>
  <c r="P616" i="10"/>
  <c r="M616" i="10" a="1"/>
  <c r="D616" i="10"/>
  <c r="M615" i="10" a="1"/>
  <c r="M615" i="10"/>
  <c r="P615" i="10"/>
  <c r="D615" i="10"/>
  <c r="M614" i="10" a="1"/>
  <c r="M614" i="10"/>
  <c r="P614" i="10"/>
  <c r="D614" i="10"/>
  <c r="M613" i="10" a="1"/>
  <c r="M613" i="10"/>
  <c r="P613" i="10"/>
  <c r="D613" i="10"/>
  <c r="M612" i="10"/>
  <c r="P612" i="10"/>
  <c r="M612" i="10" a="1"/>
  <c r="D612" i="10"/>
  <c r="P611" i="10"/>
  <c r="M611" i="10" a="1"/>
  <c r="M611" i="10"/>
  <c r="D611" i="10"/>
  <c r="M610" i="10"/>
  <c r="P610" i="10"/>
  <c r="M610" i="10" a="1"/>
  <c r="D610" i="10"/>
  <c r="M609" i="10"/>
  <c r="P609" i="10"/>
  <c r="M609" i="10" a="1"/>
  <c r="D609" i="10"/>
  <c r="M608" i="10" a="1"/>
  <c r="M608" i="10"/>
  <c r="P608" i="10"/>
  <c r="D608" i="10"/>
  <c r="P607" i="10"/>
  <c r="M607" i="10" a="1"/>
  <c r="M607" i="10"/>
  <c r="D607" i="10"/>
  <c r="M606" i="10"/>
  <c r="P606" i="10"/>
  <c r="M606" i="10" a="1"/>
  <c r="D606" i="10"/>
  <c r="M605" i="10"/>
  <c r="P605" i="10"/>
  <c r="M605" i="10" a="1"/>
  <c r="D605" i="10"/>
  <c r="M604" i="10"/>
  <c r="P604" i="10"/>
  <c r="M604" i="10" a="1"/>
  <c r="D604" i="10"/>
  <c r="M603" i="10" a="1"/>
  <c r="M603" i="10"/>
  <c r="P603" i="10"/>
  <c r="D603" i="10"/>
  <c r="M602" i="10" a="1"/>
  <c r="M602" i="10"/>
  <c r="P602" i="10"/>
  <c r="D602" i="10"/>
  <c r="M601" i="10"/>
  <c r="P601" i="10"/>
  <c r="M601" i="10" a="1"/>
  <c r="D601" i="10"/>
  <c r="M600" i="10" a="1"/>
  <c r="M600" i="10"/>
  <c r="P600" i="10"/>
  <c r="D600" i="10"/>
  <c r="M599" i="10" a="1"/>
  <c r="M599" i="10"/>
  <c r="P599" i="10"/>
  <c r="D599" i="10"/>
  <c r="P598" i="10"/>
  <c r="M598" i="10" a="1"/>
  <c r="M598" i="10"/>
  <c r="D598" i="10"/>
  <c r="P597" i="10"/>
  <c r="M597" i="10" a="1"/>
  <c r="M597" i="10"/>
  <c r="D597" i="10"/>
  <c r="M596" i="10" a="1"/>
  <c r="M596" i="10"/>
  <c r="P596" i="10"/>
  <c r="D596" i="10"/>
  <c r="P595" i="10"/>
  <c r="M595" i="10" a="1"/>
  <c r="M595" i="10"/>
  <c r="D595" i="10"/>
  <c r="M594" i="10" a="1"/>
  <c r="M594" i="10"/>
  <c r="P594" i="10"/>
  <c r="D594" i="10"/>
  <c r="M593" i="10" a="1"/>
  <c r="M593" i="10"/>
  <c r="P593" i="10"/>
  <c r="D593" i="10"/>
  <c r="M592" i="10" a="1"/>
  <c r="M592" i="10"/>
  <c r="P592" i="10"/>
  <c r="D592" i="10"/>
  <c r="M591" i="10"/>
  <c r="P591" i="10"/>
  <c r="M591" i="10" a="1"/>
  <c r="D591" i="10"/>
  <c r="M590" i="10" a="1"/>
  <c r="M590" i="10"/>
  <c r="P590" i="10"/>
  <c r="D590" i="10"/>
  <c r="M589" i="10"/>
  <c r="P589" i="10"/>
  <c r="M589" i="10" a="1"/>
  <c r="D589" i="10"/>
  <c r="P588" i="10"/>
  <c r="M588" i="10"/>
  <c r="M588" i="10" a="1"/>
  <c r="D588" i="10"/>
  <c r="M587" i="10"/>
  <c r="P587" i="10"/>
  <c r="M587" i="10" a="1"/>
  <c r="D587" i="10"/>
  <c r="M586" i="10"/>
  <c r="P586" i="10"/>
  <c r="M586" i="10" a="1"/>
  <c r="D586" i="10"/>
  <c r="M585" i="10"/>
  <c r="P585" i="10"/>
  <c r="M585" i="10" a="1"/>
  <c r="D585" i="10"/>
  <c r="M584" i="10" a="1"/>
  <c r="M584" i="10"/>
  <c r="P584" i="10"/>
  <c r="D584" i="10"/>
  <c r="M583" i="10" a="1"/>
  <c r="M583" i="10"/>
  <c r="P583" i="10"/>
  <c r="D583" i="10"/>
  <c r="P582" i="10"/>
  <c r="M582" i="10" a="1"/>
  <c r="M582" i="10"/>
  <c r="D582" i="10"/>
  <c r="M581" i="10"/>
  <c r="P581" i="10"/>
  <c r="M581" i="10" a="1"/>
  <c r="D581" i="10"/>
  <c r="M580" i="10" a="1"/>
  <c r="M580" i="10"/>
  <c r="P580" i="10"/>
  <c r="D580" i="10"/>
  <c r="M579" i="10" a="1"/>
  <c r="M579" i="10"/>
  <c r="P579" i="10"/>
  <c r="D579" i="10"/>
  <c r="M578" i="10" a="1"/>
  <c r="M578" i="10"/>
  <c r="P578" i="10"/>
  <c r="D578" i="10"/>
  <c r="P577" i="10"/>
  <c r="M577" i="10" a="1"/>
  <c r="M577" i="10"/>
  <c r="D577" i="10"/>
  <c r="M576" i="10" a="1"/>
  <c r="M576" i="10"/>
  <c r="P576" i="10"/>
  <c r="D576" i="10"/>
  <c r="M575" i="10" a="1"/>
  <c r="M575" i="10"/>
  <c r="P575" i="10"/>
  <c r="D575" i="10"/>
  <c r="P574" i="10"/>
  <c r="M574" i="10"/>
  <c r="M574" i="10" a="1"/>
  <c r="D574" i="10"/>
  <c r="M573" i="10"/>
  <c r="P573" i="10"/>
  <c r="M573" i="10" a="1"/>
  <c r="D573" i="10"/>
  <c r="P572" i="10"/>
  <c r="M572" i="10"/>
  <c r="M572" i="10" a="1"/>
  <c r="D572" i="10"/>
  <c r="M571" i="10"/>
  <c r="P571" i="10"/>
  <c r="M571" i="10" a="1"/>
  <c r="D571" i="10"/>
  <c r="M570" i="10"/>
  <c r="P570" i="10"/>
  <c r="M570" i="10" a="1"/>
  <c r="D570" i="10"/>
  <c r="M569" i="10"/>
  <c r="P569" i="10"/>
  <c r="M569" i="10" a="1"/>
  <c r="D569" i="10"/>
  <c r="M568" i="10" a="1"/>
  <c r="M568" i="10"/>
  <c r="P568" i="10"/>
  <c r="D568" i="10"/>
  <c r="M567" i="10" a="1"/>
  <c r="M567" i="10"/>
  <c r="P567" i="10"/>
  <c r="D567" i="10"/>
  <c r="M566" i="10" a="1"/>
  <c r="M566" i="10"/>
  <c r="P566" i="10"/>
  <c r="D566" i="10"/>
  <c r="M565" i="10" a="1"/>
  <c r="M565" i="10"/>
  <c r="P565" i="10"/>
  <c r="D565" i="10"/>
  <c r="M564" i="10" a="1"/>
  <c r="M564" i="10"/>
  <c r="P564" i="10"/>
  <c r="D564" i="10"/>
  <c r="M563" i="10" a="1"/>
  <c r="M563" i="10"/>
  <c r="P563" i="10"/>
  <c r="D563" i="10"/>
  <c r="M562" i="10" a="1"/>
  <c r="M562" i="10"/>
  <c r="P562" i="10"/>
  <c r="D562" i="10"/>
  <c r="P561" i="10"/>
  <c r="M561" i="10" a="1"/>
  <c r="M561" i="10"/>
  <c r="D561" i="10"/>
  <c r="M560" i="10" a="1"/>
  <c r="M560" i="10"/>
  <c r="P560" i="10"/>
  <c r="D560" i="10"/>
  <c r="M559" i="10"/>
  <c r="P559" i="10"/>
  <c r="M559" i="10" a="1"/>
  <c r="D559" i="10"/>
  <c r="P558" i="10"/>
  <c r="M558" i="10"/>
  <c r="M558" i="10" a="1"/>
  <c r="D558" i="10"/>
  <c r="M557" i="10"/>
  <c r="P557" i="10"/>
  <c r="M557" i="10" a="1"/>
  <c r="D557" i="10"/>
  <c r="P556" i="10"/>
  <c r="M556" i="10"/>
  <c r="M556" i="10" a="1"/>
  <c r="D556" i="10"/>
  <c r="M555" i="10"/>
  <c r="P555" i="10"/>
  <c r="M555" i="10" a="1"/>
  <c r="D555" i="10"/>
  <c r="M554" i="10"/>
  <c r="P554" i="10"/>
  <c r="M554" i="10" a="1"/>
  <c r="D554" i="10"/>
  <c r="M553" i="10"/>
  <c r="P553" i="10"/>
  <c r="M553" i="10" a="1"/>
  <c r="D553" i="10"/>
  <c r="M552" i="10"/>
  <c r="P552" i="10"/>
  <c r="M552" i="10" a="1"/>
  <c r="D552" i="10"/>
  <c r="M551" i="10"/>
  <c r="P551" i="10"/>
  <c r="M551" i="10" a="1"/>
  <c r="D551" i="10"/>
  <c r="M550" i="10" a="1"/>
  <c r="M550" i="10"/>
  <c r="P550" i="10"/>
  <c r="D550" i="10"/>
  <c r="M549" i="10"/>
  <c r="P549" i="10"/>
  <c r="M549" i="10" a="1"/>
  <c r="D549" i="10"/>
  <c r="P548" i="10"/>
  <c r="M548" i="10" a="1"/>
  <c r="M548" i="10"/>
  <c r="D548" i="10"/>
  <c r="M547" i="10" a="1"/>
  <c r="M547" i="10"/>
  <c r="P547" i="10"/>
  <c r="D547" i="10"/>
  <c r="M546" i="10" a="1"/>
  <c r="M546" i="10"/>
  <c r="P546" i="10"/>
  <c r="D546" i="10"/>
  <c r="P545" i="10"/>
  <c r="M545" i="10" a="1"/>
  <c r="M545" i="10"/>
  <c r="D545" i="10"/>
  <c r="M544" i="10" a="1"/>
  <c r="M544" i="10"/>
  <c r="P544" i="10"/>
  <c r="D544" i="10"/>
  <c r="M543" i="10" a="1"/>
  <c r="M543" i="10"/>
  <c r="P543" i="10"/>
  <c r="D543" i="10"/>
  <c r="M542" i="10" a="1"/>
  <c r="M542" i="10"/>
  <c r="P542" i="10"/>
  <c r="D542" i="10"/>
  <c r="M541" i="10"/>
  <c r="P541" i="10"/>
  <c r="M541" i="10" a="1"/>
  <c r="D541" i="10"/>
  <c r="P540" i="10"/>
  <c r="M540" i="10"/>
  <c r="M540" i="10" a="1"/>
  <c r="D540" i="10"/>
  <c r="M539" i="10"/>
  <c r="P539" i="10"/>
  <c r="M539" i="10" a="1"/>
  <c r="D539" i="10"/>
  <c r="M538" i="10"/>
  <c r="P538" i="10"/>
  <c r="M538" i="10" a="1"/>
  <c r="D538" i="10"/>
  <c r="M537" i="10"/>
  <c r="P537" i="10"/>
  <c r="M537" i="10" a="1"/>
  <c r="D537" i="10"/>
  <c r="M536" i="10" a="1"/>
  <c r="M536" i="10"/>
  <c r="P536" i="10"/>
  <c r="D536" i="10"/>
  <c r="M535" i="10" a="1"/>
  <c r="M535" i="10"/>
  <c r="P535" i="10"/>
  <c r="D535" i="10"/>
  <c r="M534" i="10"/>
  <c r="P534" i="10"/>
  <c r="M534" i="10" a="1"/>
  <c r="D534" i="10"/>
  <c r="M533" i="10" a="1"/>
  <c r="M533" i="10"/>
  <c r="P533" i="10"/>
  <c r="D533" i="10"/>
  <c r="P532" i="10"/>
  <c r="M532" i="10" a="1"/>
  <c r="M532" i="10"/>
  <c r="D532" i="10"/>
  <c r="M531" i="10" a="1"/>
  <c r="M531" i="10"/>
  <c r="P531" i="10"/>
  <c r="D531" i="10"/>
  <c r="P530" i="10"/>
  <c r="M530" i="10" a="1"/>
  <c r="M530" i="10"/>
  <c r="D530" i="10"/>
  <c r="P529" i="10"/>
  <c r="M529" i="10" a="1"/>
  <c r="M529" i="10"/>
  <c r="D529" i="10"/>
  <c r="M528" i="10" a="1"/>
  <c r="M528" i="10"/>
  <c r="P528" i="10"/>
  <c r="D528" i="10"/>
  <c r="M527" i="10"/>
  <c r="P527" i="10"/>
  <c r="M527" i="10" a="1"/>
  <c r="D527" i="10"/>
  <c r="M526" i="10" a="1"/>
  <c r="M526" i="10"/>
  <c r="P526" i="10"/>
  <c r="D526" i="10"/>
  <c r="P525" i="10"/>
  <c r="M525" i="10"/>
  <c r="M525" i="10" a="1"/>
  <c r="D525" i="10"/>
  <c r="M524" i="10"/>
  <c r="P524" i="10"/>
  <c r="M524" i="10" a="1"/>
  <c r="D524" i="10"/>
  <c r="M523" i="10" a="1"/>
  <c r="M523" i="10"/>
  <c r="P523" i="10"/>
  <c r="D523" i="10"/>
  <c r="P522" i="10"/>
  <c r="M522" i="10"/>
  <c r="M522" i="10" a="1"/>
  <c r="D522" i="10"/>
  <c r="M521" i="10"/>
  <c r="P521" i="10"/>
  <c r="M521" i="10" a="1"/>
  <c r="D521" i="10"/>
  <c r="M520" i="10" a="1"/>
  <c r="M520" i="10"/>
  <c r="P520" i="10"/>
  <c r="D520" i="10"/>
  <c r="M519" i="10" a="1"/>
  <c r="M519" i="10"/>
  <c r="P519" i="10"/>
  <c r="D519" i="10"/>
  <c r="P518" i="10"/>
  <c r="M518" i="10"/>
  <c r="M518" i="10" a="1"/>
  <c r="D518" i="10"/>
  <c r="M517" i="10"/>
  <c r="P517" i="10"/>
  <c r="M517" i="10" a="1"/>
  <c r="D517" i="10"/>
  <c r="M516" i="10" a="1"/>
  <c r="M516" i="10"/>
  <c r="P516" i="10"/>
  <c r="D516" i="10"/>
  <c r="P515" i="10"/>
  <c r="M515" i="10"/>
  <c r="M515" i="10" a="1"/>
  <c r="D515" i="10"/>
  <c r="M514" i="10"/>
  <c r="P514" i="10"/>
  <c r="M514" i="10" a="1"/>
  <c r="D514" i="10"/>
  <c r="M513" i="10" a="1"/>
  <c r="M513" i="10"/>
  <c r="P513" i="10"/>
  <c r="D513" i="10"/>
  <c r="P512" i="10"/>
  <c r="M512" i="10" a="1"/>
  <c r="M512" i="10"/>
  <c r="D512" i="10"/>
  <c r="M511" i="10"/>
  <c r="P511" i="10"/>
  <c r="M511" i="10" a="1"/>
  <c r="D511" i="10"/>
  <c r="P510" i="10"/>
  <c r="M510" i="10"/>
  <c r="M510" i="10" a="1"/>
  <c r="D510" i="10"/>
  <c r="P509" i="10"/>
  <c r="M509" i="10"/>
  <c r="M509" i="10" a="1"/>
  <c r="D509" i="10"/>
  <c r="M508" i="10" a="1"/>
  <c r="M508" i="10"/>
  <c r="P508" i="10"/>
  <c r="D508" i="10"/>
  <c r="M507" i="10" a="1"/>
  <c r="M507" i="10"/>
  <c r="P507" i="10"/>
  <c r="D507" i="10"/>
  <c r="M506" i="10"/>
  <c r="P506" i="10"/>
  <c r="M506" i="10" a="1"/>
  <c r="D506" i="10"/>
  <c r="M505" i="10"/>
  <c r="P505" i="10"/>
  <c r="M505" i="10" a="1"/>
  <c r="D505" i="10"/>
  <c r="M504" i="10"/>
  <c r="P504" i="10"/>
  <c r="M504" i="10" a="1"/>
  <c r="D504" i="10"/>
  <c r="M503" i="10"/>
  <c r="P503" i="10"/>
  <c r="M503" i="10" a="1"/>
  <c r="D503" i="10"/>
  <c r="P502" i="10"/>
  <c r="M502" i="10"/>
  <c r="M502" i="10" a="1"/>
  <c r="D502" i="10"/>
  <c r="M501" i="10" a="1"/>
  <c r="M501" i="10"/>
  <c r="P501" i="10"/>
  <c r="D501" i="10"/>
  <c r="M500" i="10" a="1"/>
  <c r="M500" i="10"/>
  <c r="P500" i="10"/>
  <c r="D500" i="10"/>
  <c r="P499" i="10"/>
  <c r="M499" i="10"/>
  <c r="M499" i="10" a="1"/>
  <c r="D499" i="10"/>
  <c r="P498" i="10"/>
  <c r="M498" i="10"/>
  <c r="M498" i="10" a="1"/>
  <c r="D498" i="10"/>
  <c r="M497" i="10" a="1"/>
  <c r="M497" i="10"/>
  <c r="P497" i="10"/>
  <c r="D497" i="10"/>
  <c r="M496" i="10" a="1"/>
  <c r="M496" i="10"/>
  <c r="P496" i="10"/>
  <c r="D496" i="10"/>
  <c r="P495" i="10"/>
  <c r="M495" i="10"/>
  <c r="M495" i="10" a="1"/>
  <c r="D495" i="10"/>
  <c r="P494" i="10"/>
  <c r="M494" i="10" a="1"/>
  <c r="M494" i="10"/>
  <c r="D494" i="10"/>
  <c r="M493" i="10" a="1"/>
  <c r="M493" i="10"/>
  <c r="P493" i="10"/>
  <c r="D493" i="10"/>
  <c r="M492" i="10"/>
  <c r="P492" i="10"/>
  <c r="M492" i="10" a="1"/>
  <c r="D492" i="10"/>
  <c r="M491" i="10"/>
  <c r="P491" i="10"/>
  <c r="M491" i="10" a="1"/>
  <c r="D491" i="10"/>
  <c r="M490" i="10" a="1"/>
  <c r="M490" i="10"/>
  <c r="P490" i="10"/>
  <c r="D490" i="10"/>
  <c r="M489" i="10" a="1"/>
  <c r="M489" i="10"/>
  <c r="P489" i="10"/>
  <c r="D489" i="10"/>
  <c r="M488" i="10" a="1"/>
  <c r="M488" i="10"/>
  <c r="P488" i="10"/>
  <c r="D488" i="10"/>
  <c r="M487" i="10"/>
  <c r="P487" i="10"/>
  <c r="M487" i="10" a="1"/>
  <c r="D487" i="10"/>
  <c r="P486" i="10"/>
  <c r="M486" i="10"/>
  <c r="M486" i="10" a="1"/>
  <c r="D486" i="10"/>
  <c r="M485" i="10"/>
  <c r="P485" i="10"/>
  <c r="M485" i="10" a="1"/>
  <c r="D485" i="10"/>
  <c r="M484" i="10"/>
  <c r="P484" i="10"/>
  <c r="M484" i="10" a="1"/>
  <c r="D484" i="10"/>
  <c r="P483" i="10"/>
  <c r="M483" i="10"/>
  <c r="M483" i="10" a="1"/>
  <c r="D483" i="10"/>
  <c r="P482" i="10"/>
  <c r="M482" i="10"/>
  <c r="M482" i="10" a="1"/>
  <c r="D482" i="10"/>
  <c r="M481" i="10"/>
  <c r="P481" i="10"/>
  <c r="M481" i="10" a="1"/>
  <c r="D481" i="10"/>
  <c r="M480" i="10" a="1"/>
  <c r="M480" i="10"/>
  <c r="P480" i="10"/>
  <c r="D480" i="10"/>
  <c r="M479" i="10"/>
  <c r="P479" i="10"/>
  <c r="M479" i="10" a="1"/>
  <c r="D479" i="10"/>
  <c r="P478" i="10"/>
  <c r="M478" i="10" a="1"/>
  <c r="M478" i="10"/>
  <c r="D478" i="10"/>
  <c r="M477" i="10" a="1"/>
  <c r="M477" i="10"/>
  <c r="P477" i="10"/>
  <c r="D477" i="10"/>
  <c r="P476" i="10"/>
  <c r="M476" i="10"/>
  <c r="M476" i="10" a="1"/>
  <c r="D476" i="10"/>
  <c r="M475" i="10"/>
  <c r="P475" i="10"/>
  <c r="M475" i="10" a="1"/>
  <c r="D475" i="10"/>
  <c r="M474" i="10" a="1"/>
  <c r="M474" i="10"/>
  <c r="P474" i="10"/>
  <c r="D474" i="10"/>
  <c r="P473" i="10"/>
  <c r="M473" i="10" a="1"/>
  <c r="M473" i="10"/>
  <c r="D473" i="10"/>
  <c r="M472" i="10" a="1"/>
  <c r="M472" i="10"/>
  <c r="P472" i="10"/>
  <c r="D472" i="10"/>
  <c r="P471" i="10"/>
  <c r="M471" i="10"/>
  <c r="M471" i="10" a="1"/>
  <c r="D471" i="10"/>
  <c r="P470" i="10"/>
  <c r="M470" i="10"/>
  <c r="M470" i="10" a="1"/>
  <c r="D470" i="10"/>
  <c r="P469" i="10"/>
  <c r="M469" i="10"/>
  <c r="M469" i="10" a="1"/>
  <c r="D469" i="10"/>
  <c r="M468" i="10"/>
  <c r="P468" i="10"/>
  <c r="M468" i="10" a="1"/>
  <c r="D468" i="10"/>
  <c r="P467" i="10"/>
  <c r="M467" i="10"/>
  <c r="M467" i="10" a="1"/>
  <c r="D467" i="10"/>
  <c r="P466" i="10"/>
  <c r="M466" i="10"/>
  <c r="M466" i="10" a="1"/>
  <c r="D466" i="10"/>
  <c r="M465" i="10" a="1"/>
  <c r="M465" i="10"/>
  <c r="P465" i="10"/>
  <c r="D465" i="10"/>
  <c r="M464" i="10"/>
  <c r="P464" i="10"/>
  <c r="M464" i="10" a="1"/>
  <c r="D464" i="10"/>
  <c r="P463" i="10"/>
  <c r="M463" i="10" a="1"/>
  <c r="M463" i="10"/>
  <c r="D463" i="10"/>
  <c r="M462" i="10"/>
  <c r="P462" i="10"/>
  <c r="M462" i="10" a="1"/>
  <c r="D462" i="10"/>
  <c r="P461" i="10"/>
  <c r="M461" i="10" a="1"/>
  <c r="M461" i="10"/>
  <c r="D461" i="10"/>
  <c r="M460" i="10" a="1"/>
  <c r="M460" i="10"/>
  <c r="P460" i="10"/>
  <c r="D460" i="10"/>
  <c r="M459" i="10"/>
  <c r="P459" i="10"/>
  <c r="M459" i="10" a="1"/>
  <c r="D459" i="10"/>
  <c r="M458" i="10" a="1"/>
  <c r="M458" i="10"/>
  <c r="P458" i="10"/>
  <c r="D458" i="10"/>
  <c r="P457" i="10"/>
  <c r="M457" i="10" a="1"/>
  <c r="M457" i="10"/>
  <c r="D457" i="10"/>
  <c r="M456" i="10" a="1"/>
  <c r="M456" i="10"/>
  <c r="P456" i="10"/>
  <c r="D456" i="10"/>
  <c r="M455" i="10"/>
  <c r="P455" i="10"/>
  <c r="M455" i="10" a="1"/>
  <c r="D455" i="10"/>
  <c r="M454" i="10" a="1"/>
  <c r="M454" i="10"/>
  <c r="P454" i="10"/>
  <c r="D454" i="10"/>
  <c r="M453" i="10"/>
  <c r="P453" i="10"/>
  <c r="M453" i="10" a="1"/>
  <c r="D453" i="10"/>
  <c r="M452" i="10" a="1"/>
  <c r="M452" i="10"/>
  <c r="P452" i="10"/>
  <c r="D452" i="10"/>
  <c r="M451" i="10"/>
  <c r="P451" i="10"/>
  <c r="M451" i="10" a="1"/>
  <c r="D451" i="10"/>
  <c r="M450" i="10"/>
  <c r="P450" i="10"/>
  <c r="M450" i="10" a="1"/>
  <c r="D450" i="10"/>
  <c r="M449" i="10" a="1"/>
  <c r="M449" i="10"/>
  <c r="P449" i="10"/>
  <c r="D449" i="10"/>
  <c r="M448" i="10"/>
  <c r="P448" i="10"/>
  <c r="M448" i="10" a="1"/>
  <c r="D448" i="10"/>
  <c r="M447" i="10" a="1"/>
  <c r="M447" i="10"/>
  <c r="P447" i="10"/>
  <c r="D447" i="10"/>
  <c r="M446" i="10"/>
  <c r="P446" i="10"/>
  <c r="M446" i="10" a="1"/>
  <c r="D446" i="10"/>
  <c r="M445" i="10" a="1"/>
  <c r="M445" i="10"/>
  <c r="P445" i="10"/>
  <c r="D445" i="10"/>
  <c r="M444" i="10"/>
  <c r="P444" i="10"/>
  <c r="M444" i="10" a="1"/>
  <c r="D444" i="10"/>
  <c r="M443" i="10" a="1"/>
  <c r="M443" i="10"/>
  <c r="P443" i="10"/>
  <c r="D443" i="10"/>
  <c r="P442" i="10"/>
  <c r="M442" i="10" a="1"/>
  <c r="M442" i="10"/>
  <c r="D442" i="10"/>
  <c r="M441" i="10" a="1"/>
  <c r="M441" i="10"/>
  <c r="P441" i="10"/>
  <c r="D441" i="10"/>
  <c r="P440" i="10"/>
  <c r="M440" i="10"/>
  <c r="M440" i="10" a="1"/>
  <c r="D440" i="10"/>
  <c r="M439" i="10" a="1"/>
  <c r="M439" i="10"/>
  <c r="P439" i="10"/>
  <c r="D439" i="10"/>
  <c r="P438" i="10"/>
  <c r="M438" i="10"/>
  <c r="M438" i="10" a="1"/>
  <c r="D438" i="10"/>
  <c r="M437" i="10" a="1"/>
  <c r="M437" i="10"/>
  <c r="P437" i="10"/>
  <c r="D437" i="10"/>
  <c r="P436" i="10"/>
  <c r="M436" i="10"/>
  <c r="M436" i="10" a="1"/>
  <c r="D436" i="10"/>
  <c r="M435" i="10"/>
  <c r="P435" i="10"/>
  <c r="M435" i="10" a="1"/>
  <c r="D435" i="10"/>
  <c r="P434" i="10"/>
  <c r="M434" i="10"/>
  <c r="M434" i="10" a="1"/>
  <c r="D434" i="10"/>
  <c r="M433" i="10"/>
  <c r="P433" i="10"/>
  <c r="M433" i="10" a="1"/>
  <c r="D433" i="10"/>
  <c r="M432" i="10"/>
  <c r="P432" i="10"/>
  <c r="M432" i="10" a="1"/>
  <c r="D432" i="10"/>
  <c r="M431" i="10"/>
  <c r="P431" i="10"/>
  <c r="M431" i="10" a="1"/>
  <c r="D431" i="10"/>
  <c r="P430" i="10"/>
  <c r="M430" i="10"/>
  <c r="M430" i="10" a="1"/>
  <c r="D430" i="10"/>
  <c r="M429" i="10"/>
  <c r="P429" i="10"/>
  <c r="M429" i="10" a="1"/>
  <c r="D429" i="10"/>
  <c r="P428" i="10"/>
  <c r="M428" i="10"/>
  <c r="M428" i="10" a="1"/>
  <c r="D428" i="10"/>
  <c r="P427" i="10"/>
  <c r="M427" i="10"/>
  <c r="M427" i="10" a="1"/>
  <c r="D427" i="10"/>
  <c r="M426" i="10" a="1"/>
  <c r="M426" i="10"/>
  <c r="P426" i="10"/>
  <c r="D426" i="10"/>
  <c r="P425" i="10"/>
  <c r="M425" i="10" a="1"/>
  <c r="M425" i="10"/>
  <c r="D425" i="10"/>
  <c r="M424" i="10" a="1"/>
  <c r="M424" i="10"/>
  <c r="P424" i="10"/>
  <c r="D424" i="10"/>
  <c r="P423" i="10"/>
  <c r="M423" i="10"/>
  <c r="M423" i="10" a="1"/>
  <c r="D423" i="10"/>
  <c r="M422" i="10" a="1"/>
  <c r="M422" i="10"/>
  <c r="P422" i="10"/>
  <c r="D422" i="10"/>
  <c r="P421" i="10"/>
  <c r="M421" i="10"/>
  <c r="M421" i="10" a="1"/>
  <c r="D421" i="10"/>
  <c r="M420" i="10" a="1"/>
  <c r="M420" i="10"/>
  <c r="P420" i="10"/>
  <c r="D420" i="10"/>
  <c r="P419" i="10"/>
  <c r="M419" i="10"/>
  <c r="M419" i="10" a="1"/>
  <c r="D419" i="10"/>
  <c r="M418" i="10"/>
  <c r="P418" i="10"/>
  <c r="M418" i="10" a="1"/>
  <c r="D418" i="10"/>
  <c r="M417" i="10" a="1"/>
  <c r="M417" i="10"/>
  <c r="P417" i="10"/>
  <c r="D417" i="10"/>
  <c r="M416" i="10"/>
  <c r="P416" i="10"/>
  <c r="M416" i="10" a="1"/>
  <c r="D416" i="10"/>
  <c r="M415" i="10" a="1"/>
  <c r="M415" i="10"/>
  <c r="P415" i="10"/>
  <c r="D415" i="10"/>
  <c r="M414" i="10"/>
  <c r="P414" i="10"/>
  <c r="M414" i="10" a="1"/>
  <c r="D414" i="10"/>
  <c r="M413" i="10" a="1"/>
  <c r="M413" i="10"/>
  <c r="P413" i="10"/>
  <c r="D413" i="10"/>
  <c r="M412" i="10"/>
  <c r="P412" i="10"/>
  <c r="M412" i="10" a="1"/>
  <c r="D412" i="10"/>
  <c r="M411" i="10" a="1"/>
  <c r="M411" i="10"/>
  <c r="P411" i="10"/>
  <c r="D411" i="10"/>
  <c r="M410" i="10" a="1"/>
  <c r="M410" i="10"/>
  <c r="P410" i="10"/>
  <c r="D410" i="10"/>
  <c r="M409" i="10" a="1"/>
  <c r="M409" i="10"/>
  <c r="P409" i="10"/>
  <c r="D409" i="10"/>
  <c r="M408" i="10" a="1"/>
  <c r="M408" i="10"/>
  <c r="P408" i="10"/>
  <c r="D408" i="10"/>
  <c r="M407" i="10" a="1"/>
  <c r="M407" i="10"/>
  <c r="P407" i="10"/>
  <c r="D407" i="10"/>
  <c r="M406" i="10" a="1"/>
  <c r="M406" i="10"/>
  <c r="P406" i="10"/>
  <c r="D406" i="10"/>
  <c r="M405" i="10"/>
  <c r="P405" i="10"/>
  <c r="M405" i="10" a="1"/>
  <c r="D405" i="10"/>
  <c r="M404" i="10"/>
  <c r="P404" i="10"/>
  <c r="M404" i="10" a="1"/>
  <c r="D404" i="10"/>
  <c r="M403" i="10" a="1"/>
  <c r="M403" i="10"/>
  <c r="P403" i="10"/>
  <c r="D403" i="10"/>
  <c r="P402" i="10"/>
  <c r="M402" i="10"/>
  <c r="M402" i="10" a="1"/>
  <c r="D402" i="10"/>
  <c r="P401" i="10"/>
  <c r="M401" i="10"/>
  <c r="M401" i="10" a="1"/>
  <c r="D401" i="10"/>
  <c r="M400" i="10"/>
  <c r="P400" i="10"/>
  <c r="M400" i="10" a="1"/>
  <c r="D400" i="10"/>
  <c r="P399" i="10"/>
  <c r="M399" i="10"/>
  <c r="M399" i="10" a="1"/>
  <c r="D399" i="10"/>
  <c r="P398" i="10"/>
  <c r="M398" i="10"/>
  <c r="M398" i="10" a="1"/>
  <c r="D398" i="10"/>
  <c r="M397" i="10" a="1"/>
  <c r="M397" i="10"/>
  <c r="P397" i="10"/>
  <c r="D397" i="10"/>
  <c r="P396" i="10"/>
  <c r="M396" i="10"/>
  <c r="M396" i="10" a="1"/>
  <c r="D396" i="10"/>
  <c r="M395" i="10"/>
  <c r="P395" i="10"/>
  <c r="M395" i="10" a="1"/>
  <c r="D395" i="10"/>
  <c r="M394" i="10" a="1"/>
  <c r="M394" i="10"/>
  <c r="P394" i="10"/>
  <c r="D394" i="10"/>
  <c r="M393" i="10" a="1"/>
  <c r="M393" i="10"/>
  <c r="P393" i="10"/>
  <c r="D393" i="10"/>
  <c r="M392" i="10" a="1"/>
  <c r="M392" i="10"/>
  <c r="P392" i="10"/>
  <c r="D392" i="10"/>
  <c r="M391" i="10" a="1"/>
  <c r="M391" i="10"/>
  <c r="P391" i="10"/>
  <c r="D391" i="10"/>
  <c r="M390" i="10" a="1"/>
  <c r="M390" i="10"/>
  <c r="P390" i="10"/>
  <c r="D390" i="10"/>
  <c r="M389" i="10"/>
  <c r="P389" i="10"/>
  <c r="M389" i="10" a="1"/>
  <c r="D389" i="10"/>
  <c r="M388" i="10"/>
  <c r="P388" i="10"/>
  <c r="M388" i="10" a="1"/>
  <c r="D388" i="10"/>
  <c r="M387" i="10" a="1"/>
  <c r="M387" i="10"/>
  <c r="P387" i="10"/>
  <c r="D387" i="10"/>
  <c r="P386" i="10"/>
  <c r="M386" i="10"/>
  <c r="M386" i="10" a="1"/>
  <c r="D386" i="10"/>
  <c r="P385" i="10"/>
  <c r="M385" i="10"/>
  <c r="M385" i="10" a="1"/>
  <c r="D385" i="10"/>
  <c r="M384" i="10"/>
  <c r="P384" i="10"/>
  <c r="M384" i="10" a="1"/>
  <c r="D384" i="10"/>
  <c r="P383" i="10"/>
  <c r="M383" i="10"/>
  <c r="M383" i="10" a="1"/>
  <c r="D383" i="10"/>
  <c r="M382" i="10"/>
  <c r="P382" i="10"/>
  <c r="M382" i="10" a="1"/>
  <c r="D382" i="10"/>
  <c r="M381" i="10" a="1"/>
  <c r="M381" i="10"/>
  <c r="P381" i="10"/>
  <c r="D381" i="10"/>
  <c r="M380" i="10" a="1"/>
  <c r="M380" i="10"/>
  <c r="P380" i="10"/>
  <c r="D380" i="10"/>
  <c r="M379" i="10" a="1"/>
  <c r="M379" i="10"/>
  <c r="P379" i="10"/>
  <c r="D379" i="10"/>
  <c r="P378" i="10"/>
  <c r="M378" i="10" a="1"/>
  <c r="M378" i="10"/>
  <c r="D378" i="10"/>
  <c r="P377" i="10"/>
  <c r="M377" i="10"/>
  <c r="M377" i="10" a="1"/>
  <c r="D377" i="10"/>
  <c r="P376" i="10"/>
  <c r="M376" i="10"/>
  <c r="M376" i="10" a="1"/>
  <c r="D376" i="10"/>
  <c r="P375" i="10"/>
  <c r="M375" i="10" a="1"/>
  <c r="M375" i="10"/>
  <c r="D375" i="10"/>
  <c r="M374" i="10" a="1"/>
  <c r="M374" i="10"/>
  <c r="P374" i="10"/>
  <c r="D374" i="10"/>
  <c r="M373" i="10" a="1"/>
  <c r="M373" i="10"/>
  <c r="P373" i="10"/>
  <c r="D373" i="10"/>
  <c r="M372" i="10" a="1"/>
  <c r="M372" i="10"/>
  <c r="P372" i="10"/>
  <c r="D372" i="10"/>
  <c r="M371" i="10" a="1"/>
  <c r="M371" i="10"/>
  <c r="P371" i="10"/>
  <c r="D371" i="10"/>
  <c r="M370" i="10" a="1"/>
  <c r="M370" i="10"/>
  <c r="P370" i="10"/>
  <c r="D370" i="10"/>
  <c r="P369" i="10"/>
  <c r="M369" i="10"/>
  <c r="M369" i="10" a="1"/>
  <c r="D369" i="10"/>
  <c r="M368" i="10"/>
  <c r="P368" i="10"/>
  <c r="M368" i="10" a="1"/>
  <c r="D368" i="10"/>
  <c r="P367" i="10"/>
  <c r="M367" i="10"/>
  <c r="M367" i="10" a="1"/>
  <c r="D367" i="10"/>
  <c r="M366" i="10"/>
  <c r="P366" i="10"/>
  <c r="M366" i="10" a="1"/>
  <c r="D366" i="10"/>
  <c r="M365" i="10" a="1"/>
  <c r="M365" i="10"/>
  <c r="P365" i="10"/>
  <c r="D365" i="10"/>
  <c r="M364" i="10" a="1"/>
  <c r="M364" i="10"/>
  <c r="P364" i="10"/>
  <c r="D364" i="10"/>
  <c r="M363" i="10"/>
  <c r="P363" i="10"/>
  <c r="M363" i="10" a="1"/>
  <c r="D363" i="10"/>
  <c r="M362" i="10" a="1"/>
  <c r="M362" i="10"/>
  <c r="P362" i="10"/>
  <c r="D362" i="10"/>
  <c r="M361" i="10" a="1"/>
  <c r="M361" i="10"/>
  <c r="P361" i="10"/>
  <c r="D361" i="10"/>
  <c r="P360" i="10"/>
  <c r="M360" i="10"/>
  <c r="M360" i="10" a="1"/>
  <c r="D360" i="10"/>
  <c r="P359" i="10"/>
  <c r="M359" i="10" a="1"/>
  <c r="M359" i="10"/>
  <c r="D359" i="10"/>
  <c r="M358" i="10" a="1"/>
  <c r="M358" i="10"/>
  <c r="P358" i="10"/>
  <c r="D358" i="10"/>
  <c r="P357" i="10"/>
  <c r="M357" i="10" a="1"/>
  <c r="M357" i="10"/>
  <c r="D357" i="10"/>
  <c r="M356" i="10" a="1"/>
  <c r="M356" i="10"/>
  <c r="P356" i="10"/>
  <c r="D356" i="10"/>
  <c r="M355" i="10"/>
  <c r="P355" i="10"/>
  <c r="M355" i="10" a="1"/>
  <c r="D355" i="10"/>
  <c r="P354" i="10"/>
  <c r="M354" i="10"/>
  <c r="M354" i="10" a="1"/>
  <c r="D354" i="10"/>
  <c r="M353" i="10"/>
  <c r="P353" i="10"/>
  <c r="M353" i="10" a="1"/>
  <c r="D353" i="10"/>
  <c r="M352" i="10"/>
  <c r="P352" i="10"/>
  <c r="M352" i="10" a="1"/>
  <c r="D352" i="10"/>
  <c r="P351" i="10"/>
  <c r="M351" i="10"/>
  <c r="M351" i="10" a="1"/>
  <c r="D351" i="10"/>
  <c r="M350" i="10"/>
  <c r="P350" i="10"/>
  <c r="M350" i="10" a="1"/>
  <c r="D350" i="10"/>
  <c r="M349" i="10" a="1"/>
  <c r="M349" i="10"/>
  <c r="P349" i="10"/>
  <c r="D349" i="10"/>
  <c r="M348" i="10" a="1"/>
  <c r="M348" i="10"/>
  <c r="P348" i="10"/>
  <c r="D348" i="10"/>
  <c r="M347" i="10" a="1"/>
  <c r="M347" i="10"/>
  <c r="P347" i="10"/>
  <c r="D347" i="10"/>
  <c r="M346" i="10" a="1"/>
  <c r="M346" i="10"/>
  <c r="P346" i="10"/>
  <c r="D346" i="10"/>
  <c r="M345" i="10"/>
  <c r="P345" i="10"/>
  <c r="M345" i="10" a="1"/>
  <c r="D345" i="10"/>
  <c r="P344" i="10"/>
  <c r="M344" i="10"/>
  <c r="M344" i="10" a="1"/>
  <c r="D344" i="10"/>
  <c r="P343" i="10"/>
  <c r="M343" i="10" a="1"/>
  <c r="M343" i="10"/>
  <c r="D343" i="10"/>
  <c r="M342" i="10" a="1"/>
  <c r="M342" i="10"/>
  <c r="P342" i="10"/>
  <c r="D342" i="10"/>
  <c r="P341" i="10"/>
  <c r="M341" i="10" a="1"/>
  <c r="M341" i="10"/>
  <c r="D341" i="10"/>
  <c r="M340" i="10"/>
  <c r="P340" i="10"/>
  <c r="M340" i="10" a="1"/>
  <c r="D340" i="10"/>
  <c r="M339" i="10" a="1"/>
  <c r="M339" i="10"/>
  <c r="P339" i="10"/>
  <c r="D339" i="10"/>
  <c r="M338" i="10" a="1"/>
  <c r="M338" i="10"/>
  <c r="P338" i="10"/>
  <c r="D338" i="10"/>
  <c r="M337" i="10" a="1"/>
  <c r="M337" i="10"/>
  <c r="P337" i="10"/>
  <c r="D337" i="10"/>
  <c r="P336" i="10"/>
  <c r="M336" i="10"/>
  <c r="M336" i="10" a="1"/>
  <c r="D336" i="10"/>
  <c r="P335" i="10"/>
  <c r="M335" i="10"/>
  <c r="M335" i="10" a="1"/>
  <c r="D335" i="10"/>
  <c r="M334" i="10"/>
  <c r="P334" i="10"/>
  <c r="M334" i="10" a="1"/>
  <c r="D334" i="10"/>
  <c r="M333" i="10" a="1"/>
  <c r="M333" i="10"/>
  <c r="P333" i="10"/>
  <c r="D333" i="10"/>
  <c r="M332" i="10"/>
  <c r="P332" i="10"/>
  <c r="M332" i="10" a="1"/>
  <c r="D332" i="10"/>
  <c r="M331" i="10" a="1"/>
  <c r="M331" i="10"/>
  <c r="P331" i="10"/>
  <c r="D331" i="10"/>
  <c r="M330" i="10" a="1"/>
  <c r="M330" i="10"/>
  <c r="P330" i="10"/>
  <c r="D330" i="10"/>
  <c r="M329" i="10"/>
  <c r="P329" i="10"/>
  <c r="M329" i="10" a="1"/>
  <c r="D329" i="10"/>
  <c r="M328" i="10"/>
  <c r="P328" i="10"/>
  <c r="M328" i="10" a="1"/>
  <c r="D328" i="10"/>
  <c r="P327" i="10"/>
  <c r="M327" i="10" a="1"/>
  <c r="M327" i="10"/>
  <c r="D327" i="10"/>
  <c r="M326" i="10" a="1"/>
  <c r="M326" i="10"/>
  <c r="P326" i="10"/>
  <c r="D326" i="10"/>
  <c r="M325" i="10" a="1"/>
  <c r="M325" i="10"/>
  <c r="P325" i="10"/>
  <c r="D325" i="10"/>
  <c r="M324" i="10" a="1"/>
  <c r="M324" i="10"/>
  <c r="P324" i="10"/>
  <c r="D324" i="10"/>
  <c r="P323" i="10"/>
  <c r="M323" i="10"/>
  <c r="M323" i="10" a="1"/>
  <c r="D323" i="10"/>
  <c r="M322" i="10"/>
  <c r="P322" i="10"/>
  <c r="M322" i="10" a="1"/>
  <c r="D322" i="10"/>
  <c r="M321" i="10"/>
  <c r="P321" i="10"/>
  <c r="M321" i="10" a="1"/>
  <c r="D321" i="10"/>
  <c r="M320" i="10"/>
  <c r="P320" i="10"/>
  <c r="M320" i="10" a="1"/>
  <c r="D320" i="10"/>
  <c r="P319" i="10"/>
  <c r="M319" i="10"/>
  <c r="M319" i="10" a="1"/>
  <c r="D319" i="10"/>
  <c r="M318" i="10" a="1"/>
  <c r="M318" i="10"/>
  <c r="P318" i="10"/>
  <c r="D318" i="10"/>
  <c r="M317" i="10"/>
  <c r="P317" i="10"/>
  <c r="M317" i="10" a="1"/>
  <c r="D317" i="10"/>
  <c r="M316" i="10"/>
  <c r="P316" i="10"/>
  <c r="M316" i="10" a="1"/>
  <c r="D316" i="10"/>
  <c r="P315" i="10"/>
  <c r="M315" i="10"/>
  <c r="M315" i="10" a="1"/>
  <c r="D315" i="10"/>
  <c r="M314" i="10"/>
  <c r="P314" i="10"/>
  <c r="M314" i="10" a="1"/>
  <c r="D314" i="10"/>
  <c r="P313" i="10"/>
  <c r="M313" i="10"/>
  <c r="M313" i="10" a="1"/>
  <c r="D313" i="10"/>
  <c r="M312" i="10" a="1"/>
  <c r="M312" i="10"/>
  <c r="P312" i="10"/>
  <c r="D312" i="10"/>
  <c r="P311" i="10"/>
  <c r="M311" i="10" a="1"/>
  <c r="M311" i="10"/>
  <c r="D311" i="10"/>
  <c r="M310" i="10" a="1"/>
  <c r="M310" i="10"/>
  <c r="P310" i="10"/>
  <c r="D310" i="10"/>
  <c r="P309" i="10"/>
  <c r="M309" i="10"/>
  <c r="M309" i="10" a="1"/>
  <c r="D309" i="10"/>
  <c r="M308" i="10" a="1"/>
  <c r="M308" i="10"/>
  <c r="P308" i="10"/>
  <c r="D308" i="10"/>
  <c r="P307" i="10"/>
  <c r="M307" i="10"/>
  <c r="M307" i="10" a="1"/>
  <c r="D307" i="10"/>
  <c r="M306" i="10" a="1"/>
  <c r="M306" i="10"/>
  <c r="P306" i="10"/>
  <c r="D306" i="10"/>
  <c r="M305" i="10" a="1"/>
  <c r="M305" i="10"/>
  <c r="P305" i="10"/>
  <c r="D305" i="10"/>
  <c r="M304" i="10"/>
  <c r="P304" i="10"/>
  <c r="M304" i="10" a="1"/>
  <c r="D304" i="10"/>
  <c r="M303" i="10" a="1"/>
  <c r="M303" i="10"/>
  <c r="P303" i="10"/>
  <c r="D303" i="10"/>
  <c r="M302" i="10" a="1"/>
  <c r="M302" i="10"/>
  <c r="P302" i="10"/>
  <c r="D302" i="10"/>
  <c r="M301" i="10"/>
  <c r="P301" i="10"/>
  <c r="M301" i="10" a="1"/>
  <c r="D301" i="10"/>
  <c r="M300" i="10" a="1"/>
  <c r="M300" i="10"/>
  <c r="P300" i="10"/>
  <c r="D300" i="10"/>
  <c r="P299" i="10"/>
  <c r="M299" i="10"/>
  <c r="M299" i="10" a="1"/>
  <c r="D299" i="10"/>
  <c r="M298" i="10"/>
  <c r="P298" i="10"/>
  <c r="M298" i="10" a="1"/>
  <c r="D298" i="10"/>
  <c r="M297" i="10" a="1"/>
  <c r="M297" i="10"/>
  <c r="P297" i="10"/>
  <c r="D297" i="10"/>
  <c r="M296" i="10"/>
  <c r="P296" i="10"/>
  <c r="M296" i="10" a="1"/>
  <c r="D296" i="10"/>
  <c r="P295" i="10"/>
  <c r="M295" i="10" a="1"/>
  <c r="M295" i="10"/>
  <c r="D295" i="10"/>
  <c r="P294" i="10"/>
  <c r="M294" i="10"/>
  <c r="M294" i="10" a="1"/>
  <c r="D294" i="10"/>
  <c r="P293" i="10"/>
  <c r="M293" i="10"/>
  <c r="M293" i="10" a="1"/>
  <c r="D293" i="10"/>
  <c r="M292" i="10" a="1"/>
  <c r="M292" i="10"/>
  <c r="P292" i="10"/>
  <c r="D292" i="10"/>
  <c r="M291" i="10" a="1"/>
  <c r="M291" i="10"/>
  <c r="P291" i="10"/>
  <c r="D291" i="10"/>
  <c r="M290" i="10" a="1"/>
  <c r="M290" i="10"/>
  <c r="P290" i="10"/>
  <c r="D290" i="10"/>
  <c r="M289" i="10"/>
  <c r="P289" i="10"/>
  <c r="M289" i="10" a="1"/>
  <c r="D289" i="10"/>
  <c r="M288" i="10" a="1"/>
  <c r="M288" i="10"/>
  <c r="P288" i="10"/>
  <c r="D288" i="10"/>
  <c r="M287" i="10" a="1"/>
  <c r="M287" i="10"/>
  <c r="P287" i="10"/>
  <c r="D287" i="10"/>
  <c r="P286" i="10"/>
  <c r="M286" i="10"/>
  <c r="M286" i="10" a="1"/>
  <c r="D286" i="10"/>
  <c r="M285" i="10" a="1"/>
  <c r="M285" i="10"/>
  <c r="P285" i="10"/>
  <c r="D285" i="10"/>
  <c r="M284" i="10"/>
  <c r="P284" i="10"/>
  <c r="M284" i="10" a="1"/>
  <c r="D284" i="10"/>
  <c r="P283" i="10"/>
  <c r="M283" i="10"/>
  <c r="M283" i="10" a="1"/>
  <c r="D283" i="10"/>
  <c r="M282" i="10" a="1"/>
  <c r="M282" i="10"/>
  <c r="P282" i="10"/>
  <c r="D282" i="10"/>
  <c r="M281" i="10" a="1"/>
  <c r="M281" i="10"/>
  <c r="P281" i="10"/>
  <c r="D281" i="10"/>
  <c r="P280" i="10"/>
  <c r="M280" i="10" a="1"/>
  <c r="M280" i="10"/>
  <c r="D280" i="10"/>
  <c r="M279" i="10"/>
  <c r="P279" i="10"/>
  <c r="M279" i="10" a="1"/>
  <c r="D279" i="10"/>
  <c r="M278" i="10" a="1"/>
  <c r="M278" i="10"/>
  <c r="P278" i="10"/>
  <c r="D278" i="10"/>
  <c r="M277" i="10" a="1"/>
  <c r="M277" i="10"/>
  <c r="P277" i="10"/>
  <c r="D277" i="10"/>
  <c r="M276" i="10"/>
  <c r="P276" i="10"/>
  <c r="M276" i="10" a="1"/>
  <c r="D276" i="10"/>
  <c r="P275" i="10"/>
  <c r="M275" i="10"/>
  <c r="M275" i="10" a="1"/>
  <c r="D275" i="10"/>
  <c r="M274" i="10" a="1"/>
  <c r="M274" i="10"/>
  <c r="P274" i="10"/>
  <c r="D274" i="10"/>
  <c r="M273" i="10"/>
  <c r="P273" i="10"/>
  <c r="M273" i="10" a="1"/>
  <c r="D273" i="10"/>
  <c r="M272" i="10" a="1"/>
  <c r="M272" i="10"/>
  <c r="P272" i="10"/>
  <c r="D272" i="10"/>
  <c r="M271" i="10" a="1"/>
  <c r="M271" i="10"/>
  <c r="P271" i="10"/>
  <c r="D271" i="10"/>
  <c r="P270" i="10"/>
  <c r="M270" i="10"/>
  <c r="M270" i="10" a="1"/>
  <c r="D270" i="10"/>
  <c r="M269" i="10" a="1"/>
  <c r="M269" i="10"/>
  <c r="P269" i="10"/>
  <c r="D269" i="10"/>
  <c r="M268" i="10"/>
  <c r="P268" i="10"/>
  <c r="M268" i="10" a="1"/>
  <c r="D268" i="10"/>
  <c r="P267" i="10"/>
  <c r="M267" i="10"/>
  <c r="M267" i="10" a="1"/>
  <c r="D267" i="10"/>
  <c r="M266" i="10" a="1"/>
  <c r="M266" i="10"/>
  <c r="P266" i="10"/>
  <c r="D266" i="10"/>
  <c r="M265" i="10" a="1"/>
  <c r="M265" i="10"/>
  <c r="P265" i="10"/>
  <c r="D265" i="10"/>
  <c r="M264" i="10" a="1"/>
  <c r="M264" i="10"/>
  <c r="P264" i="10"/>
  <c r="D264" i="10"/>
  <c r="M263" i="10" a="1"/>
  <c r="M263" i="10"/>
  <c r="P263" i="10"/>
  <c r="D263" i="10"/>
  <c r="M262" i="10" a="1"/>
  <c r="M262" i="10"/>
  <c r="P262" i="10"/>
  <c r="D262" i="10"/>
  <c r="M261" i="10" a="1"/>
  <c r="M261" i="10"/>
  <c r="P261" i="10"/>
  <c r="D261" i="10"/>
  <c r="M260" i="10"/>
  <c r="P260" i="10"/>
  <c r="M260" i="10" a="1"/>
  <c r="D260" i="10"/>
  <c r="P259" i="10"/>
  <c r="M259" i="10"/>
  <c r="M259" i="10" a="1"/>
  <c r="D259" i="10"/>
  <c r="M258" i="10" a="1"/>
  <c r="M258" i="10"/>
  <c r="P258" i="10"/>
  <c r="D258" i="10"/>
  <c r="M257" i="10"/>
  <c r="P257" i="10"/>
  <c r="M257" i="10" a="1"/>
  <c r="D257" i="10"/>
  <c r="M256" i="10" a="1"/>
  <c r="M256" i="10"/>
  <c r="P256" i="10"/>
  <c r="D256" i="10"/>
  <c r="M255" i="10" a="1"/>
  <c r="M255" i="10"/>
  <c r="P255" i="10"/>
  <c r="D255" i="10"/>
  <c r="P254" i="10"/>
  <c r="M254" i="10"/>
  <c r="M254" i="10" a="1"/>
  <c r="D254" i="10"/>
  <c r="M253" i="10" a="1"/>
  <c r="M253" i="10"/>
  <c r="P253" i="10"/>
  <c r="D253" i="10"/>
  <c r="M252" i="10"/>
  <c r="P252" i="10"/>
  <c r="M252" i="10" a="1"/>
  <c r="D252" i="10"/>
  <c r="P251" i="10"/>
  <c r="M251" i="10"/>
  <c r="M251" i="10" a="1"/>
  <c r="D251" i="10"/>
  <c r="M250" i="10" a="1"/>
  <c r="M250" i="10"/>
  <c r="P250" i="10"/>
  <c r="D250" i="10"/>
  <c r="M249" i="10" a="1"/>
  <c r="M249" i="10"/>
  <c r="P249" i="10"/>
  <c r="D249" i="10"/>
  <c r="P248" i="10"/>
  <c r="M248" i="10" a="1"/>
  <c r="M248" i="10"/>
  <c r="D248" i="10"/>
  <c r="M247" i="10" a="1"/>
  <c r="M247" i="10"/>
  <c r="P247" i="10"/>
  <c r="D247" i="10"/>
  <c r="M246" i="10" a="1"/>
  <c r="M246" i="10"/>
  <c r="P246" i="10"/>
  <c r="D246" i="10"/>
  <c r="M245" i="10" a="1"/>
  <c r="M245" i="10"/>
  <c r="P245" i="10"/>
  <c r="D245" i="10"/>
  <c r="P244" i="10"/>
  <c r="M244" i="10"/>
  <c r="M244" i="10" a="1"/>
  <c r="D244" i="10"/>
  <c r="P243" i="10"/>
  <c r="M243" i="10"/>
  <c r="M243" i="10" a="1"/>
  <c r="D243" i="10"/>
  <c r="M242" i="10" a="1"/>
  <c r="M242" i="10"/>
  <c r="P242" i="10"/>
  <c r="D242" i="10"/>
  <c r="M241" i="10"/>
  <c r="P241" i="10"/>
  <c r="M241" i="10" a="1"/>
  <c r="D241" i="10"/>
  <c r="M240" i="10" a="1"/>
  <c r="M240" i="10"/>
  <c r="P240" i="10"/>
  <c r="D240" i="10"/>
  <c r="M239" i="10" a="1"/>
  <c r="M239" i="10"/>
  <c r="P239" i="10"/>
  <c r="D239" i="10"/>
  <c r="P238" i="10"/>
  <c r="M238" i="10"/>
  <c r="M238" i="10" a="1"/>
  <c r="D238" i="10"/>
  <c r="M237" i="10" a="1"/>
  <c r="M237" i="10"/>
  <c r="P237" i="10"/>
  <c r="D237" i="10"/>
  <c r="M236" i="10"/>
  <c r="P236" i="10"/>
  <c r="M236" i="10" a="1"/>
  <c r="D236" i="10"/>
  <c r="P235" i="10"/>
  <c r="M235" i="10"/>
  <c r="M235" i="10" a="1"/>
  <c r="D235" i="10"/>
  <c r="M234" i="10" a="1"/>
  <c r="M234" i="10"/>
  <c r="P234" i="10"/>
  <c r="D234" i="10"/>
  <c r="M233" i="10" a="1"/>
  <c r="M233" i="10"/>
  <c r="P233" i="10"/>
  <c r="D233" i="10"/>
  <c r="P232" i="10"/>
  <c r="M232" i="10" a="1"/>
  <c r="M232" i="10"/>
  <c r="D232" i="10"/>
  <c r="M231" i="10"/>
  <c r="P231" i="10"/>
  <c r="M231" i="10" a="1"/>
  <c r="D231" i="10"/>
  <c r="M230" i="10"/>
  <c r="P230" i="10"/>
  <c r="M230" i="10" a="1"/>
  <c r="D230" i="10"/>
  <c r="P229" i="10"/>
  <c r="M229" i="10" a="1"/>
  <c r="M229" i="10"/>
  <c r="D229" i="10"/>
  <c r="M228" i="10"/>
  <c r="P228" i="10"/>
  <c r="M228" i="10" a="1"/>
  <c r="D228" i="10"/>
  <c r="P227" i="10"/>
  <c r="M227" i="10"/>
  <c r="M227" i="10" a="1"/>
  <c r="D227" i="10"/>
  <c r="M226" i="10" a="1"/>
  <c r="M226" i="10"/>
  <c r="P226" i="10"/>
  <c r="D226" i="10"/>
  <c r="M225" i="10"/>
  <c r="P225" i="10"/>
  <c r="M225" i="10" a="1"/>
  <c r="D225" i="10"/>
  <c r="M224" i="10"/>
  <c r="P224" i="10"/>
  <c r="M224" i="10" a="1"/>
  <c r="D224" i="10"/>
  <c r="M223" i="10" a="1"/>
  <c r="M223" i="10"/>
  <c r="P223" i="10"/>
  <c r="D223" i="10"/>
  <c r="M222" i="10" a="1"/>
  <c r="M222" i="10"/>
  <c r="P222" i="10"/>
  <c r="D222" i="10"/>
  <c r="P221" i="10"/>
  <c r="M221" i="10"/>
  <c r="M221" i="10" a="1"/>
  <c r="D221" i="10"/>
  <c r="M220" i="10"/>
  <c r="P220" i="10"/>
  <c r="M220" i="10" a="1"/>
  <c r="D220" i="10"/>
  <c r="P219" i="10"/>
  <c r="M219" i="10"/>
  <c r="M219" i="10" a="1"/>
  <c r="D219" i="10"/>
  <c r="M218" i="10" a="1"/>
  <c r="M218" i="10"/>
  <c r="P218" i="10"/>
  <c r="D218" i="10"/>
  <c r="M217" i="10" a="1"/>
  <c r="M217" i="10"/>
  <c r="P217" i="10"/>
  <c r="D217" i="10"/>
  <c r="M216" i="10" a="1"/>
  <c r="M216" i="10"/>
  <c r="P216" i="10"/>
  <c r="D216" i="10"/>
  <c r="M215" i="10"/>
  <c r="P215" i="10"/>
  <c r="M215" i="10" a="1"/>
  <c r="D215" i="10"/>
  <c r="P214" i="10"/>
  <c r="M214" i="10"/>
  <c r="M214" i="10" a="1"/>
  <c r="D214" i="10"/>
  <c r="P213" i="10"/>
  <c r="M213" i="10"/>
  <c r="M213" i="10" a="1"/>
  <c r="D213" i="10"/>
  <c r="M212" i="10" a="1"/>
  <c r="M212" i="10"/>
  <c r="P212" i="10"/>
  <c r="D212" i="10"/>
  <c r="P211" i="10"/>
  <c r="M211" i="10"/>
  <c r="M211" i="10" a="1"/>
  <c r="D211" i="10"/>
  <c r="P210" i="10"/>
  <c r="M210" i="10"/>
  <c r="M210" i="10" a="1"/>
  <c r="D210" i="10"/>
  <c r="M209" i="10"/>
  <c r="P209" i="10"/>
  <c r="M209" i="10" a="1"/>
  <c r="D209" i="10"/>
  <c r="M208" i="10"/>
  <c r="P208" i="10"/>
  <c r="M208" i="10" a="1"/>
  <c r="D208" i="10"/>
  <c r="M207" i="10"/>
  <c r="P207" i="10"/>
  <c r="M207" i="10" a="1"/>
  <c r="D207" i="10"/>
  <c r="M206" i="10"/>
  <c r="P206" i="10"/>
  <c r="M206" i="10" a="1"/>
  <c r="D206" i="10"/>
  <c r="M205" i="10" a="1"/>
  <c r="M205" i="10"/>
  <c r="P205" i="10"/>
  <c r="D205" i="10"/>
  <c r="M204" i="10"/>
  <c r="P204" i="10"/>
  <c r="M204" i="10" a="1"/>
  <c r="D204" i="10"/>
  <c r="M203" i="10" a="1"/>
  <c r="M203" i="10"/>
  <c r="P203" i="10"/>
  <c r="D203" i="10"/>
  <c r="M202" i="10" a="1"/>
  <c r="M202" i="10"/>
  <c r="P202" i="10"/>
  <c r="D202" i="10"/>
  <c r="P201" i="10"/>
  <c r="M201" i="10" a="1"/>
  <c r="M201" i="10"/>
  <c r="D201" i="10"/>
  <c r="M200" i="10" a="1"/>
  <c r="M200" i="10"/>
  <c r="P200" i="10"/>
  <c r="D200" i="10"/>
  <c r="M199" i="10" a="1"/>
  <c r="M199" i="10"/>
  <c r="P199" i="10"/>
  <c r="D199" i="10"/>
  <c r="M198" i="10" a="1"/>
  <c r="M198" i="10"/>
  <c r="P198" i="10"/>
  <c r="D198" i="10"/>
  <c r="P197" i="10"/>
  <c r="M197" i="10"/>
  <c r="M197" i="10" a="1"/>
  <c r="D197" i="10"/>
  <c r="M196" i="10" a="1"/>
  <c r="M196" i="10"/>
  <c r="P196" i="10"/>
  <c r="D196" i="10"/>
  <c r="P195" i="10"/>
  <c r="M195" i="10"/>
  <c r="M195" i="10" a="1"/>
  <c r="D195" i="10"/>
  <c r="M194" i="10"/>
  <c r="P194" i="10"/>
  <c r="M194" i="10" a="1"/>
  <c r="D194" i="10"/>
  <c r="M193" i="10"/>
  <c r="P193" i="10"/>
  <c r="M193" i="10" a="1"/>
  <c r="D193" i="10"/>
  <c r="M192" i="10" a="1"/>
  <c r="M192" i="10"/>
  <c r="P192" i="10"/>
  <c r="D192" i="10"/>
  <c r="M191" i="10"/>
  <c r="P191" i="10"/>
  <c r="M191" i="10" a="1"/>
  <c r="D191" i="10"/>
  <c r="P190" i="10"/>
  <c r="M190" i="10"/>
  <c r="M190" i="10" a="1"/>
  <c r="D190" i="10"/>
  <c r="M189" i="10" a="1"/>
  <c r="M189" i="10"/>
  <c r="P189" i="10"/>
  <c r="D189" i="10"/>
  <c r="M188" i="10"/>
  <c r="P188" i="10"/>
  <c r="M188" i="10" a="1"/>
  <c r="D188" i="10"/>
  <c r="M187" i="10"/>
  <c r="P187" i="10"/>
  <c r="M187" i="10" a="1"/>
  <c r="D187" i="10"/>
  <c r="M186" i="10" a="1"/>
  <c r="M186" i="10"/>
  <c r="P186" i="10"/>
  <c r="D186" i="10"/>
  <c r="M185" i="10" a="1"/>
  <c r="M185" i="10"/>
  <c r="P185" i="10"/>
  <c r="D185" i="10"/>
  <c r="M184" i="10" a="1"/>
  <c r="M184" i="10"/>
  <c r="P184" i="10"/>
  <c r="D184" i="10"/>
  <c r="M183" i="10"/>
  <c r="P183" i="10"/>
  <c r="M183" i="10" a="1"/>
  <c r="D183" i="10"/>
  <c r="M182" i="10"/>
  <c r="P182" i="10"/>
  <c r="M182" i="10" a="1"/>
  <c r="D182" i="10"/>
  <c r="M181" i="10"/>
  <c r="P181" i="10"/>
  <c r="M181" i="10" a="1"/>
  <c r="D181" i="10"/>
  <c r="M180" i="10" a="1"/>
  <c r="M180" i="10"/>
  <c r="P180" i="10"/>
  <c r="D180" i="10"/>
  <c r="P179" i="10"/>
  <c r="M179" i="10"/>
  <c r="M179" i="10" a="1"/>
  <c r="D179" i="10"/>
  <c r="P178" i="10"/>
  <c r="M178" i="10"/>
  <c r="M178" i="10" a="1"/>
  <c r="D178" i="10"/>
  <c r="M177" i="10" a="1"/>
  <c r="M177" i="10"/>
  <c r="P177" i="10"/>
  <c r="D177" i="10"/>
  <c r="P176" i="10"/>
  <c r="M176" i="10"/>
  <c r="M176" i="10" a="1"/>
  <c r="D176" i="10"/>
  <c r="M175" i="10" a="1"/>
  <c r="M175" i="10"/>
  <c r="P175" i="10"/>
  <c r="D175" i="10"/>
  <c r="P174" i="10"/>
  <c r="M174" i="10"/>
  <c r="M174" i="10" a="1"/>
  <c r="D174" i="10"/>
  <c r="M173" i="10" a="1"/>
  <c r="M173" i="10"/>
  <c r="P173" i="10"/>
  <c r="D173" i="10"/>
  <c r="P172" i="10"/>
  <c r="M172" i="10"/>
  <c r="M172" i="10" a="1"/>
  <c r="D172" i="10"/>
  <c r="P171" i="10"/>
  <c r="M171" i="10"/>
  <c r="M171" i="10" a="1"/>
  <c r="D171" i="10"/>
  <c r="M170" i="10" a="1"/>
  <c r="M170" i="10"/>
  <c r="P170" i="10"/>
  <c r="D170" i="10"/>
  <c r="P169" i="10"/>
  <c r="M169" i="10"/>
  <c r="M169" i="10" a="1"/>
  <c r="D169" i="10"/>
  <c r="M168" i="10" a="1"/>
  <c r="M168" i="10"/>
  <c r="P168" i="10"/>
  <c r="D168" i="10"/>
  <c r="M167" i="10" a="1"/>
  <c r="M167" i="10"/>
  <c r="P167" i="10"/>
  <c r="D167" i="10"/>
  <c r="M166" i="10" a="1"/>
  <c r="M166" i="10"/>
  <c r="P166" i="10"/>
  <c r="D166" i="10"/>
  <c r="M165" i="10"/>
  <c r="P165" i="10"/>
  <c r="M165" i="10" a="1"/>
  <c r="D165" i="10"/>
  <c r="M164" i="10" a="1"/>
  <c r="M164" i="10"/>
  <c r="P164" i="10"/>
  <c r="D164" i="10"/>
  <c r="M163" i="10" a="1"/>
  <c r="M163" i="10"/>
  <c r="P163" i="10"/>
  <c r="D163" i="10"/>
  <c r="P162" i="10"/>
  <c r="M162" i="10"/>
  <c r="M162" i="10" a="1"/>
  <c r="D162" i="10"/>
  <c r="P161" i="10"/>
  <c r="M161" i="10"/>
  <c r="M161" i="10" a="1"/>
  <c r="D161" i="10"/>
  <c r="M160" i="10"/>
  <c r="P160" i="10"/>
  <c r="M160" i="10" a="1"/>
  <c r="D160" i="10"/>
  <c r="M159" i="10" a="1"/>
  <c r="M159" i="10"/>
  <c r="P159" i="10"/>
  <c r="D159" i="10"/>
  <c r="P158" i="10"/>
  <c r="M158" i="10"/>
  <c r="M158" i="10" a="1"/>
  <c r="D158" i="10"/>
  <c r="M157" i="10" a="1"/>
  <c r="M157" i="10"/>
  <c r="P157" i="10"/>
  <c r="D157" i="10"/>
  <c r="M156" i="10" a="1"/>
  <c r="M156" i="10"/>
  <c r="P156" i="10"/>
  <c r="D156" i="10"/>
  <c r="M155" i="10"/>
  <c r="P155" i="10"/>
  <c r="M155" i="10" a="1"/>
  <c r="D155" i="10"/>
  <c r="M154" i="10"/>
  <c r="P154" i="10"/>
  <c r="M154" i="10" a="1"/>
  <c r="D154" i="10"/>
  <c r="M153" i="10" a="1"/>
  <c r="M153" i="10"/>
  <c r="P153" i="10"/>
  <c r="D153" i="10"/>
  <c r="P152" i="10"/>
  <c r="M152" i="10"/>
  <c r="M152" i="10" a="1"/>
  <c r="D152" i="10"/>
  <c r="M151" i="10" a="1"/>
  <c r="M151" i="10"/>
  <c r="P151" i="10"/>
  <c r="D151" i="10"/>
  <c r="M150" i="10" a="1"/>
  <c r="M150" i="10"/>
  <c r="P150" i="10"/>
  <c r="D150" i="10"/>
  <c r="M149" i="10" a="1"/>
  <c r="M149" i="10"/>
  <c r="P149" i="10"/>
  <c r="D149" i="10"/>
  <c r="M148" i="10" a="1"/>
  <c r="M148" i="10"/>
  <c r="P148" i="10"/>
  <c r="D148" i="10"/>
  <c r="M147" i="10" a="1"/>
  <c r="M147" i="10"/>
  <c r="P147" i="10"/>
  <c r="D147" i="10"/>
  <c r="P146" i="10"/>
  <c r="M146" i="10"/>
  <c r="M146" i="10" a="1"/>
  <c r="D146" i="10"/>
  <c r="P145" i="10"/>
  <c r="M145" i="10"/>
  <c r="M145" i="10" a="1"/>
  <c r="D145" i="10"/>
  <c r="M144" i="10"/>
  <c r="P144" i="10"/>
  <c r="M144" i="10" a="1"/>
  <c r="D144" i="10"/>
  <c r="M143" i="10" a="1"/>
  <c r="M143" i="10"/>
  <c r="P143" i="10"/>
  <c r="D143" i="10"/>
  <c r="P142" i="10"/>
  <c r="M142" i="10"/>
  <c r="M142" i="10" a="1"/>
  <c r="D142" i="10"/>
  <c r="M141" i="10" a="1"/>
  <c r="M141" i="10"/>
  <c r="P141" i="10"/>
  <c r="D141" i="10"/>
  <c r="M140" i="10" a="1"/>
  <c r="M140" i="10"/>
  <c r="P140" i="10"/>
  <c r="D140" i="10"/>
  <c r="M139" i="10"/>
  <c r="P139" i="10"/>
  <c r="M139" i="10" a="1"/>
  <c r="D139" i="10"/>
  <c r="M138" i="10"/>
  <c r="P138" i="10"/>
  <c r="M138" i="10" a="1"/>
  <c r="D138" i="10"/>
  <c r="M137" i="10" a="1"/>
  <c r="M137" i="10"/>
  <c r="P137" i="10"/>
  <c r="D137" i="10"/>
  <c r="P136" i="10"/>
  <c r="M136" i="10"/>
  <c r="M136" i="10" a="1"/>
  <c r="D136" i="10"/>
  <c r="M135" i="10" a="1"/>
  <c r="M135" i="10"/>
  <c r="P135" i="10"/>
  <c r="D135" i="10"/>
  <c r="M134" i="10" a="1"/>
  <c r="M134" i="10"/>
  <c r="P134" i="10"/>
  <c r="D134" i="10"/>
  <c r="M133" i="10" a="1"/>
  <c r="M133" i="10"/>
  <c r="P133" i="10"/>
  <c r="D133" i="10"/>
  <c r="M132" i="10" a="1"/>
  <c r="M132" i="10"/>
  <c r="P132" i="10"/>
  <c r="D132" i="10"/>
  <c r="M131" i="10" a="1"/>
  <c r="M131" i="10"/>
  <c r="P131" i="10"/>
  <c r="D131" i="10"/>
  <c r="P130" i="10"/>
  <c r="M130" i="10"/>
  <c r="M130" i="10" a="1"/>
  <c r="D130" i="10"/>
  <c r="M129" i="10" a="1"/>
  <c r="M129" i="10"/>
  <c r="P129" i="10"/>
  <c r="D129" i="10"/>
  <c r="M128" i="10"/>
  <c r="P128" i="10"/>
  <c r="M128" i="10" a="1"/>
  <c r="D128" i="10"/>
  <c r="M127" i="10" a="1"/>
  <c r="M127" i="10"/>
  <c r="P127" i="10"/>
  <c r="D127" i="10"/>
  <c r="P126" i="10"/>
  <c r="M126" i="10"/>
  <c r="M126" i="10" a="1"/>
  <c r="D126" i="10"/>
  <c r="M125" i="10" a="1"/>
  <c r="M125" i="10"/>
  <c r="P125" i="10"/>
  <c r="D125" i="10"/>
  <c r="M124" i="10" a="1"/>
  <c r="M124" i="10"/>
  <c r="P124" i="10"/>
  <c r="D124" i="10"/>
  <c r="P123" i="10"/>
  <c r="M123" i="10"/>
  <c r="M123" i="10" a="1"/>
  <c r="D123" i="10"/>
  <c r="M122" i="10"/>
  <c r="P122" i="10"/>
  <c r="M122" i="10" a="1"/>
  <c r="D122" i="10"/>
  <c r="P121" i="10"/>
  <c r="M121" i="10" a="1"/>
  <c r="M121" i="10"/>
  <c r="D121" i="10"/>
  <c r="P120" i="10"/>
  <c r="M120" i="10"/>
  <c r="M120" i="10" a="1"/>
  <c r="D120" i="10"/>
  <c r="M119" i="10" a="1"/>
  <c r="M119" i="10"/>
  <c r="P119" i="10"/>
  <c r="D119" i="10"/>
  <c r="M118" i="10" a="1"/>
  <c r="M118" i="10"/>
  <c r="P118" i="10"/>
  <c r="D118" i="10"/>
  <c r="M117" i="10" a="1"/>
  <c r="M117" i="10"/>
  <c r="P117" i="10"/>
  <c r="D117" i="10"/>
  <c r="M116" i="10" a="1"/>
  <c r="M116" i="10"/>
  <c r="P116" i="10"/>
  <c r="D116" i="10"/>
  <c r="M115" i="10" a="1"/>
  <c r="M115" i="10"/>
  <c r="P115" i="10"/>
  <c r="D115" i="10"/>
  <c r="M114" i="10"/>
  <c r="P114" i="10"/>
  <c r="M114" i="10" a="1"/>
  <c r="D114" i="10"/>
  <c r="M113" i="10" a="1"/>
  <c r="M113" i="10"/>
  <c r="P113" i="10"/>
  <c r="D113" i="10"/>
  <c r="M112" i="10"/>
  <c r="P112" i="10"/>
  <c r="M112" i="10" a="1"/>
  <c r="D112" i="10"/>
  <c r="M111" i="10" a="1"/>
  <c r="M111" i="10"/>
  <c r="P111" i="10"/>
  <c r="D111" i="10"/>
  <c r="P110" i="10"/>
  <c r="M110" i="10"/>
  <c r="M110" i="10" a="1"/>
  <c r="D110" i="10"/>
  <c r="M109" i="10" a="1"/>
  <c r="M109" i="10"/>
  <c r="P109" i="10"/>
  <c r="D109" i="10"/>
  <c r="M108" i="10"/>
  <c r="P108" i="10"/>
  <c r="M108" i="10" a="1"/>
  <c r="D108" i="10"/>
  <c r="M107" i="10" a="1"/>
  <c r="M107" i="10"/>
  <c r="P107" i="10"/>
  <c r="D107" i="10"/>
  <c r="M106" i="10"/>
  <c r="P106" i="10"/>
  <c r="M106" i="10" a="1"/>
  <c r="D106" i="10"/>
  <c r="P105" i="10"/>
  <c r="M105" i="10" a="1"/>
  <c r="M105" i="10"/>
  <c r="D105" i="10"/>
  <c r="P104" i="10"/>
  <c r="M104" i="10"/>
  <c r="M104" i="10" a="1"/>
  <c r="D104" i="10"/>
  <c r="M103" i="10" a="1"/>
  <c r="M103" i="10"/>
  <c r="P103" i="10"/>
  <c r="D103" i="10"/>
  <c r="M102" i="10" a="1"/>
  <c r="M102" i="10"/>
  <c r="P102" i="10"/>
  <c r="D102" i="10"/>
  <c r="M101" i="10" a="1"/>
  <c r="M101" i="10"/>
  <c r="P101" i="10"/>
  <c r="D101" i="10"/>
  <c r="M100" i="10" a="1"/>
  <c r="M100" i="10"/>
  <c r="P100" i="10"/>
  <c r="D100" i="10"/>
  <c r="M99" i="10" a="1"/>
  <c r="M99" i="10"/>
  <c r="P99" i="10"/>
  <c r="D99" i="10"/>
  <c r="M98" i="10"/>
  <c r="P98" i="10"/>
  <c r="M98" i="10" a="1"/>
  <c r="D98" i="10"/>
  <c r="M97" i="10" a="1"/>
  <c r="M97" i="10"/>
  <c r="P97" i="10"/>
  <c r="D97" i="10"/>
  <c r="M96" i="10"/>
  <c r="P96" i="10"/>
  <c r="M96" i="10" a="1"/>
  <c r="D96" i="10"/>
  <c r="M95" i="10" a="1"/>
  <c r="M95" i="10"/>
  <c r="P95" i="10"/>
  <c r="D95" i="10"/>
  <c r="P94" i="10"/>
  <c r="M94" i="10"/>
  <c r="M94" i="10" a="1"/>
  <c r="D94" i="10"/>
  <c r="M93" i="10" a="1"/>
  <c r="M93" i="10"/>
  <c r="P93" i="10"/>
  <c r="D93" i="10"/>
  <c r="M92" i="10"/>
  <c r="P92" i="10"/>
  <c r="M92" i="10" a="1"/>
  <c r="D92" i="10"/>
  <c r="M91" i="10"/>
  <c r="P91" i="10"/>
  <c r="M91" i="10" a="1"/>
  <c r="D91" i="10"/>
  <c r="M90" i="10"/>
  <c r="P90" i="10"/>
  <c r="M90" i="10" a="1"/>
  <c r="D90" i="10"/>
  <c r="M89" i="10" a="1"/>
  <c r="M89" i="10"/>
  <c r="P89" i="10"/>
  <c r="D89" i="10"/>
  <c r="P88" i="10"/>
  <c r="M88" i="10"/>
  <c r="M88" i="10" a="1"/>
  <c r="D88" i="10"/>
  <c r="M87" i="10" a="1"/>
  <c r="M87" i="10"/>
  <c r="P87" i="10"/>
  <c r="D87" i="10"/>
  <c r="M86" i="10" a="1"/>
  <c r="M86" i="10"/>
  <c r="P86" i="10"/>
  <c r="D86" i="10"/>
  <c r="M85" i="10" a="1"/>
  <c r="M85" i="10"/>
  <c r="P85" i="10"/>
  <c r="D85" i="10"/>
  <c r="M84" i="10" a="1"/>
  <c r="M84" i="10"/>
  <c r="P84" i="10"/>
  <c r="D84" i="10"/>
  <c r="M83" i="10" a="1"/>
  <c r="M83" i="10"/>
  <c r="P83" i="10"/>
  <c r="D83" i="10"/>
  <c r="M82" i="10"/>
  <c r="P82" i="10"/>
  <c r="M82" i="10" a="1"/>
  <c r="D82" i="10"/>
  <c r="P81" i="10"/>
  <c r="M81" i="10" a="1"/>
  <c r="M81" i="10"/>
  <c r="D81" i="10"/>
  <c r="M80" i="10" a="1"/>
  <c r="M80" i="10"/>
  <c r="P80" i="10"/>
  <c r="D80" i="10"/>
  <c r="M79" i="10" a="1"/>
  <c r="M79" i="10"/>
  <c r="P79" i="10"/>
  <c r="D79" i="10"/>
  <c r="P78" i="10"/>
  <c r="M78" i="10"/>
  <c r="M78" i="10" a="1"/>
  <c r="D78" i="10"/>
  <c r="M77" i="10" a="1"/>
  <c r="M77" i="10"/>
  <c r="P77" i="10"/>
  <c r="D77" i="10"/>
  <c r="M76" i="10"/>
  <c r="P76" i="10"/>
  <c r="M76" i="10" a="1"/>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AO29" i="10" a="1"/>
  <c r="AO29" i="10"/>
  <c r="D29" i="10"/>
  <c r="AO28" i="10" a="1"/>
  <c r="AO28" i="10"/>
  <c r="D28" i="10"/>
  <c r="AO27" i="10" a="1"/>
  <c r="AO27" i="10"/>
  <c r="D27" i="10"/>
  <c r="AO26" i="10" a="1"/>
  <c r="AO26" i="10"/>
  <c r="D26" i="10"/>
  <c r="AO25" i="10"/>
  <c r="AO25" i="10" a="1"/>
  <c r="D25" i="10"/>
  <c r="AO24" i="10" a="1"/>
  <c r="AO24" i="10"/>
  <c r="D24" i="10"/>
  <c r="AO23" i="10" a="1"/>
  <c r="AO23" i="10"/>
  <c r="D23" i="10"/>
  <c r="AO22" i="10" a="1"/>
  <c r="AO22" i="10"/>
  <c r="D22" i="10"/>
  <c r="AO21" i="10" a="1"/>
  <c r="AO21" i="10"/>
  <c r="D21" i="10"/>
  <c r="AO20" i="10" a="1"/>
  <c r="AO20" i="10"/>
  <c r="D20" i="10"/>
  <c r="AO19" i="10" a="1"/>
  <c r="AO19" i="10"/>
  <c r="D19" i="10"/>
  <c r="AO18" i="10"/>
  <c r="AO18" i="10" a="1"/>
  <c r="D18" i="10"/>
  <c r="AO17" i="10" a="1"/>
  <c r="AO17" i="10"/>
  <c r="D17" i="10"/>
  <c r="AO16" i="10" a="1"/>
  <c r="AO16" i="10"/>
  <c r="M16" i="10"/>
  <c r="P16" i="10"/>
  <c r="D16" i="10"/>
  <c r="AN15" i="10" a="1"/>
  <c r="AN15" i="10"/>
  <c r="D15" i="10"/>
  <c r="D14" i="10"/>
  <c r="D13" i="10"/>
  <c r="S7" i="10"/>
  <c r="S6" i="10"/>
  <c r="S5" i="10"/>
  <c r="I169" i="9"/>
  <c r="K169" i="9"/>
  <c r="L169" i="9"/>
  <c r="I168" i="9"/>
  <c r="I167" i="9"/>
  <c r="I166" i="9"/>
  <c r="I165" i="9"/>
  <c r="I164" i="9"/>
  <c r="K164" i="9"/>
  <c r="L164" i="9"/>
  <c r="I163" i="9"/>
  <c r="K163" i="9"/>
  <c r="L163" i="9"/>
  <c r="I161" i="9"/>
  <c r="K161" i="9"/>
  <c r="L161" i="9"/>
  <c r="I159" i="9"/>
  <c r="I158" i="9"/>
  <c r="K158" i="9"/>
  <c r="L158" i="9"/>
  <c r="I157" i="9"/>
  <c r="J156" i="9"/>
  <c r="I152" i="9"/>
  <c r="I151" i="9"/>
  <c r="K151" i="9"/>
  <c r="L151" i="9"/>
  <c r="I150" i="9"/>
  <c r="I149" i="9"/>
  <c r="I148" i="9"/>
  <c r="K148" i="9"/>
  <c r="L148" i="9"/>
  <c r="I147" i="9"/>
  <c r="K147" i="9"/>
  <c r="L147" i="9"/>
  <c r="I146" i="9"/>
  <c r="K146" i="9"/>
  <c r="L146" i="9"/>
  <c r="I145" i="9"/>
  <c r="J145" i="9"/>
  <c r="I141" i="9"/>
  <c r="J141" i="9"/>
  <c r="I140" i="9"/>
  <c r="K140" i="9"/>
  <c r="L140" i="9"/>
  <c r="I139" i="9"/>
  <c r="K139" i="9"/>
  <c r="L139" i="9"/>
  <c r="I138" i="9"/>
  <c r="J137" i="9"/>
  <c r="I135" i="9"/>
  <c r="I133" i="9"/>
  <c r="K133" i="9"/>
  <c r="L133" i="9"/>
  <c r="I132" i="9"/>
  <c r="I131" i="9"/>
  <c r="I129" i="9"/>
  <c r="K129" i="9"/>
  <c r="L129" i="9"/>
  <c r="I128" i="9"/>
  <c r="J128" i="9"/>
  <c r="I127" i="9"/>
  <c r="I125" i="9"/>
  <c r="I124" i="9"/>
  <c r="I122" i="9"/>
  <c r="I121" i="9"/>
  <c r="K121" i="9"/>
  <c r="L121" i="9"/>
  <c r="I120" i="9"/>
  <c r="K120" i="9"/>
  <c r="L120" i="9"/>
  <c r="I119" i="9"/>
  <c r="I115" i="9"/>
  <c r="K115" i="9"/>
  <c r="L115" i="9"/>
  <c r="I114" i="9"/>
  <c r="I113" i="9"/>
  <c r="J115" i="9"/>
  <c r="I111" i="9"/>
  <c r="K111" i="9"/>
  <c r="L111" i="9"/>
  <c r="I110" i="9"/>
  <c r="J109" i="9"/>
  <c r="I108" i="9"/>
  <c r="K108" i="9"/>
  <c r="L108" i="9"/>
  <c r="I107" i="9"/>
  <c r="J107" i="9"/>
  <c r="I106" i="9"/>
  <c r="K106" i="9"/>
  <c r="L106" i="9"/>
  <c r="I104" i="9"/>
  <c r="J103" i="9"/>
  <c r="I101" i="9"/>
  <c r="K101" i="9"/>
  <c r="L101" i="9"/>
  <c r="I100" i="9"/>
  <c r="I96" i="9"/>
  <c r="K96" i="9"/>
  <c r="L96" i="9"/>
  <c r="I95" i="9"/>
  <c r="J93" i="9"/>
  <c r="I91" i="9"/>
  <c r="K91" i="9"/>
  <c r="L91" i="9"/>
  <c r="I90" i="9"/>
  <c r="J90" i="9"/>
  <c r="I85" i="9"/>
  <c r="J86" i="9"/>
  <c r="I84" i="9"/>
  <c r="K84" i="9"/>
  <c r="L84" i="9"/>
  <c r="I80" i="9"/>
  <c r="J83" i="9"/>
  <c r="I79" i="9"/>
  <c r="K79" i="9"/>
  <c r="L79" i="9"/>
  <c r="I78" i="9"/>
  <c r="I74" i="9"/>
  <c r="K74" i="9"/>
  <c r="L74" i="9"/>
  <c r="I73" i="9"/>
  <c r="I72" i="9"/>
  <c r="I71" i="9"/>
  <c r="K71" i="9"/>
  <c r="L71" i="9"/>
  <c r="I70" i="9"/>
  <c r="K70" i="9"/>
  <c r="L70" i="9"/>
  <c r="I69" i="9"/>
  <c r="I66" i="9"/>
  <c r="I65" i="9"/>
  <c r="I62" i="9"/>
  <c r="J61" i="9"/>
  <c r="I60" i="9"/>
  <c r="K60" i="9"/>
  <c r="L60" i="9"/>
  <c r="I59" i="9"/>
  <c r="K59" i="9"/>
  <c r="L59" i="9"/>
  <c r="I58" i="9"/>
  <c r="I57" i="9"/>
  <c r="I56" i="9"/>
  <c r="I55" i="9"/>
  <c r="I54" i="9"/>
  <c r="K54" i="9"/>
  <c r="L54" i="9"/>
  <c r="I53" i="9"/>
  <c r="I50" i="9"/>
  <c r="I49" i="9"/>
  <c r="I48" i="9"/>
  <c r="I46" i="9"/>
  <c r="K46" i="9"/>
  <c r="L46" i="9"/>
  <c r="I41" i="9"/>
  <c r="J42" i="9"/>
  <c r="J40" i="9"/>
  <c r="I36" i="9"/>
  <c r="K36" i="9"/>
  <c r="L36" i="9"/>
  <c r="I34" i="9"/>
  <c r="K34" i="9"/>
  <c r="L34" i="9"/>
  <c r="I33" i="9"/>
  <c r="I32" i="9"/>
  <c r="I31" i="9"/>
  <c r="I30" i="9"/>
  <c r="K30" i="9"/>
  <c r="L30" i="9"/>
  <c r="I29" i="9"/>
  <c r="I25" i="9"/>
  <c r="K25" i="9"/>
  <c r="L25" i="9"/>
  <c r="I24" i="9"/>
  <c r="I19" i="9"/>
  <c r="I18" i="9"/>
  <c r="I17" i="9"/>
  <c r="I16" i="9"/>
  <c r="I14" i="9"/>
  <c r="J15" i="9"/>
  <c r="I13" i="9"/>
  <c r="K13" i="9"/>
  <c r="L13" i="9"/>
  <c r="I12" i="9"/>
  <c r="I9" i="9"/>
  <c r="K9" i="9"/>
  <c r="L9" i="9"/>
  <c r="I7" i="9"/>
  <c r="I5" i="9"/>
  <c r="J6" i="9"/>
  <c r="I4" i="9"/>
  <c r="I3" i="9"/>
  <c r="K3" i="9"/>
  <c r="L3" i="9"/>
  <c r="L93" i="1"/>
  <c r="M93" i="1"/>
  <c r="M92" i="1"/>
  <c r="L77" i="1"/>
  <c r="L76" i="1"/>
  <c r="L75" i="1"/>
  <c r="L74" i="1"/>
  <c r="D73" i="1"/>
  <c r="D72" i="1"/>
  <c r="D71" i="1"/>
  <c r="D70" i="1"/>
  <c r="I70" i="1"/>
  <c r="D69" i="1"/>
  <c r="D68" i="1"/>
  <c r="D67" i="1"/>
  <c r="I67" i="1"/>
  <c r="D66" i="1"/>
  <c r="D65" i="1"/>
  <c r="G54" i="1"/>
  <c r="H54" i="1"/>
  <c r="G53" i="1"/>
  <c r="H53" i="1"/>
  <c r="G52" i="1"/>
  <c r="H52" i="1"/>
  <c r="G51" i="1"/>
  <c r="H51" i="1"/>
  <c r="G50" i="1"/>
  <c r="H50" i="1"/>
  <c r="G49" i="1"/>
  <c r="H41" i="1"/>
  <c r="G41" i="1"/>
  <c r="G37" i="1"/>
  <c r="H37" i="1"/>
  <c r="G36" i="1"/>
  <c r="H36" i="1"/>
  <c r="G35" i="1"/>
  <c r="H35" i="1"/>
  <c r="G34" i="1"/>
  <c r="H34" i="1"/>
  <c r="G33" i="1"/>
  <c r="H33" i="1"/>
  <c r="G32" i="1"/>
  <c r="H32" i="1"/>
  <c r="F31" i="1"/>
  <c r="G31" i="1"/>
  <c r="H31" i="1"/>
  <c r="F30" i="1"/>
  <c r="G30" i="1"/>
  <c r="H30" i="1"/>
  <c r="F29" i="1"/>
  <c r="G29" i="1"/>
  <c r="H29" i="1"/>
  <c r="G28" i="1"/>
  <c r="H28" i="1"/>
  <c r="G27" i="1"/>
  <c r="H27" i="1"/>
  <c r="G26" i="1"/>
  <c r="H26" i="1"/>
  <c r="G25" i="1"/>
  <c r="H25" i="1"/>
  <c r="G24" i="1"/>
  <c r="H24" i="1"/>
  <c r="G23" i="1"/>
  <c r="H23" i="1"/>
  <c r="G21" i="1"/>
  <c r="H21" i="1"/>
  <c r="G20" i="1"/>
  <c r="H20" i="1"/>
  <c r="G16" i="1"/>
  <c r="H16" i="1"/>
  <c r="F15" i="1"/>
  <c r="G15" i="1"/>
  <c r="H15" i="1"/>
  <c r="F14" i="1"/>
  <c r="G14" i="1"/>
  <c r="H14" i="1"/>
  <c r="G13" i="1"/>
  <c r="H13" i="1"/>
  <c r="G12" i="1"/>
  <c r="H12" i="1"/>
  <c r="N10" i="1"/>
  <c r="M10" i="1"/>
  <c r="C72" i="1"/>
  <c r="G10" i="1"/>
  <c r="H10" i="1"/>
  <c r="M9" i="1"/>
  <c r="N8" i="1"/>
  <c r="M8" i="1"/>
  <c r="J66" i="9"/>
  <c r="J123" i="9"/>
  <c r="J127" i="9"/>
  <c r="J135" i="9"/>
  <c r="J165" i="9"/>
  <c r="J73" i="1"/>
  <c r="J72" i="9"/>
  <c r="J29" i="9"/>
  <c r="J53" i="9"/>
  <c r="J132" i="9"/>
  <c r="J57" i="9"/>
  <c r="K14" i="9"/>
  <c r="L14" i="9"/>
  <c r="J43" i="9"/>
  <c r="J44" i="9"/>
  <c r="J32" i="9"/>
  <c r="J45" i="9"/>
  <c r="C70" i="1"/>
  <c r="E70" i="1"/>
  <c r="C64" i="1"/>
  <c r="C65" i="1"/>
  <c r="E65" i="1"/>
  <c r="C66" i="1"/>
  <c r="E66" i="1"/>
  <c r="C67" i="1"/>
  <c r="E67" i="1"/>
  <c r="J65" i="1"/>
  <c r="C71" i="1"/>
  <c r="E71" i="1"/>
  <c r="J72" i="1"/>
  <c r="C73" i="1"/>
  <c r="G55" i="1"/>
  <c r="H55" i="1"/>
  <c r="C69" i="1"/>
  <c r="E69" i="1"/>
  <c r="E73" i="1"/>
  <c r="I72" i="1"/>
  <c r="E72" i="1"/>
  <c r="J124" i="9"/>
  <c r="K141" i="9"/>
  <c r="L141" i="9"/>
  <c r="J14" i="9"/>
  <c r="J35" i="9"/>
  <c r="K145" i="9"/>
  <c r="L145" i="9"/>
  <c r="K128" i="9"/>
  <c r="L128" i="9"/>
  <c r="J41" i="9"/>
  <c r="J88" i="9"/>
  <c r="J111" i="9"/>
  <c r="J18" i="9"/>
  <c r="K41" i="9"/>
  <c r="L41" i="9"/>
  <c r="J89" i="9"/>
  <c r="J23" i="9"/>
  <c r="J114" i="9"/>
  <c r="J152" i="9"/>
  <c r="J117" i="9"/>
  <c r="J99" i="9"/>
  <c r="J119" i="9"/>
  <c r="J4" i="9"/>
  <c r="J10" i="9"/>
  <c r="J100" i="9"/>
  <c r="J153" i="9"/>
  <c r="J38" i="9"/>
  <c r="J70" i="9"/>
  <c r="J169" i="9"/>
  <c r="J37" i="9"/>
  <c r="J167" i="9"/>
  <c r="J19" i="9"/>
  <c r="J39" i="9"/>
  <c r="J110" i="9"/>
  <c r="J120" i="9"/>
  <c r="J168" i="9"/>
  <c r="J8" i="9"/>
  <c r="J24" i="9"/>
  <c r="J55" i="9"/>
  <c r="J11" i="9"/>
  <c r="J28" i="9"/>
  <c r="J56" i="9"/>
  <c r="J129" i="9"/>
  <c r="J142" i="9"/>
  <c r="J157" i="9"/>
  <c r="J7" i="9"/>
  <c r="J143" i="9"/>
  <c r="J12" i="9"/>
  <c r="J73" i="9"/>
  <c r="J144" i="9"/>
  <c r="J162" i="9"/>
  <c r="J122" i="9"/>
  <c r="J159" i="9"/>
  <c r="J31" i="9"/>
  <c r="J76" i="9"/>
  <c r="J98" i="9"/>
  <c r="J112" i="9"/>
  <c r="K122" i="9"/>
  <c r="L122" i="9"/>
  <c r="J160" i="9"/>
  <c r="J69" i="9"/>
  <c r="J138" i="9"/>
  <c r="J163" i="9"/>
  <c r="J62" i="9"/>
  <c r="J47" i="9"/>
  <c r="K62" i="9"/>
  <c r="L62" i="9"/>
  <c r="J125" i="9"/>
  <c r="J149" i="9"/>
  <c r="J20" i="9"/>
  <c r="J34" i="9"/>
  <c r="K16" i="9"/>
  <c r="L16" i="9"/>
  <c r="J48" i="9"/>
  <c r="J65" i="9"/>
  <c r="J84" i="9"/>
  <c r="J104" i="9"/>
  <c r="K125" i="9"/>
  <c r="L125" i="9"/>
  <c r="J139" i="9"/>
  <c r="J148" i="9"/>
  <c r="J17" i="9"/>
  <c r="J49" i="9"/>
  <c r="J116" i="9"/>
  <c r="J126" i="9"/>
  <c r="K6" i="17"/>
  <c r="K12" i="17"/>
  <c r="K20" i="17"/>
  <c r="K14" i="17"/>
  <c r="K15" i="17"/>
  <c r="K2" i="17"/>
  <c r="K9" i="17"/>
  <c r="K16" i="17"/>
  <c r="M46" i="10" a="1"/>
  <c r="M46" i="10"/>
  <c r="P46" i="10"/>
  <c r="M62" i="10" a="1"/>
  <c r="M62" i="10"/>
  <c r="P62" i="10"/>
  <c r="M28" i="10" a="1"/>
  <c r="M28" i="10"/>
  <c r="P28" i="10"/>
  <c r="AO15" i="10" a="1"/>
  <c r="AO15" i="10"/>
  <c r="M44" i="10" a="1"/>
  <c r="M44" i="10"/>
  <c r="P44" i="10"/>
  <c r="J77" i="9"/>
  <c r="J94" i="9"/>
  <c r="J9" i="9"/>
  <c r="J25" i="9"/>
  <c r="J63" i="9"/>
  <c r="J85" i="9"/>
  <c r="J118" i="9"/>
  <c r="J158" i="9"/>
  <c r="J164" i="9"/>
  <c r="K32" i="9"/>
  <c r="L32" i="9"/>
  <c r="J78" i="9"/>
  <c r="J95" i="9"/>
  <c r="J105" i="9"/>
  <c r="K110" i="9"/>
  <c r="L110" i="9"/>
  <c r="K138" i="9"/>
  <c r="L138" i="9"/>
  <c r="J16" i="9"/>
  <c r="J64" i="9"/>
  <c r="J71" i="9"/>
  <c r="J79" i="9"/>
  <c r="K85" i="9"/>
  <c r="L85" i="9"/>
  <c r="J96" i="9"/>
  <c r="J106" i="9"/>
  <c r="J3" i="9"/>
  <c r="J33" i="9"/>
  <c r="J50" i="9"/>
  <c r="J58" i="9"/>
  <c r="J131" i="9"/>
  <c r="J27" i="9"/>
  <c r="J51" i="9"/>
  <c r="J150" i="9"/>
  <c r="J146" i="9"/>
  <c r="J151" i="9"/>
  <c r="K66" i="9"/>
  <c r="L66" i="9"/>
  <c r="K107" i="9"/>
  <c r="L107" i="9"/>
  <c r="J133" i="9"/>
  <c r="J140" i="9"/>
  <c r="J161" i="9"/>
  <c r="J52" i="9"/>
  <c r="J80" i="9"/>
  <c r="K80" i="9"/>
  <c r="L80" i="9"/>
  <c r="J113" i="9"/>
  <c r="J5" i="9"/>
  <c r="J13" i="9"/>
  <c r="J30" i="9"/>
  <c r="J54" i="9"/>
  <c r="J60" i="9"/>
  <c r="J67" i="9"/>
  <c r="J81" i="9"/>
  <c r="J121" i="9"/>
  <c r="K5" i="9"/>
  <c r="L5" i="9"/>
  <c r="J36" i="9"/>
  <c r="J46" i="9"/>
  <c r="J68" i="9"/>
  <c r="J74" i="9"/>
  <c r="J82" i="9"/>
  <c r="J91" i="9"/>
  <c r="J101" i="9"/>
  <c r="J108" i="9"/>
  <c r="J147" i="9"/>
  <c r="J166" i="9"/>
  <c r="J22" i="9"/>
  <c r="J136" i="9"/>
  <c r="J155" i="9"/>
  <c r="Q13" i="10" a="1"/>
  <c r="Q13" i="10"/>
  <c r="J59" i="9"/>
  <c r="U4" i="11"/>
  <c r="U2" i="11"/>
  <c r="N7" i="11"/>
  <c r="U21" i="11"/>
  <c r="H21" i="11"/>
  <c r="N8" i="11"/>
  <c r="T12" i="11"/>
  <c r="AC17" i="11"/>
  <c r="AD17" i="11"/>
  <c r="AD21" i="11"/>
  <c r="B4" i="15"/>
  <c r="K18" i="12"/>
  <c r="K20" i="12" s="1"/>
  <c r="U3" i="11"/>
  <c r="I68" i="1"/>
  <c r="J68" i="1"/>
  <c r="J66" i="1"/>
  <c r="I66" i="1"/>
  <c r="I69" i="1"/>
  <c r="I71" i="1"/>
  <c r="I65" i="1"/>
  <c r="L65" i="1"/>
  <c r="J67" i="1"/>
  <c r="L67" i="1"/>
  <c r="J71" i="1"/>
  <c r="I73" i="1"/>
  <c r="L73" i="1"/>
  <c r="C68" i="1"/>
  <c r="E68" i="1"/>
  <c r="H49" i="1"/>
  <c r="J70" i="1"/>
  <c r="L70" i="1"/>
  <c r="J69" i="1"/>
  <c r="L69" i="1"/>
  <c r="L72" i="1"/>
  <c r="G56" i="1"/>
  <c r="H56" i="1"/>
  <c r="L170" i="9"/>
  <c r="L71" i="1"/>
  <c r="L66" i="1"/>
  <c r="M55" i="10" a="1"/>
  <c r="M55" i="10"/>
  <c r="P55" i="10"/>
  <c r="M35" i="10" a="1"/>
  <c r="M35" i="10"/>
  <c r="P35" i="10"/>
  <c r="M13" i="10" a="1"/>
  <c r="M13" i="10"/>
  <c r="P13" i="10"/>
  <c r="M48" i="10" a="1"/>
  <c r="M48" i="10"/>
  <c r="P48" i="10"/>
  <c r="S13" i="10"/>
  <c r="T13" i="10"/>
  <c r="R13" i="10"/>
  <c r="M29" i="10" a="1"/>
  <c r="M29" i="10"/>
  <c r="P29" i="10"/>
  <c r="M37" i="10" a="1"/>
  <c r="M37" i="10"/>
  <c r="P37" i="10"/>
  <c r="M15" i="10" a="1"/>
  <c r="M15" i="10"/>
  <c r="P15" i="10"/>
  <c r="M60" i="10" a="1"/>
  <c r="M60" i="10"/>
  <c r="P60" i="10"/>
  <c r="M63" i="10" a="1"/>
  <c r="M63" i="10"/>
  <c r="P63" i="10"/>
  <c r="M39" i="10" a="1"/>
  <c r="M39" i="10"/>
  <c r="P39" i="10"/>
  <c r="M27" i="10" a="1"/>
  <c r="M27" i="10"/>
  <c r="P27" i="10"/>
  <c r="M64" i="10" a="1"/>
  <c r="M64" i="10"/>
  <c r="P64" i="10"/>
  <c r="M14" i="10" a="1"/>
  <c r="M14" i="10"/>
  <c r="P14" i="10"/>
  <c r="M41" i="10" a="1"/>
  <c r="M41" i="10"/>
  <c r="P41" i="10"/>
  <c r="M30" i="10" a="1"/>
  <c r="M30" i="10"/>
  <c r="P30" i="10"/>
  <c r="M57" i="10" a="1"/>
  <c r="M57" i="10"/>
  <c r="P57" i="10"/>
  <c r="M17" i="10" a="1"/>
  <c r="M17" i="10"/>
  <c r="P17" i="10"/>
  <c r="M43" i="10" a="1"/>
  <c r="M43" i="10"/>
  <c r="P43" i="10"/>
  <c r="M65" i="10" a="1"/>
  <c r="M65" i="10"/>
  <c r="P65" i="10"/>
  <c r="M73" i="10" a="1"/>
  <c r="M73" i="10"/>
  <c r="P73" i="10"/>
  <c r="M23" i="10" a="1"/>
  <c r="M23" i="10"/>
  <c r="P23" i="10"/>
  <c r="M45" i="10" a="1"/>
  <c r="M45" i="10"/>
  <c r="P45" i="10"/>
  <c r="M24" i="10" a="1"/>
  <c r="M24" i="10"/>
  <c r="P24" i="10"/>
  <c r="M26" i="10" a="1"/>
  <c r="M26" i="10"/>
  <c r="P26" i="10"/>
  <c r="U7" i="11"/>
  <c r="U5" i="11"/>
  <c r="U6" i="11"/>
  <c r="N9" i="11"/>
  <c r="M53" i="10" a="1"/>
  <c r="M53" i="10"/>
  <c r="P53" i="10"/>
  <c r="M47" i="10" a="1"/>
  <c r="M47" i="10"/>
  <c r="P47" i="10"/>
  <c r="M32" i="10" a="1"/>
  <c r="M32" i="10"/>
  <c r="P32" i="10"/>
  <c r="M34" i="10" a="1"/>
  <c r="M34" i="10"/>
  <c r="P34" i="10"/>
  <c r="Q14" i="10" a="1"/>
  <c r="Q14" i="10"/>
  <c r="Q15" i="10" a="1"/>
  <c r="Q15" i="10"/>
  <c r="M58" i="10" a="1"/>
  <c r="M58" i="10"/>
  <c r="P58" i="10"/>
  <c r="M49" i="10" a="1"/>
  <c r="M49" i="10"/>
  <c r="P49" i="10"/>
  <c r="M42" i="10" a="1"/>
  <c r="M42" i="10"/>
  <c r="P42" i="10"/>
  <c r="M50" i="10" a="1"/>
  <c r="M50" i="10"/>
  <c r="P50" i="10"/>
  <c r="M69" i="10" a="1"/>
  <c r="M69" i="10"/>
  <c r="P69" i="10"/>
  <c r="M67" i="10" a="1"/>
  <c r="M67" i="10"/>
  <c r="P67" i="10"/>
  <c r="M68" i="10" a="1"/>
  <c r="M68" i="10"/>
  <c r="P68" i="10"/>
  <c r="M66" i="10" a="1"/>
  <c r="M66" i="10"/>
  <c r="P66" i="10"/>
  <c r="M20" i="10" a="1"/>
  <c r="M20" i="10"/>
  <c r="P20" i="10"/>
  <c r="M19" i="10" a="1"/>
  <c r="M19" i="10"/>
  <c r="P19" i="10"/>
  <c r="M71" i="10" a="1"/>
  <c r="M71" i="10"/>
  <c r="P71" i="10"/>
  <c r="M70" i="10" a="1"/>
  <c r="M70" i="10"/>
  <c r="P70" i="10"/>
  <c r="M31" i="10" a="1"/>
  <c r="M31" i="10"/>
  <c r="P31" i="10"/>
  <c r="M54" i="10" a="1"/>
  <c r="M54" i="10"/>
  <c r="P54" i="10"/>
  <c r="M18" i="10" a="1"/>
  <c r="M18" i="10"/>
  <c r="P18" i="10"/>
  <c r="M40" i="10" a="1"/>
  <c r="M40" i="10"/>
  <c r="P40" i="10"/>
  <c r="M33" i="10" a="1"/>
  <c r="M33" i="10"/>
  <c r="P33" i="10"/>
  <c r="M59" i="10" a="1"/>
  <c r="M59" i="10"/>
  <c r="P59" i="10"/>
  <c r="M21" i="10" a="1"/>
  <c r="M21" i="10"/>
  <c r="P21" i="10"/>
  <c r="M56" i="10" a="1"/>
  <c r="M56" i="10"/>
  <c r="P56" i="10"/>
  <c r="M51" i="10" a="1"/>
  <c r="M51" i="10"/>
  <c r="P51" i="10"/>
  <c r="M25" i="10" a="1"/>
  <c r="M25" i="10"/>
  <c r="P25" i="10"/>
  <c r="M36" i="10" a="1"/>
  <c r="M36" i="10"/>
  <c r="P36" i="10"/>
  <c r="M72" i="10" a="1"/>
  <c r="M72" i="10"/>
  <c r="P72" i="10"/>
  <c r="M61" i="10" a="1"/>
  <c r="M61" i="10"/>
  <c r="P61" i="10"/>
  <c r="M22" i="10" a="1"/>
  <c r="M22" i="10"/>
  <c r="P22" i="10"/>
  <c r="M38" i="10" a="1"/>
  <c r="M38" i="10"/>
  <c r="P38" i="10"/>
  <c r="M52" i="10" a="1"/>
  <c r="M52" i="10"/>
  <c r="P52" i="10"/>
  <c r="L68" i="1"/>
  <c r="G57" i="1"/>
  <c r="H57" i="1"/>
  <c r="R14" i="10"/>
  <c r="T14" i="10"/>
  <c r="S14" i="10"/>
  <c r="Q16" i="10" a="1"/>
  <c r="Q16" i="10"/>
  <c r="P11" i="10"/>
  <c r="T15" i="10"/>
  <c r="R15" i="10"/>
  <c r="S15" i="10"/>
  <c r="Q17" i="10" a="1"/>
  <c r="Q17" i="10"/>
  <c r="Q18" i="10" a="1"/>
  <c r="Q18" i="10"/>
  <c r="S16" i="10"/>
  <c r="R16" i="10"/>
  <c r="T16" i="10"/>
  <c r="T18" i="10"/>
  <c r="S18" i="10"/>
  <c r="R18" i="10"/>
  <c r="S17" i="10"/>
  <c r="T17" i="10"/>
  <c r="R17" i="10"/>
  <c r="Q19" i="10" a="1"/>
  <c r="Q19" i="10"/>
  <c r="R19" i="10"/>
  <c r="S19" i="10"/>
  <c r="Q20" i="10" a="1"/>
  <c r="Q20" i="10"/>
  <c r="T19" i="10"/>
  <c r="R20" i="10"/>
  <c r="T20" i="10"/>
  <c r="S20" i="10"/>
  <c r="Q21" i="10" a="1"/>
  <c r="Q21" i="10"/>
  <c r="Q22" i="10" a="1"/>
  <c r="Q22" i="10"/>
  <c r="S22" i="10"/>
  <c r="R22" i="10"/>
  <c r="T22" i="10"/>
  <c r="T21" i="10"/>
  <c r="S21" i="10"/>
  <c r="R21" i="10"/>
  <c r="Q23" i="10" a="1"/>
  <c r="Q23" i="10"/>
  <c r="S23" i="10"/>
  <c r="T23" i="10"/>
  <c r="R23" i="10"/>
  <c r="Q24" i="10" a="1"/>
  <c r="Q24" i="10"/>
  <c r="S24" i="10"/>
  <c r="T24" i="10"/>
  <c r="R24" i="10"/>
  <c r="Q25" i="10" a="1"/>
  <c r="Q25" i="10"/>
  <c r="Q26" i="10" a="1"/>
  <c r="Q26" i="10"/>
  <c r="T26" i="10"/>
  <c r="S26" i="10"/>
  <c r="R26" i="10"/>
  <c r="T25" i="10"/>
  <c r="S25" i="10"/>
  <c r="R25" i="10"/>
  <c r="Q27" i="10" a="1"/>
  <c r="Q27" i="10"/>
  <c r="R27" i="10"/>
  <c r="T27" i="10"/>
  <c r="S27" i="10"/>
  <c r="Q28" i="10" a="1"/>
  <c r="Q28" i="10"/>
  <c r="S28" i="10"/>
  <c r="R28" i="10"/>
  <c r="T28" i="10"/>
  <c r="Q29" i="10" a="1"/>
  <c r="Q29" i="10"/>
  <c r="S29" i="10"/>
  <c r="T29" i="10"/>
  <c r="R29" i="10"/>
  <c r="Q30" i="10" a="1"/>
  <c r="Q30" i="10"/>
  <c r="R30" i="10"/>
  <c r="T30" i="10"/>
  <c r="S30" i="10"/>
  <c r="Q31" i="10" a="1"/>
  <c r="Q31" i="10"/>
  <c r="T31" i="10"/>
  <c r="S31" i="10"/>
  <c r="R31" i="10"/>
  <c r="Q32" i="10" a="1"/>
  <c r="Q32" i="10"/>
  <c r="R32" i="10"/>
  <c r="T32" i="10"/>
  <c r="S32" i="10"/>
  <c r="Q33" i="10" a="1"/>
  <c r="Q33" i="10"/>
  <c r="R33" i="10"/>
  <c r="T33" i="10"/>
  <c r="S33" i="10"/>
  <c r="Q34" i="10" a="1"/>
  <c r="Q34" i="10"/>
  <c r="S34" i="10"/>
  <c r="T34" i="10"/>
  <c r="R34" i="10"/>
  <c r="Q35" i="10" a="1"/>
  <c r="Q35" i="10"/>
  <c r="T35" i="10"/>
  <c r="R35" i="10"/>
  <c r="S35" i="10"/>
  <c r="Q36" i="10" a="1"/>
  <c r="Q36" i="10"/>
  <c r="T36" i="10"/>
  <c r="S36" i="10"/>
  <c r="R36" i="10"/>
  <c r="Q37" i="10" a="1"/>
  <c r="Q37" i="10"/>
  <c r="R37" i="10"/>
  <c r="T37" i="10"/>
  <c r="S37" i="10"/>
  <c r="Q38" i="10" a="1"/>
  <c r="Q38" i="10"/>
  <c r="T38" i="10"/>
  <c r="S38" i="10"/>
  <c r="R38" i="10"/>
  <c r="Q39" i="10" a="1"/>
  <c r="Q39" i="10"/>
  <c r="T39" i="10"/>
  <c r="S39" i="10"/>
  <c r="R39" i="10"/>
  <c r="Q40" i="10" a="1"/>
  <c r="Q40" i="10"/>
  <c r="T40" i="10"/>
  <c r="S40" i="10"/>
  <c r="R40" i="10"/>
  <c r="Q41" i="10" a="1"/>
  <c r="Q41" i="10"/>
  <c r="Q42" i="10" a="1"/>
  <c r="Q42" i="10"/>
  <c r="T42" i="10"/>
  <c r="S42" i="10"/>
  <c r="R42" i="10"/>
  <c r="R41" i="10"/>
  <c r="T41" i="10"/>
  <c r="S41" i="10"/>
  <c r="Q43" i="10" a="1"/>
  <c r="Q43" i="10"/>
  <c r="R43" i="10"/>
  <c r="S43" i="10"/>
  <c r="T43" i="10"/>
  <c r="Q44" i="10" a="1"/>
  <c r="Q44" i="10"/>
  <c r="S44" i="10"/>
  <c r="Q45" i="10" a="1"/>
  <c r="Q45" i="10"/>
  <c r="R45" i="10"/>
  <c r="R44" i="10"/>
  <c r="T44" i="10"/>
  <c r="T45" i="10"/>
  <c r="S45" i="10"/>
  <c r="Q46" i="10" a="1"/>
  <c r="Q46" i="10"/>
  <c r="S46" i="10"/>
  <c r="Q47" i="10" a="1"/>
  <c r="Q47" i="10"/>
  <c r="T47" i="10"/>
  <c r="R46" i="10"/>
  <c r="T46" i="10"/>
  <c r="Q48" i="10" a="1"/>
  <c r="Q48" i="10"/>
  <c r="S48" i="10"/>
  <c r="R47" i="10"/>
  <c r="S47" i="10"/>
  <c r="R48" i="10"/>
  <c r="T48" i="10"/>
  <c r="Q49" i="10" a="1"/>
  <c r="Q49" i="10"/>
  <c r="S49" i="10"/>
  <c r="R49" i="10"/>
  <c r="T49" i="10"/>
  <c r="Q50" i="10" a="1"/>
  <c r="Q50" i="10"/>
  <c r="S50" i="10"/>
  <c r="R50" i="10"/>
  <c r="T50" i="10"/>
  <c r="Q51" i="10" a="1"/>
  <c r="Q51" i="10"/>
  <c r="T51" i="10"/>
  <c r="R51" i="10"/>
  <c r="S51" i="10"/>
  <c r="Q52" i="10" a="1"/>
  <c r="Q52" i="10"/>
  <c r="S52" i="10"/>
  <c r="R52" i="10"/>
  <c r="T52" i="10"/>
  <c r="Q53" i="10" a="1"/>
  <c r="Q53" i="10"/>
  <c r="R53" i="10"/>
  <c r="Q54" i="10" a="1"/>
  <c r="Q54" i="10"/>
  <c r="T54" i="10"/>
  <c r="S53" i="10"/>
  <c r="T53" i="10"/>
  <c r="R54" i="10"/>
  <c r="S54" i="10"/>
  <c r="Q55" i="10" a="1"/>
  <c r="Q55" i="10"/>
  <c r="T55" i="10"/>
  <c r="Q56" i="10" a="1"/>
  <c r="Q56" i="10"/>
  <c r="T56" i="10"/>
  <c r="S55" i="10"/>
  <c r="R55" i="10"/>
  <c r="Q57" i="10" a="1"/>
  <c r="Q57" i="10"/>
  <c r="T57" i="10"/>
  <c r="R56" i="10"/>
  <c r="S56" i="10"/>
  <c r="S57" i="10"/>
  <c r="Q58" i="10" a="1"/>
  <c r="Q58" i="10"/>
  <c r="T58" i="10"/>
  <c r="R57" i="10"/>
  <c r="Q59" i="10" a="1"/>
  <c r="Q59" i="10"/>
  <c r="R59" i="10"/>
  <c r="S58" i="10"/>
  <c r="R58" i="10"/>
  <c r="Q60" i="10" a="1"/>
  <c r="Q60" i="10"/>
  <c r="R60" i="10"/>
  <c r="S59" i="10"/>
  <c r="T59" i="10"/>
  <c r="T60" i="10"/>
  <c r="S60" i="10"/>
  <c r="Q61" i="10" a="1"/>
  <c r="Q61" i="10"/>
  <c r="R61" i="10"/>
  <c r="S61" i="10"/>
  <c r="Q62" i="10" a="1"/>
  <c r="Q62" i="10"/>
  <c r="S62" i="10"/>
  <c r="T61" i="10"/>
  <c r="T62" i="10"/>
  <c r="Q63" i="10" a="1"/>
  <c r="Q63" i="10"/>
  <c r="R63" i="10"/>
  <c r="R62" i="10"/>
  <c r="Q64" i="10" a="1"/>
  <c r="Q64" i="10"/>
  <c r="S64" i="10"/>
  <c r="T63" i="10"/>
  <c r="S63" i="10"/>
  <c r="R64" i="10"/>
  <c r="T64" i="10"/>
  <c r="Q65" i="10" a="1"/>
  <c r="Q65" i="10"/>
  <c r="T65" i="10"/>
  <c r="Q66" i="10" a="1"/>
  <c r="Q66" i="10"/>
  <c r="S66" i="10"/>
  <c r="R65" i="10"/>
  <c r="S65" i="10"/>
  <c r="Q67" i="10" a="1"/>
  <c r="Q67" i="10"/>
  <c r="T67" i="10"/>
  <c r="R66" i="10"/>
  <c r="T66" i="10"/>
  <c r="Q68" i="10" a="1"/>
  <c r="Q68" i="10"/>
  <c r="T68" i="10"/>
  <c r="R67" i="10"/>
  <c r="S67" i="10"/>
  <c r="Q69" i="10" a="1"/>
  <c r="Q69" i="10"/>
  <c r="S69" i="10"/>
  <c r="R68" i="10"/>
  <c r="S68" i="10"/>
  <c r="Q70" i="10" a="1"/>
  <c r="Q70" i="10"/>
  <c r="S70" i="10"/>
  <c r="T69" i="10"/>
  <c r="R69" i="10"/>
  <c r="Q71" i="10" a="1"/>
  <c r="Q71" i="10"/>
  <c r="T71" i="10"/>
  <c r="R70" i="10"/>
  <c r="T70" i="10"/>
  <c r="Q72" i="10" a="1"/>
  <c r="Q72" i="10"/>
  <c r="T72" i="10"/>
  <c r="S71" i="10"/>
  <c r="R71" i="10"/>
  <c r="Q73" i="10" a="1"/>
  <c r="Q73" i="10"/>
  <c r="T73" i="10"/>
  <c r="R72" i="10"/>
  <c r="S72" i="10"/>
  <c r="Q74" i="10" a="1"/>
  <c r="Q74" i="10"/>
  <c r="R74" i="10"/>
  <c r="R73" i="10"/>
  <c r="S73" i="10"/>
  <c r="Q75" i="10" a="1"/>
  <c r="Q75" i="10"/>
  <c r="T75" i="10"/>
  <c r="S74" i="10"/>
  <c r="T74" i="10"/>
  <c r="Q76" i="10" a="1"/>
  <c r="Q76" i="10"/>
  <c r="S76" i="10"/>
  <c r="R75" i="10"/>
  <c r="S75" i="10"/>
  <c r="Q77" i="10" a="1"/>
  <c r="Q77" i="10"/>
  <c r="T77" i="10"/>
  <c r="R76" i="10"/>
  <c r="T76" i="10"/>
  <c r="Q78" i="10" a="1"/>
  <c r="Q78" i="10"/>
  <c r="R78" i="10"/>
  <c r="S77" i="10"/>
  <c r="R77" i="10"/>
  <c r="Q79" i="10" a="1"/>
  <c r="Q79" i="10"/>
  <c r="T79" i="10"/>
  <c r="S78" i="10"/>
  <c r="T78" i="10"/>
  <c r="Q80" i="10" a="1"/>
  <c r="Q80" i="10"/>
  <c r="R80" i="10"/>
  <c r="R79" i="10"/>
  <c r="S79" i="10"/>
  <c r="Q81" i="10" a="1"/>
  <c r="Q81" i="10"/>
  <c r="T81" i="10"/>
  <c r="T80" i="10"/>
  <c r="S80" i="10"/>
  <c r="S81" i="10"/>
  <c r="R81" i="10"/>
  <c r="Q82" i="10" a="1"/>
  <c r="Q82" i="10"/>
  <c r="T82" i="10"/>
  <c r="R82" i="10"/>
  <c r="Q83" i="10" a="1"/>
  <c r="Q83" i="10"/>
  <c r="T83" i="10"/>
  <c r="S82" i="10"/>
  <c r="S83" i="10"/>
  <c r="Q84" i="10" a="1"/>
  <c r="Q84" i="10"/>
  <c r="S84" i="10"/>
  <c r="R83" i="10"/>
  <c r="Q85" i="10" a="1"/>
  <c r="Q85" i="10"/>
  <c r="R85" i="10"/>
  <c r="T84" i="10"/>
  <c r="R84" i="10"/>
  <c r="S85" i="10"/>
  <c r="Q86" i="10" a="1"/>
  <c r="Q86" i="10"/>
  <c r="T86" i="10"/>
  <c r="T85" i="10"/>
  <c r="Q87" i="10" a="1"/>
  <c r="Q87" i="10"/>
  <c r="T87" i="10"/>
  <c r="R86" i="10"/>
  <c r="S86" i="10"/>
  <c r="S87" i="10"/>
  <c r="Q88" i="10" a="1"/>
  <c r="Q88" i="10"/>
  <c r="S88" i="10"/>
  <c r="R87" i="10"/>
  <c r="Q89" i="10" a="1"/>
  <c r="Q89" i="10"/>
  <c r="T89" i="10"/>
  <c r="T88" i="10"/>
  <c r="R88" i="10"/>
  <c r="Q90" i="10" a="1"/>
  <c r="Q90" i="10"/>
  <c r="T90" i="10"/>
  <c r="R89" i="10"/>
  <c r="S89" i="10"/>
  <c r="R90" i="10"/>
  <c r="S90" i="10"/>
  <c r="Q91" i="10" a="1"/>
  <c r="Q91" i="10"/>
  <c r="T91" i="10"/>
  <c r="Q92" i="10" a="1"/>
  <c r="Q92" i="10"/>
  <c r="S92" i="10"/>
  <c r="R91" i="10"/>
  <c r="S91" i="10"/>
  <c r="Q93" i="10" a="1"/>
  <c r="Q93" i="10"/>
  <c r="T93" i="10"/>
  <c r="R92" i="10"/>
  <c r="T92" i="10"/>
  <c r="Q94" i="10" a="1"/>
  <c r="Q94" i="10"/>
  <c r="S94" i="10"/>
  <c r="S93" i="10"/>
  <c r="R93" i="10"/>
  <c r="Q95" i="10" a="1"/>
  <c r="Q95" i="10"/>
  <c r="T95" i="10"/>
  <c r="T94" i="10"/>
  <c r="R94" i="10"/>
  <c r="Q96" i="10" a="1"/>
  <c r="Q96" i="10"/>
  <c r="T96" i="10"/>
  <c r="R95" i="10"/>
  <c r="S95" i="10"/>
  <c r="Q97" i="10" a="1"/>
  <c r="Q97" i="10"/>
  <c r="T97" i="10"/>
  <c r="R96" i="10"/>
  <c r="S96" i="10"/>
  <c r="Q98" i="10" a="1"/>
  <c r="Q98" i="10"/>
  <c r="T98" i="10"/>
  <c r="R97" i="10"/>
  <c r="S97" i="10"/>
  <c r="Q99" i="10" a="1"/>
  <c r="Q99" i="10"/>
  <c r="R99" i="10"/>
  <c r="R98" i="10"/>
  <c r="S98" i="10"/>
  <c r="Q100" i="10" a="1"/>
  <c r="Q100" i="10"/>
  <c r="S100" i="10"/>
  <c r="S99" i="10"/>
  <c r="T99" i="10"/>
  <c r="R100" i="10"/>
  <c r="Q101" i="10" a="1"/>
  <c r="Q101" i="10"/>
  <c r="R101" i="10"/>
  <c r="T100" i="10"/>
  <c r="Q102" i="10" a="1"/>
  <c r="Q102" i="10"/>
  <c r="T102" i="10"/>
  <c r="S101" i="10"/>
  <c r="T101" i="10"/>
  <c r="Q103" i="10" a="1"/>
  <c r="Q103" i="10"/>
  <c r="Q104" i="10" a="1"/>
  <c r="Q104" i="10"/>
  <c r="R102" i="10"/>
  <c r="S102" i="10"/>
  <c r="R103" i="10"/>
  <c r="S103" i="10"/>
  <c r="T103" i="10"/>
  <c r="T104" i="10"/>
  <c r="S104" i="10"/>
  <c r="R104" i="10"/>
  <c r="Q105" i="10" a="1"/>
  <c r="Q105" i="10"/>
  <c r="T105" i="10"/>
  <c r="S105" i="10"/>
  <c r="R105" i="10"/>
  <c r="Q106" i="10" a="1"/>
  <c r="Q106" i="10"/>
  <c r="S106" i="10"/>
  <c r="R106" i="10"/>
  <c r="T106" i="10"/>
  <c r="Q107" i="10" a="1"/>
  <c r="Q107" i="10"/>
  <c r="T107" i="10"/>
  <c r="S107" i="10"/>
  <c r="R107" i="10"/>
  <c r="Q108" i="10" a="1"/>
  <c r="Q108" i="10"/>
  <c r="S108" i="10"/>
  <c r="T108" i="10"/>
  <c r="R108" i="10"/>
  <c r="Q109" i="10" a="1"/>
  <c r="Q109" i="10"/>
  <c r="T109" i="10"/>
  <c r="R109" i="10"/>
  <c r="S109" i="10"/>
  <c r="Q110" i="10" a="1"/>
  <c r="Q110" i="10"/>
  <c r="T110" i="10"/>
  <c r="S110" i="10"/>
  <c r="R110" i="10"/>
  <c r="Q111" i="10" a="1"/>
  <c r="Q111" i="10"/>
  <c r="T111" i="10"/>
  <c r="S111" i="10"/>
  <c r="R111" i="10"/>
  <c r="Q112" i="10" a="1"/>
  <c r="Q112" i="10"/>
  <c r="T112" i="10"/>
  <c r="S112" i="10"/>
  <c r="R112" i="10"/>
  <c r="Q113" i="10" a="1"/>
  <c r="Q113" i="10"/>
  <c r="T113" i="10"/>
  <c r="S113" i="10"/>
  <c r="R113" i="10"/>
  <c r="Q114" i="10" a="1"/>
  <c r="Q114" i="10"/>
  <c r="T114" i="10"/>
  <c r="S114" i="10"/>
  <c r="R114" i="10"/>
  <c r="Q115" i="10" a="1"/>
  <c r="Q115" i="10"/>
  <c r="R115" i="10"/>
  <c r="T115" i="10"/>
  <c r="S115" i="10"/>
  <c r="Q116" i="10" a="1"/>
  <c r="Q116" i="10"/>
  <c r="S116" i="10"/>
  <c r="R116" i="10"/>
  <c r="T116" i="10"/>
  <c r="Q117" i="10" a="1"/>
  <c r="Q117" i="10"/>
  <c r="R117" i="10"/>
  <c r="T117" i="10"/>
  <c r="S117" i="10"/>
  <c r="Q118" i="10" a="1"/>
  <c r="Q118" i="10"/>
  <c r="T118" i="10"/>
  <c r="S118" i="10"/>
  <c r="R118" i="10"/>
  <c r="Q119" i="10" a="1"/>
  <c r="Q119" i="10"/>
  <c r="T119" i="10"/>
  <c r="S119" i="10"/>
  <c r="R119" i="10"/>
  <c r="Q120" i="10" a="1"/>
  <c r="Q120" i="10"/>
  <c r="T120" i="10"/>
  <c r="S120" i="10"/>
  <c r="R120" i="10"/>
  <c r="Q121" i="10" a="1"/>
  <c r="Q121" i="10"/>
  <c r="T121" i="10"/>
  <c r="S121" i="10"/>
  <c r="R121" i="10"/>
  <c r="Q122" i="10" a="1"/>
  <c r="Q122" i="10"/>
  <c r="S122" i="10"/>
  <c r="R122" i="10"/>
  <c r="T122" i="10"/>
  <c r="Q123" i="10" a="1"/>
  <c r="Q123" i="10"/>
  <c r="T123" i="10"/>
  <c r="S123" i="10"/>
  <c r="R123" i="10"/>
  <c r="Q124" i="10" a="1"/>
  <c r="Q124" i="10"/>
  <c r="S124" i="10"/>
  <c r="R124" i="10"/>
  <c r="T124" i="10"/>
  <c r="Q125" i="10" a="1"/>
  <c r="Q125" i="10"/>
  <c r="T125" i="10"/>
  <c r="S125" i="10"/>
  <c r="R125" i="10"/>
  <c r="Q126" i="10" a="1"/>
  <c r="Q126" i="10"/>
  <c r="T126" i="10"/>
  <c r="S126" i="10"/>
  <c r="R126" i="10"/>
  <c r="Q127" i="10" a="1"/>
  <c r="Q127" i="10"/>
  <c r="T127" i="10"/>
  <c r="S127" i="10"/>
  <c r="R127" i="10"/>
  <c r="Q128" i="10" a="1"/>
  <c r="Q128" i="10"/>
  <c r="T128" i="10"/>
  <c r="S128" i="10"/>
  <c r="R128" i="10"/>
  <c r="Q129" i="10" a="1"/>
  <c r="Q129" i="10"/>
  <c r="T129" i="10"/>
  <c r="S129" i="10"/>
  <c r="R129" i="10"/>
  <c r="Q130" i="10" a="1"/>
  <c r="Q130" i="10"/>
  <c r="T130" i="10"/>
  <c r="S130" i="10"/>
  <c r="R130" i="10"/>
  <c r="Q131" i="10" a="1"/>
  <c r="Q131" i="10"/>
  <c r="R131" i="10"/>
  <c r="T131" i="10"/>
  <c r="S131" i="10"/>
  <c r="Q132" i="10" a="1"/>
  <c r="Q132" i="10"/>
  <c r="T132" i="10"/>
  <c r="S132" i="10"/>
  <c r="R132" i="10"/>
  <c r="Q133" i="10" a="1"/>
  <c r="Q133" i="10"/>
  <c r="S133" i="10"/>
  <c r="R133" i="10"/>
  <c r="T133" i="10"/>
  <c r="Q134" i="10" a="1"/>
  <c r="Q134" i="10"/>
  <c r="T134" i="10"/>
  <c r="S134" i="10"/>
  <c r="R134" i="10"/>
  <c r="Q135" i="10" a="1"/>
  <c r="Q135" i="10"/>
  <c r="T135" i="10"/>
  <c r="S135" i="10"/>
  <c r="R135" i="10"/>
  <c r="Q136" i="10" a="1"/>
  <c r="Q136" i="10"/>
  <c r="T136" i="10"/>
  <c r="S136" i="10"/>
  <c r="R136" i="10"/>
  <c r="Q137" i="10" a="1"/>
  <c r="Q137" i="10"/>
  <c r="T137" i="10"/>
  <c r="S137" i="10"/>
  <c r="R137" i="10"/>
  <c r="Q138" i="10" a="1"/>
  <c r="Q138" i="10"/>
  <c r="S138" i="10"/>
  <c r="R138" i="10"/>
  <c r="T138" i="10"/>
  <c r="Q139" i="10" a="1"/>
  <c r="Q139" i="10"/>
  <c r="T139" i="10"/>
  <c r="S139" i="10"/>
  <c r="R139" i="10"/>
  <c r="Q140" i="10" a="1"/>
  <c r="Q140" i="10"/>
  <c r="T140" i="10"/>
  <c r="S140" i="10"/>
  <c r="R140" i="10"/>
  <c r="Q141" i="10" a="1"/>
  <c r="Q141" i="10"/>
  <c r="T141" i="10"/>
  <c r="S141" i="10"/>
  <c r="R141" i="10"/>
  <c r="Q142" i="10" a="1"/>
  <c r="Q142" i="10"/>
  <c r="T142" i="10"/>
  <c r="S142" i="10"/>
  <c r="R142" i="10"/>
  <c r="Q143" i="10" a="1"/>
  <c r="Q143" i="10"/>
  <c r="T143" i="10"/>
  <c r="S143" i="10"/>
  <c r="R143" i="10"/>
  <c r="Q144" i="10" a="1"/>
  <c r="Q144" i="10"/>
  <c r="T144" i="10"/>
  <c r="S144" i="10"/>
  <c r="R144" i="10"/>
  <c r="Q145" i="10" a="1"/>
  <c r="Q145" i="10"/>
  <c r="T145" i="10"/>
  <c r="S145" i="10"/>
  <c r="R145" i="10"/>
  <c r="Q146" i="10" a="1"/>
  <c r="Q146" i="10"/>
  <c r="T146" i="10"/>
  <c r="S146" i="10"/>
  <c r="R146" i="10"/>
  <c r="Q147" i="10" a="1"/>
  <c r="Q147" i="10"/>
  <c r="R147" i="10"/>
  <c r="T147" i="10"/>
  <c r="S147" i="10"/>
  <c r="Q148" i="10" a="1"/>
  <c r="Q148" i="10"/>
  <c r="T148" i="10"/>
  <c r="S148" i="10"/>
  <c r="R148" i="10"/>
  <c r="Q149" i="10" a="1"/>
  <c r="Q149" i="10"/>
  <c r="T149" i="10"/>
  <c r="S149" i="10"/>
  <c r="R149" i="10"/>
  <c r="Q150" i="10" a="1"/>
  <c r="Q150" i="10"/>
  <c r="T150" i="10"/>
  <c r="S150" i="10"/>
  <c r="R150" i="10"/>
  <c r="Q151" i="10" a="1"/>
  <c r="Q151" i="10"/>
  <c r="T151" i="10"/>
  <c r="S151" i="10"/>
  <c r="R151" i="10"/>
  <c r="Q152" i="10" a="1"/>
  <c r="Q152" i="10"/>
  <c r="T152" i="10"/>
  <c r="S152" i="10"/>
  <c r="R152" i="10"/>
  <c r="Q153" i="10" a="1"/>
  <c r="Q153" i="10"/>
  <c r="T153" i="10"/>
  <c r="S153" i="10"/>
  <c r="R153" i="10"/>
  <c r="Q154" i="10" a="1"/>
  <c r="Q154" i="10"/>
  <c r="S154" i="10"/>
  <c r="R154" i="10"/>
  <c r="T154" i="10"/>
  <c r="Q155" i="10" a="1"/>
  <c r="Q155" i="10"/>
  <c r="T155" i="10"/>
  <c r="S155" i="10"/>
  <c r="R155" i="10"/>
  <c r="Q156" i="10" a="1"/>
  <c r="Q156" i="10"/>
  <c r="T156" i="10"/>
  <c r="S156" i="10"/>
  <c r="R156" i="10"/>
  <c r="Q157" i="10" a="1"/>
  <c r="Q157" i="10"/>
  <c r="T157" i="10"/>
  <c r="S157" i="10"/>
  <c r="R157" i="10"/>
  <c r="Q158" i="10" a="1"/>
  <c r="Q158" i="10"/>
  <c r="T158" i="10"/>
  <c r="S158" i="10"/>
  <c r="R158" i="10"/>
  <c r="Q159" i="10" a="1"/>
  <c r="Q159" i="10"/>
  <c r="T159" i="10"/>
  <c r="S159" i="10"/>
  <c r="R159" i="10"/>
  <c r="Q160" i="10" a="1"/>
  <c r="Q160" i="10"/>
  <c r="T160" i="10"/>
  <c r="S160" i="10"/>
  <c r="R160" i="10"/>
  <c r="Q161" i="10" a="1"/>
  <c r="Q161" i="10"/>
  <c r="T161" i="10"/>
  <c r="S161" i="10"/>
  <c r="R161" i="10"/>
  <c r="Q162" i="10" a="1"/>
  <c r="Q162" i="10"/>
  <c r="T162" i="10"/>
  <c r="S162" i="10"/>
  <c r="R162" i="10"/>
  <c r="Q163" i="10" a="1"/>
  <c r="Q163" i="10"/>
  <c r="R163" i="10"/>
  <c r="T163" i="10"/>
  <c r="S163" i="10"/>
  <c r="Q164" i="10" a="1"/>
  <c r="Q164" i="10"/>
  <c r="T164" i="10"/>
  <c r="S164" i="10"/>
  <c r="R164" i="10"/>
  <c r="Q165" i="10" a="1"/>
  <c r="Q165" i="10"/>
  <c r="T165" i="10"/>
  <c r="S165" i="10"/>
  <c r="R165" i="10"/>
  <c r="Q166" i="10" a="1"/>
  <c r="Q166" i="10"/>
  <c r="R166" i="10"/>
  <c r="T166" i="10"/>
  <c r="S166" i="10"/>
  <c r="Q167" i="10" a="1"/>
  <c r="Q167" i="10"/>
  <c r="T167" i="10"/>
  <c r="S167" i="10"/>
  <c r="R167" i="10"/>
  <c r="Q168" i="10" a="1"/>
  <c r="Q168" i="10"/>
  <c r="T168" i="10"/>
  <c r="S168" i="10"/>
  <c r="R168" i="10"/>
  <c r="Q169" i="10" a="1"/>
  <c r="Q169" i="10"/>
  <c r="T169" i="10"/>
  <c r="S169" i="10"/>
  <c r="R169" i="10"/>
  <c r="Q170" i="10" a="1"/>
  <c r="Q170" i="10"/>
  <c r="T170" i="10"/>
  <c r="S170" i="10"/>
  <c r="R170" i="10"/>
  <c r="Q171" i="10" a="1"/>
  <c r="Q171" i="10"/>
  <c r="T171" i="10"/>
  <c r="S171" i="10"/>
  <c r="R171" i="10"/>
  <c r="Q172" i="10" a="1"/>
  <c r="Q172" i="10"/>
  <c r="T172" i="10"/>
  <c r="S172" i="10"/>
  <c r="R172" i="10"/>
  <c r="Q173" i="10" a="1"/>
  <c r="Q173" i="10"/>
  <c r="T173" i="10"/>
  <c r="S173" i="10"/>
  <c r="R173" i="10"/>
  <c r="Q174" i="10" a="1"/>
  <c r="Q174" i="10"/>
  <c r="T174" i="10"/>
  <c r="S174" i="10"/>
  <c r="R174" i="10"/>
  <c r="Q175" i="10" a="1"/>
  <c r="Q175" i="10"/>
  <c r="R175" i="10"/>
  <c r="T175" i="10"/>
  <c r="S175" i="10"/>
  <c r="Q176" i="10" a="1"/>
  <c r="Q176" i="10"/>
  <c r="T176" i="10"/>
  <c r="S176" i="10"/>
  <c r="R176" i="10"/>
  <c r="Q177" i="10" a="1"/>
  <c r="Q177" i="10"/>
  <c r="T177" i="10"/>
  <c r="S177" i="10"/>
  <c r="R177" i="10"/>
  <c r="Q178" i="10" a="1"/>
  <c r="Q178" i="10"/>
  <c r="T178" i="10"/>
  <c r="S178" i="10"/>
  <c r="R178" i="10"/>
  <c r="Q179" i="10" a="1"/>
  <c r="Q179" i="10"/>
  <c r="T179" i="10"/>
  <c r="S179" i="10"/>
  <c r="R179" i="10"/>
  <c r="Q180" i="10" a="1"/>
  <c r="Q180" i="10"/>
  <c r="T180" i="10"/>
  <c r="S180" i="10"/>
  <c r="R180" i="10"/>
  <c r="Q181" i="10" a="1"/>
  <c r="Q181" i="10"/>
  <c r="T181" i="10"/>
  <c r="S181" i="10"/>
  <c r="R181" i="10"/>
  <c r="Q182" i="10" a="1"/>
  <c r="Q182" i="10"/>
  <c r="S182" i="10"/>
  <c r="R182" i="10"/>
  <c r="T182" i="10"/>
  <c r="Q183" i="10" a="1"/>
  <c r="Q183" i="10"/>
  <c r="T183" i="10"/>
  <c r="S183" i="10"/>
  <c r="R183" i="10"/>
  <c r="Q184" i="10" a="1"/>
  <c r="Q184" i="10"/>
  <c r="T184" i="10"/>
  <c r="S184" i="10"/>
  <c r="R184" i="10"/>
  <c r="Q185" i="10" a="1"/>
  <c r="Q185" i="10"/>
  <c r="T185" i="10"/>
  <c r="S185" i="10"/>
  <c r="R185" i="10"/>
  <c r="Q186" i="10" a="1"/>
  <c r="Q186" i="10"/>
  <c r="T186" i="10"/>
  <c r="S186" i="10"/>
  <c r="R186" i="10"/>
  <c r="Q187" i="10" a="1"/>
  <c r="Q187" i="10"/>
  <c r="T187" i="10"/>
  <c r="S187" i="10"/>
  <c r="R187" i="10"/>
  <c r="Q188" i="10" a="1"/>
  <c r="Q188" i="10"/>
  <c r="S188" i="10"/>
  <c r="T188" i="10"/>
  <c r="R188" i="10"/>
  <c r="Q189" i="10" a="1"/>
  <c r="Q189" i="10"/>
  <c r="T189" i="10"/>
  <c r="S189" i="10"/>
  <c r="R189" i="10"/>
  <c r="Q190" i="10" a="1"/>
  <c r="Q190" i="10"/>
  <c r="T190" i="10"/>
  <c r="S190" i="10"/>
  <c r="R190" i="10"/>
  <c r="Q191" i="10" a="1"/>
  <c r="Q191" i="10"/>
  <c r="R191" i="10"/>
  <c r="T191" i="10"/>
  <c r="S191" i="10"/>
  <c r="Q192" i="10" a="1"/>
  <c r="Q192" i="10"/>
  <c r="T192" i="10"/>
  <c r="S192" i="10"/>
  <c r="R192" i="10"/>
  <c r="Q193" i="10" a="1"/>
  <c r="Q193" i="10"/>
  <c r="T193" i="10"/>
  <c r="S193" i="10"/>
  <c r="R193" i="10"/>
  <c r="Q194" i="10" a="1"/>
  <c r="Q194" i="10"/>
  <c r="T194" i="10"/>
  <c r="S194" i="10"/>
  <c r="R194" i="10"/>
  <c r="Q195" i="10" a="1"/>
  <c r="Q195" i="10"/>
  <c r="T195" i="10"/>
  <c r="S195" i="10"/>
  <c r="R195" i="10"/>
  <c r="Q196" i="10" a="1"/>
  <c r="Q196" i="10"/>
  <c r="T196" i="10"/>
  <c r="S196" i="10"/>
  <c r="R196" i="10"/>
  <c r="Q197" i="10" a="1"/>
  <c r="Q197" i="10"/>
  <c r="R197" i="10"/>
  <c r="T197" i="10"/>
  <c r="S197" i="10"/>
  <c r="Q198" i="10" a="1"/>
  <c r="Q198" i="10"/>
  <c r="S198" i="10"/>
  <c r="R198" i="10"/>
  <c r="T198" i="10"/>
  <c r="Q199" i="10" a="1"/>
  <c r="Q199" i="10"/>
  <c r="T199" i="10"/>
  <c r="S199" i="10"/>
  <c r="R199" i="10"/>
  <c r="Q200" i="10" a="1"/>
  <c r="Q200" i="10"/>
  <c r="T200" i="10"/>
  <c r="S200" i="10"/>
  <c r="R200" i="10"/>
  <c r="Q201" i="10" a="1"/>
  <c r="Q201" i="10"/>
  <c r="S201" i="10"/>
  <c r="R201" i="10"/>
  <c r="T201" i="10"/>
  <c r="Q202" i="10" a="1"/>
  <c r="Q202" i="10"/>
  <c r="T202" i="10"/>
  <c r="S202" i="10"/>
  <c r="R202" i="10"/>
  <c r="Q203" i="10" a="1"/>
  <c r="Q203" i="10"/>
  <c r="S203" i="10"/>
  <c r="T203" i="10"/>
  <c r="R203" i="10"/>
  <c r="Q204" i="10" a="1"/>
  <c r="Q204" i="10"/>
  <c r="S204" i="10"/>
  <c r="T204" i="10"/>
  <c r="R204" i="10"/>
  <c r="Q205" i="10" a="1"/>
  <c r="Q205" i="10"/>
  <c r="T205" i="10"/>
  <c r="S205" i="10"/>
  <c r="R205" i="10"/>
  <c r="Q206" i="10" a="1"/>
  <c r="Q206" i="10"/>
  <c r="T206" i="10"/>
  <c r="S206" i="10"/>
  <c r="R206" i="10"/>
  <c r="Q207" i="10" a="1"/>
  <c r="Q207" i="10"/>
  <c r="R207" i="10"/>
  <c r="T207" i="10"/>
  <c r="S207" i="10"/>
  <c r="Q208" i="10" a="1"/>
  <c r="Q208" i="10"/>
  <c r="T208" i="10"/>
  <c r="S208" i="10"/>
  <c r="R208" i="10"/>
  <c r="Q209" i="10" a="1"/>
  <c r="Q209" i="10"/>
  <c r="T209" i="10"/>
  <c r="S209" i="10"/>
  <c r="R209" i="10"/>
  <c r="Q210" i="10" a="1"/>
  <c r="Q210" i="10"/>
  <c r="T210" i="10"/>
  <c r="S210" i="10"/>
  <c r="R210" i="10"/>
  <c r="Q211" i="10" a="1"/>
  <c r="Q211" i="10"/>
  <c r="T211" i="10"/>
  <c r="S211" i="10"/>
  <c r="R211" i="10"/>
  <c r="Q212" i="10" a="1"/>
  <c r="Q212" i="10"/>
  <c r="T212" i="10"/>
  <c r="T11" i="10"/>
  <c r="R212" i="10"/>
  <c r="R11" i="10"/>
  <c r="S212" i="10"/>
  <c r="S11" i="10"/>
  <c r="Q213" i="10" a="1"/>
  <c r="Q213" i="10"/>
  <c r="S213" i="10"/>
  <c r="R213" i="10"/>
  <c r="T213" i="10"/>
  <c r="Q214" i="10" a="1"/>
  <c r="Q214" i="10"/>
  <c r="S214" i="10"/>
  <c r="R214" i="10"/>
  <c r="T214" i="10"/>
  <c r="Q215" i="10" a="1"/>
  <c r="Q215" i="10"/>
  <c r="T215" i="10"/>
  <c r="S215" i="10"/>
  <c r="R215" i="10"/>
  <c r="Q216" i="10" a="1"/>
  <c r="Q216" i="10"/>
  <c r="T216" i="10"/>
  <c r="S216" i="10"/>
  <c r="R216" i="10"/>
  <c r="Q217" i="10" a="1"/>
  <c r="Q217" i="10"/>
  <c r="S217" i="10"/>
  <c r="R217" i="10"/>
  <c r="T217" i="10"/>
  <c r="Q218" i="10" a="1"/>
  <c r="Q218" i="10"/>
  <c r="T218" i="10"/>
  <c r="S218" i="10"/>
  <c r="R218" i="10"/>
  <c r="Q219" i="10" a="1"/>
  <c r="Q219" i="10"/>
  <c r="S219" i="10"/>
  <c r="T219" i="10"/>
  <c r="R219" i="10"/>
  <c r="Q220" i="10" a="1"/>
  <c r="Q220" i="10"/>
  <c r="T220" i="10"/>
  <c r="S220" i="10"/>
  <c r="R220" i="10"/>
  <c r="Q221" i="10" a="1"/>
  <c r="Q221" i="10"/>
  <c r="T221" i="10"/>
  <c r="S221" i="10"/>
  <c r="R221" i="10"/>
  <c r="Q222" i="10" a="1"/>
  <c r="Q222" i="10"/>
  <c r="S222" i="10"/>
  <c r="R222" i="10"/>
  <c r="T222" i="10"/>
  <c r="Q223" i="10" a="1"/>
  <c r="Q223" i="10"/>
  <c r="R223" i="10"/>
  <c r="T223" i="10"/>
  <c r="S223" i="10"/>
  <c r="Q224" i="10" a="1"/>
  <c r="Q224" i="10"/>
  <c r="T224" i="10"/>
  <c r="S224" i="10"/>
  <c r="R224" i="10"/>
  <c r="Q225" i="10" a="1"/>
  <c r="Q225" i="10"/>
  <c r="T225" i="10"/>
  <c r="S225" i="10"/>
  <c r="R225" i="10"/>
  <c r="Q226" i="10" a="1"/>
  <c r="Q226" i="10"/>
  <c r="T226" i="10"/>
  <c r="S226" i="10"/>
  <c r="R226" i="10"/>
  <c r="Q227" i="10" a="1"/>
  <c r="Q227" i="10"/>
  <c r="T227" i="10"/>
  <c r="S227" i="10"/>
  <c r="R227" i="10"/>
  <c r="Q228" i="10" a="1"/>
  <c r="Q228" i="10"/>
  <c r="T228" i="10"/>
  <c r="R228" i="10"/>
  <c r="S228" i="10"/>
  <c r="Q229" i="10" a="1"/>
  <c r="Q229" i="10"/>
  <c r="T229" i="10"/>
  <c r="S229" i="10"/>
  <c r="R229" i="10"/>
  <c r="Q230" i="10" a="1"/>
  <c r="Q230" i="10"/>
  <c r="S230" i="10"/>
  <c r="R230" i="10"/>
  <c r="T230" i="10"/>
  <c r="Q231" i="10" a="1"/>
  <c r="Q231" i="10"/>
  <c r="R231" i="10"/>
  <c r="T231" i="10"/>
  <c r="S231" i="10"/>
  <c r="Q232" i="10" a="1"/>
  <c r="Q232" i="10"/>
  <c r="S232" i="10"/>
  <c r="T232" i="10"/>
  <c r="R232" i="10"/>
  <c r="Q233" i="10" a="1"/>
  <c r="Q233" i="10"/>
  <c r="T233" i="10"/>
  <c r="S233" i="10"/>
  <c r="R233" i="10"/>
  <c r="Q234" i="10" a="1"/>
  <c r="Q234" i="10"/>
  <c r="T234" i="10"/>
  <c r="S234" i="10"/>
  <c r="R234" i="10"/>
  <c r="Q235" i="10" a="1"/>
  <c r="Q235" i="10"/>
  <c r="S235" i="10"/>
  <c r="R235" i="10"/>
  <c r="T235" i="10"/>
  <c r="Q236" i="10" a="1"/>
  <c r="Q236" i="10"/>
  <c r="T236" i="10"/>
  <c r="S236" i="10"/>
  <c r="R236" i="10"/>
  <c r="Q237" i="10" a="1"/>
  <c r="Q237" i="10"/>
  <c r="T237" i="10"/>
  <c r="S237" i="10"/>
  <c r="R237" i="10"/>
  <c r="Q238" i="10" a="1"/>
  <c r="Q238" i="10"/>
  <c r="S238" i="10"/>
  <c r="R238" i="10"/>
  <c r="T238" i="10"/>
  <c r="Q239" i="10" a="1"/>
  <c r="Q239" i="10"/>
  <c r="T239" i="10"/>
  <c r="R239" i="10"/>
  <c r="S239" i="10"/>
  <c r="Q240" i="10" a="1"/>
  <c r="Q240" i="10"/>
  <c r="T240" i="10"/>
  <c r="S240" i="10"/>
  <c r="R240" i="10"/>
  <c r="Q241" i="10" a="1"/>
  <c r="Q241" i="10"/>
  <c r="R241" i="10"/>
  <c r="T241" i="10"/>
  <c r="S241" i="10"/>
  <c r="Q242" i="10" a="1"/>
  <c r="Q242" i="10"/>
  <c r="T242" i="10"/>
  <c r="S242" i="10"/>
  <c r="R242" i="10"/>
  <c r="Q243" i="10" a="1"/>
  <c r="Q243" i="10"/>
  <c r="T243" i="10"/>
  <c r="S243" i="10"/>
  <c r="R243" i="10"/>
  <c r="Q244" i="10" a="1"/>
  <c r="Q244" i="10"/>
  <c r="T244" i="10"/>
  <c r="R244" i="10"/>
  <c r="S244" i="10"/>
  <c r="Q245" i="10" a="1"/>
  <c r="Q245" i="10"/>
  <c r="T245" i="10"/>
  <c r="S245" i="10"/>
  <c r="R245" i="10"/>
  <c r="Q246" i="10" a="1"/>
  <c r="Q246" i="10"/>
  <c r="S246" i="10"/>
  <c r="R246" i="10"/>
  <c r="T246" i="10"/>
  <c r="Q247" i="10" a="1"/>
  <c r="Q247" i="10"/>
  <c r="R247" i="10"/>
  <c r="T247" i="10"/>
  <c r="S247" i="10"/>
  <c r="Q248" i="10" a="1"/>
  <c r="Q248" i="10"/>
  <c r="S248" i="10"/>
  <c r="T248" i="10"/>
  <c r="R248" i="10"/>
  <c r="Q249" i="10" a="1"/>
  <c r="Q249" i="10"/>
  <c r="T249" i="10"/>
  <c r="S249" i="10"/>
  <c r="R249" i="10"/>
  <c r="Q250" i="10" a="1"/>
  <c r="Q250" i="10"/>
  <c r="T250" i="10"/>
  <c r="S250" i="10"/>
  <c r="R250" i="10"/>
  <c r="Q251" i="10" a="1"/>
  <c r="Q251" i="10"/>
  <c r="S251" i="10"/>
  <c r="R251" i="10"/>
  <c r="T251" i="10"/>
  <c r="Q252" i="10" a="1"/>
  <c r="Q252" i="10"/>
  <c r="T252" i="10"/>
  <c r="S252" i="10"/>
  <c r="R252" i="10"/>
  <c r="Q253" i="10" a="1"/>
  <c r="Q253" i="10"/>
  <c r="T253" i="10"/>
  <c r="S253" i="10"/>
  <c r="R253" i="10"/>
  <c r="Q254" i="10" a="1"/>
  <c r="Q254" i="10"/>
  <c r="S254" i="10"/>
  <c r="R254" i="10"/>
  <c r="T254" i="10"/>
  <c r="Q255" i="10" a="1"/>
  <c r="Q255" i="10"/>
  <c r="T255" i="10"/>
  <c r="R255" i="10"/>
  <c r="S255" i="10"/>
  <c r="Q256" i="10" a="1"/>
  <c r="Q256" i="10"/>
  <c r="T256" i="10"/>
  <c r="S256" i="10"/>
  <c r="R256" i="10"/>
  <c r="Q257" i="10" a="1"/>
  <c r="Q257" i="10"/>
  <c r="R257" i="10"/>
  <c r="T257" i="10"/>
  <c r="S257" i="10"/>
  <c r="Q258" i="10" a="1"/>
  <c r="Q258" i="10"/>
  <c r="T258" i="10"/>
  <c r="S258" i="10"/>
  <c r="R258" i="10"/>
  <c r="Q259" i="10" a="1"/>
  <c r="Q259" i="10"/>
  <c r="T259" i="10"/>
  <c r="S259" i="10"/>
  <c r="R259" i="10"/>
  <c r="Q260" i="10" a="1"/>
  <c r="Q260" i="10"/>
  <c r="T260" i="10"/>
  <c r="R260" i="10"/>
  <c r="S260" i="10"/>
  <c r="Q261" i="10" a="1"/>
  <c r="Q261" i="10"/>
  <c r="T261" i="10"/>
  <c r="S261" i="10"/>
  <c r="R261" i="10"/>
  <c r="Q262" i="10" a="1"/>
  <c r="Q262" i="10"/>
  <c r="S262" i="10"/>
  <c r="R262" i="10"/>
  <c r="T262" i="10"/>
  <c r="Q263" i="10" a="1"/>
  <c r="Q263" i="10"/>
  <c r="T263" i="10"/>
  <c r="S263" i="10"/>
  <c r="R263" i="10"/>
  <c r="Q264" i="10" a="1"/>
  <c r="Q264" i="10"/>
  <c r="S264" i="10"/>
  <c r="T264" i="10"/>
  <c r="R264" i="10"/>
  <c r="Q265" i="10" a="1"/>
  <c r="Q265" i="10"/>
  <c r="T265" i="10"/>
  <c r="S265" i="10"/>
  <c r="R265" i="10"/>
  <c r="Q266" i="10" a="1"/>
  <c r="Q266" i="10"/>
  <c r="T266" i="10"/>
  <c r="S266" i="10"/>
  <c r="R266" i="10"/>
  <c r="Q267" i="10" a="1"/>
  <c r="Q267" i="10"/>
  <c r="S267" i="10"/>
  <c r="R267" i="10"/>
  <c r="T267" i="10"/>
  <c r="Q268" i="10" a="1"/>
  <c r="Q268" i="10"/>
  <c r="T268" i="10"/>
  <c r="S268" i="10"/>
  <c r="R268" i="10"/>
  <c r="Q269" i="10" a="1"/>
  <c r="Q269" i="10"/>
  <c r="T269" i="10"/>
  <c r="S269" i="10"/>
  <c r="R269" i="10"/>
  <c r="Q270" i="10" a="1"/>
  <c r="Q270" i="10"/>
  <c r="T270" i="10"/>
  <c r="S270" i="10"/>
  <c r="R270" i="10"/>
  <c r="Q271" i="10" a="1"/>
  <c r="Q271" i="10"/>
  <c r="T271" i="10"/>
  <c r="S271" i="10"/>
  <c r="R271" i="10"/>
  <c r="Q272" i="10" a="1"/>
  <c r="Q272" i="10"/>
  <c r="T272" i="10"/>
  <c r="S272" i="10"/>
  <c r="R272" i="10"/>
  <c r="Q273" i="10" a="1"/>
  <c r="Q273" i="10"/>
  <c r="R273" i="10"/>
  <c r="T273" i="10"/>
  <c r="S273" i="10"/>
  <c r="Q274" i="10" a="1"/>
  <c r="Q274" i="10"/>
  <c r="T274" i="10"/>
  <c r="S274" i="10"/>
  <c r="R274" i="10"/>
  <c r="Q275" i="10" a="1"/>
  <c r="Q275" i="10"/>
  <c r="T275" i="10"/>
  <c r="S275" i="10"/>
  <c r="R275" i="10"/>
  <c r="Q276" i="10" a="1"/>
  <c r="Q276" i="10"/>
  <c r="T276" i="10"/>
  <c r="R276" i="10"/>
  <c r="S276" i="10"/>
  <c r="Q277" i="10" a="1"/>
  <c r="Q277" i="10"/>
  <c r="T277" i="10"/>
  <c r="S277" i="10"/>
  <c r="R277" i="10"/>
  <c r="Q278" i="10" a="1"/>
  <c r="Q278" i="10"/>
  <c r="T278" i="10"/>
  <c r="S278" i="10"/>
  <c r="R278" i="10"/>
  <c r="Q279" i="10" a="1"/>
  <c r="Q279" i="10"/>
  <c r="T279" i="10"/>
  <c r="S279" i="10"/>
  <c r="R279" i="10"/>
  <c r="Q280" i="10" a="1"/>
  <c r="Q280" i="10"/>
  <c r="S280" i="10"/>
  <c r="R280" i="10"/>
  <c r="T280" i="10"/>
  <c r="Q281" i="10" a="1"/>
  <c r="Q281" i="10"/>
  <c r="T281" i="10"/>
  <c r="S281" i="10"/>
  <c r="R281" i="10"/>
  <c r="Q282" i="10" a="1"/>
  <c r="Q282" i="10"/>
  <c r="T282" i="10"/>
  <c r="S282" i="10"/>
  <c r="R282" i="10"/>
  <c r="Q283" i="10" a="1"/>
  <c r="Q283" i="10"/>
  <c r="S283" i="10"/>
  <c r="R283" i="10"/>
  <c r="T283" i="10"/>
  <c r="Q284" i="10" a="1"/>
  <c r="Q284" i="10"/>
  <c r="T284" i="10"/>
  <c r="S284" i="10"/>
  <c r="R284" i="10"/>
  <c r="Q285" i="10" a="1"/>
  <c r="Q285" i="10"/>
  <c r="T285" i="10"/>
  <c r="S285" i="10"/>
  <c r="R285" i="10"/>
  <c r="Q286" i="10" a="1"/>
  <c r="Q286" i="10"/>
  <c r="T286" i="10"/>
  <c r="S286" i="10"/>
  <c r="R286" i="10"/>
  <c r="Q287" i="10" a="1"/>
  <c r="Q287" i="10"/>
  <c r="T287" i="10"/>
  <c r="S287" i="10"/>
  <c r="R287" i="10"/>
  <c r="Q288" i="10" a="1"/>
  <c r="Q288" i="10"/>
  <c r="T288" i="10"/>
  <c r="S288" i="10"/>
  <c r="R288" i="10"/>
  <c r="Q289" i="10" a="1"/>
  <c r="Q289" i="10"/>
  <c r="T289" i="10"/>
  <c r="S289" i="10"/>
  <c r="R289" i="10"/>
  <c r="Q290" i="10" a="1"/>
  <c r="Q290" i="10"/>
  <c r="T290" i="10"/>
  <c r="S290" i="10"/>
  <c r="R290" i="10"/>
  <c r="Q291" i="10" a="1"/>
  <c r="Q291" i="10"/>
  <c r="R291" i="10"/>
  <c r="S291" i="10"/>
  <c r="T291" i="10"/>
  <c r="Q292" i="10" a="1"/>
  <c r="Q292" i="10"/>
  <c r="T292" i="10"/>
  <c r="S292" i="10"/>
  <c r="R292" i="10"/>
  <c r="Q293" i="10" a="1"/>
  <c r="Q293" i="10"/>
  <c r="R293" i="10"/>
  <c r="T293" i="10"/>
  <c r="S293" i="10"/>
  <c r="Q294" i="10" a="1"/>
  <c r="Q294" i="10"/>
  <c r="T294" i="10"/>
  <c r="S294" i="10"/>
  <c r="R294" i="10"/>
  <c r="Q295" i="10" a="1"/>
  <c r="Q295" i="10"/>
  <c r="T295" i="10"/>
  <c r="S295" i="10"/>
  <c r="R295" i="10"/>
  <c r="Q296" i="10" a="1"/>
  <c r="Q296" i="10"/>
  <c r="T296" i="10"/>
  <c r="S296" i="10"/>
  <c r="R296" i="10"/>
  <c r="Q297" i="10" a="1"/>
  <c r="Q297" i="10"/>
  <c r="T297" i="10"/>
  <c r="S297" i="10"/>
  <c r="R297" i="10"/>
  <c r="Q298" i="10" a="1"/>
  <c r="Q298" i="10"/>
  <c r="S298" i="10"/>
  <c r="T298" i="10"/>
  <c r="R298" i="10"/>
  <c r="Q299" i="10" a="1"/>
  <c r="Q299" i="10"/>
  <c r="T299" i="10"/>
  <c r="S299" i="10"/>
  <c r="R299" i="10"/>
  <c r="Q300" i="10" a="1"/>
  <c r="Q300" i="10"/>
  <c r="T300" i="10"/>
  <c r="S300" i="10"/>
  <c r="R300" i="10"/>
  <c r="Q301" i="10" a="1"/>
  <c r="Q301" i="10"/>
  <c r="T301" i="10"/>
  <c r="S301" i="10"/>
  <c r="R301" i="10"/>
  <c r="Q302" i="10" a="1"/>
  <c r="Q302" i="10"/>
  <c r="T302" i="10"/>
  <c r="S302" i="10"/>
  <c r="R302" i="10"/>
  <c r="Q303" i="10" a="1"/>
  <c r="Q303" i="10"/>
  <c r="T303" i="10"/>
  <c r="S303" i="10"/>
  <c r="R303" i="10"/>
  <c r="Q304" i="10" a="1"/>
  <c r="Q304" i="10"/>
  <c r="S304" i="10"/>
  <c r="R304" i="10"/>
  <c r="T304" i="10"/>
  <c r="Q305" i="10" a="1"/>
  <c r="Q305" i="10"/>
  <c r="T305" i="10"/>
  <c r="S305" i="10"/>
  <c r="R305" i="10"/>
  <c r="Q306" i="10" a="1"/>
  <c r="Q306" i="10"/>
  <c r="R306" i="10"/>
  <c r="T306" i="10"/>
  <c r="S306" i="10"/>
  <c r="Q307" i="10" a="1"/>
  <c r="Q307" i="10"/>
  <c r="R307" i="10"/>
  <c r="T307" i="10"/>
  <c r="S307" i="10"/>
  <c r="Q308" i="10" a="1"/>
  <c r="Q308" i="10"/>
  <c r="R308" i="10"/>
  <c r="T308" i="10"/>
  <c r="S308" i="10"/>
  <c r="Q309" i="10" a="1"/>
  <c r="Q309" i="10"/>
  <c r="T309" i="10"/>
  <c r="S309" i="10"/>
  <c r="R309" i="10"/>
  <c r="Q310" i="10" a="1"/>
  <c r="Q310" i="10"/>
  <c r="R310" i="10"/>
  <c r="T310" i="10"/>
  <c r="S310" i="10"/>
  <c r="Q311" i="10" a="1"/>
  <c r="Q311" i="10"/>
  <c r="T311" i="10"/>
  <c r="S311" i="10"/>
  <c r="R311" i="10"/>
  <c r="Q312" i="10" a="1"/>
  <c r="Q312" i="10"/>
  <c r="T312" i="10"/>
  <c r="S312" i="10"/>
  <c r="R312" i="10"/>
  <c r="Q313" i="10" a="1"/>
  <c r="Q313" i="10"/>
  <c r="S313" i="10"/>
  <c r="T313" i="10"/>
  <c r="R313" i="10"/>
  <c r="Q314" i="10" a="1"/>
  <c r="Q314" i="10"/>
  <c r="S314" i="10"/>
  <c r="T314" i="10"/>
  <c r="R314" i="10"/>
  <c r="Q315" i="10" a="1"/>
  <c r="Q315" i="10"/>
  <c r="T315" i="10"/>
  <c r="S315" i="10"/>
  <c r="R315" i="10"/>
  <c r="Q316" i="10" a="1"/>
  <c r="Q316" i="10"/>
  <c r="T316" i="10"/>
  <c r="S316" i="10"/>
  <c r="R316" i="10"/>
  <c r="Q317" i="10" a="1"/>
  <c r="Q317" i="10"/>
  <c r="T317" i="10"/>
  <c r="S317" i="10"/>
  <c r="R317" i="10"/>
  <c r="Q318" i="10" a="1"/>
  <c r="Q318" i="10"/>
  <c r="R318" i="10"/>
  <c r="T318" i="10"/>
  <c r="S318" i="10"/>
  <c r="Q319" i="10" a="1"/>
  <c r="Q319" i="10"/>
  <c r="T319" i="10"/>
  <c r="S319" i="10"/>
  <c r="R319" i="10"/>
  <c r="Q320" i="10" a="1"/>
  <c r="Q320" i="10"/>
  <c r="T320" i="10"/>
  <c r="S320" i="10"/>
  <c r="R320" i="10"/>
  <c r="Q321" i="10" a="1"/>
  <c r="Q321" i="10"/>
  <c r="T321" i="10"/>
  <c r="S321" i="10"/>
  <c r="R321" i="10"/>
  <c r="Q322" i="10" a="1"/>
  <c r="Q322" i="10"/>
  <c r="S322" i="10"/>
  <c r="R322" i="10"/>
  <c r="T322" i="10"/>
  <c r="Q323" i="10" a="1"/>
  <c r="Q323" i="10"/>
  <c r="R323" i="10"/>
  <c r="T323" i="10"/>
  <c r="S323" i="10"/>
  <c r="Q324" i="10" a="1"/>
  <c r="Q324" i="10"/>
  <c r="T324" i="10"/>
  <c r="S324" i="10"/>
  <c r="R324" i="10"/>
  <c r="Q325" i="10" a="1"/>
  <c r="Q325" i="10"/>
  <c r="T325" i="10"/>
  <c r="S325" i="10"/>
  <c r="R325" i="10"/>
  <c r="Q326" i="10" a="1"/>
  <c r="Q326" i="10"/>
  <c r="T326" i="10"/>
  <c r="S326" i="10"/>
  <c r="R326" i="10"/>
  <c r="Q327" i="10" a="1"/>
  <c r="Q327" i="10"/>
  <c r="T327" i="10"/>
  <c r="S327" i="10"/>
  <c r="R327" i="10"/>
  <c r="Q328" i="10" a="1"/>
  <c r="Q328" i="10"/>
  <c r="S328" i="10"/>
  <c r="T328" i="10"/>
  <c r="R328" i="10"/>
  <c r="Q329" i="10" a="1"/>
  <c r="Q329" i="10"/>
  <c r="T329" i="10"/>
  <c r="S329" i="10"/>
  <c r="R329" i="10"/>
  <c r="Q330" i="10" a="1"/>
  <c r="Q330" i="10"/>
  <c r="S330" i="10"/>
  <c r="T330" i="10"/>
  <c r="R330" i="10"/>
  <c r="Q331" i="10" a="1"/>
  <c r="Q331" i="10"/>
  <c r="R331" i="10"/>
  <c r="T331" i="10"/>
  <c r="S331" i="10"/>
  <c r="Q332" i="10" a="1"/>
  <c r="Q332" i="10"/>
  <c r="T332" i="10"/>
  <c r="S332" i="10"/>
  <c r="R332" i="10"/>
  <c r="Q333" i="10" a="1"/>
  <c r="Q333" i="10"/>
  <c r="S333" i="10"/>
  <c r="R333" i="10"/>
  <c r="T333" i="10"/>
  <c r="Q334" i="10" a="1"/>
  <c r="Q334" i="10"/>
  <c r="T334" i="10"/>
  <c r="S334" i="10"/>
  <c r="R334" i="10"/>
  <c r="Q335" i="10" a="1"/>
  <c r="Q335" i="10"/>
  <c r="T335" i="10"/>
  <c r="R335" i="10"/>
  <c r="S335" i="10"/>
  <c r="Q336" i="10" a="1"/>
  <c r="Q336" i="10"/>
  <c r="T336" i="10"/>
  <c r="S336" i="10"/>
  <c r="R336" i="10"/>
  <c r="Q337" i="10" a="1"/>
  <c r="Q337" i="10"/>
  <c r="T337" i="10"/>
  <c r="R337" i="10"/>
  <c r="S337" i="10"/>
  <c r="Q338" i="10" a="1"/>
  <c r="Q338" i="10"/>
  <c r="S338" i="10"/>
  <c r="R338" i="10"/>
  <c r="T338" i="10"/>
  <c r="Q339" i="10" a="1"/>
  <c r="Q339" i="10"/>
  <c r="R339" i="10"/>
  <c r="T339" i="10"/>
  <c r="S339" i="10"/>
  <c r="Q340" i="10" a="1"/>
  <c r="Q340" i="10"/>
  <c r="T340" i="10"/>
  <c r="S340" i="10"/>
  <c r="R340" i="10"/>
  <c r="Q341" i="10" a="1"/>
  <c r="Q341" i="10"/>
  <c r="T341" i="10"/>
  <c r="S341" i="10"/>
  <c r="R341" i="10"/>
  <c r="Q342" i="10" a="1"/>
  <c r="Q342" i="10"/>
  <c r="T342" i="10"/>
  <c r="S342" i="10"/>
  <c r="R342" i="10"/>
  <c r="Q343" i="10" a="1"/>
  <c r="Q343" i="10"/>
  <c r="T343" i="10"/>
  <c r="S343" i="10"/>
  <c r="R343" i="10"/>
  <c r="Q344" i="10" a="1"/>
  <c r="Q344" i="10"/>
  <c r="S344" i="10"/>
  <c r="T344" i="10"/>
  <c r="R344" i="10"/>
  <c r="Q345" i="10" a="1"/>
  <c r="Q345" i="10"/>
  <c r="T345" i="10"/>
  <c r="S345" i="10"/>
  <c r="R345" i="10"/>
  <c r="Q346" i="10" a="1"/>
  <c r="Q346" i="10"/>
  <c r="S346" i="10"/>
  <c r="R346" i="10"/>
  <c r="T346" i="10"/>
  <c r="Q347" i="10" a="1"/>
  <c r="Q347" i="10"/>
  <c r="R347" i="10"/>
  <c r="T347" i="10"/>
  <c r="S347" i="10"/>
  <c r="Q348" i="10" a="1"/>
  <c r="Q348" i="10"/>
  <c r="T348" i="10"/>
  <c r="S348" i="10"/>
  <c r="R348" i="10"/>
  <c r="Q349" i="10" a="1"/>
  <c r="Q349" i="10"/>
  <c r="T349" i="10"/>
  <c r="S349" i="10"/>
  <c r="R349" i="10"/>
  <c r="Q350" i="10" a="1"/>
  <c r="Q350" i="10"/>
  <c r="T350" i="10"/>
  <c r="S350" i="10"/>
  <c r="R350" i="10"/>
  <c r="Q351" i="10" a="1"/>
  <c r="Q351" i="10"/>
  <c r="T351" i="10"/>
  <c r="S351" i="10"/>
  <c r="R351" i="10"/>
  <c r="Q352" i="10" a="1"/>
  <c r="Q352" i="10"/>
  <c r="T352" i="10"/>
  <c r="S352" i="10"/>
  <c r="R352" i="10"/>
  <c r="Q353" i="10" a="1"/>
  <c r="Q353" i="10"/>
  <c r="T353" i="10"/>
  <c r="R353" i="10"/>
  <c r="S353" i="10"/>
  <c r="Q354" i="10" a="1"/>
  <c r="Q354" i="10"/>
  <c r="S354" i="10"/>
  <c r="R354" i="10"/>
  <c r="T354" i="10"/>
  <c r="Q355" i="10" a="1"/>
  <c r="Q355" i="10"/>
  <c r="R355" i="10"/>
  <c r="T355" i="10"/>
  <c r="S355" i="10"/>
  <c r="Q356" i="10" a="1"/>
  <c r="Q356" i="10"/>
  <c r="T356" i="10"/>
  <c r="S356" i="10"/>
  <c r="R356" i="10"/>
  <c r="Q357" i="10" a="1"/>
  <c r="Q357" i="10"/>
  <c r="T357" i="10"/>
  <c r="S357" i="10"/>
  <c r="R357" i="10"/>
  <c r="Q358" i="10" a="1"/>
  <c r="Q358" i="10"/>
  <c r="R358" i="10"/>
  <c r="T358" i="10"/>
  <c r="S358" i="10"/>
  <c r="Q359" i="10" a="1"/>
  <c r="Q359" i="10"/>
  <c r="T359" i="10"/>
  <c r="S359" i="10"/>
  <c r="R359" i="10"/>
  <c r="Q360" i="10" a="1"/>
  <c r="Q360" i="10"/>
  <c r="S360" i="10"/>
  <c r="R360" i="10"/>
  <c r="T360" i="10"/>
  <c r="Q361" i="10" a="1"/>
  <c r="Q361" i="10"/>
  <c r="T361" i="10"/>
  <c r="S361" i="10"/>
  <c r="R361" i="10"/>
  <c r="Q362" i="10" a="1"/>
  <c r="Q362" i="10"/>
  <c r="S362" i="10"/>
  <c r="T362" i="10"/>
  <c r="R362" i="10"/>
  <c r="Q363" i="10" a="1"/>
  <c r="Q363" i="10"/>
  <c r="S363" i="10"/>
  <c r="R363" i="10"/>
  <c r="T363" i="10"/>
  <c r="Q364" i="10" a="1"/>
  <c r="Q364" i="10"/>
  <c r="T364" i="10"/>
  <c r="S364" i="10"/>
  <c r="R364" i="10"/>
  <c r="Q365" i="10" a="1"/>
  <c r="Q365" i="10"/>
  <c r="T365" i="10"/>
  <c r="S365" i="10"/>
  <c r="R365" i="10"/>
  <c r="Q366" i="10" a="1"/>
  <c r="Q366" i="10"/>
  <c r="T366" i="10"/>
  <c r="S366" i="10"/>
  <c r="R366" i="10"/>
  <c r="Q367" i="10" a="1"/>
  <c r="Q367" i="10"/>
  <c r="T367" i="10"/>
  <c r="S367" i="10"/>
  <c r="R367" i="10"/>
  <c r="Q368" i="10" a="1"/>
  <c r="Q368" i="10"/>
  <c r="T368" i="10"/>
  <c r="S368" i="10"/>
  <c r="R368" i="10"/>
  <c r="Q369" i="10" a="1"/>
  <c r="Q369" i="10"/>
  <c r="T369" i="10"/>
  <c r="S369" i="10"/>
  <c r="R369" i="10"/>
  <c r="Q370" i="10" a="1"/>
  <c r="Q370" i="10"/>
  <c r="T370" i="10"/>
  <c r="S370" i="10"/>
  <c r="R370" i="10"/>
  <c r="Q371" i="10" a="1"/>
  <c r="Q371" i="10"/>
  <c r="R371" i="10"/>
  <c r="T371" i="10"/>
  <c r="S371" i="10"/>
  <c r="Q372" i="10" a="1"/>
  <c r="Q372" i="10"/>
  <c r="R372" i="10"/>
  <c r="T372" i="10"/>
  <c r="S372" i="10"/>
  <c r="Q373" i="10" a="1"/>
  <c r="Q373" i="10"/>
  <c r="T373" i="10"/>
  <c r="S373" i="10"/>
  <c r="R373" i="10"/>
  <c r="Q374" i="10" a="1"/>
  <c r="Q374" i="10"/>
  <c r="T374" i="10"/>
  <c r="S374" i="10"/>
  <c r="R374" i="10"/>
  <c r="Q375" i="10" a="1"/>
  <c r="Q375" i="10"/>
  <c r="T375" i="10"/>
  <c r="S375" i="10"/>
  <c r="R375" i="10"/>
  <c r="Q376" i="10" a="1"/>
  <c r="Q376" i="10"/>
  <c r="T376" i="10"/>
  <c r="S376" i="10"/>
  <c r="R376" i="10"/>
  <c r="Q377" i="10" a="1"/>
  <c r="Q377" i="10"/>
  <c r="T377" i="10"/>
  <c r="S377" i="10"/>
  <c r="R377" i="10"/>
  <c r="Q378" i="10" a="1"/>
  <c r="Q378" i="10"/>
  <c r="S378" i="10"/>
  <c r="R378" i="10"/>
  <c r="T378" i="10"/>
  <c r="Q379" i="10" a="1"/>
  <c r="Q379" i="10"/>
  <c r="S379" i="10"/>
  <c r="R379" i="10"/>
  <c r="T379" i="10"/>
  <c r="Q380" i="10" a="1"/>
  <c r="Q380" i="10"/>
  <c r="T380" i="10"/>
  <c r="S380" i="10"/>
  <c r="R380" i="10"/>
  <c r="Q381" i="10" a="1"/>
  <c r="Q381" i="10"/>
  <c r="S381" i="10"/>
  <c r="T381" i="10"/>
  <c r="R381" i="10"/>
  <c r="Q382" i="10" a="1"/>
  <c r="Q382" i="10"/>
  <c r="T382" i="10"/>
  <c r="S382" i="10"/>
  <c r="R382" i="10"/>
  <c r="Q383" i="10" a="1"/>
  <c r="Q383" i="10"/>
  <c r="T383" i="10"/>
  <c r="S383" i="10"/>
  <c r="R383" i="10"/>
  <c r="Q384" i="10" a="1"/>
  <c r="Q384" i="10"/>
  <c r="T384" i="10"/>
  <c r="S384" i="10"/>
  <c r="R384" i="10"/>
  <c r="Q385" i="10" a="1"/>
  <c r="Q385" i="10"/>
  <c r="T385" i="10"/>
  <c r="S385" i="10"/>
  <c r="R385" i="10"/>
  <c r="Q386" i="10" a="1"/>
  <c r="Q386" i="10"/>
  <c r="T386" i="10"/>
  <c r="S386" i="10"/>
  <c r="R386" i="10"/>
  <c r="Q387" i="10" a="1"/>
  <c r="Q387" i="10"/>
  <c r="T387" i="10"/>
  <c r="S387" i="10"/>
  <c r="R387" i="10"/>
  <c r="Q388" i="10" a="1"/>
  <c r="Q388" i="10"/>
  <c r="T388" i="10"/>
  <c r="S388" i="10"/>
  <c r="R388" i="10"/>
  <c r="Q389" i="10" a="1"/>
  <c r="Q389" i="10"/>
  <c r="R389" i="10"/>
  <c r="T389" i="10"/>
  <c r="S389" i="10"/>
  <c r="Q390" i="10" a="1"/>
  <c r="Q390" i="10"/>
  <c r="T390" i="10"/>
  <c r="S390" i="10"/>
  <c r="R390" i="10"/>
  <c r="Q391" i="10" a="1"/>
  <c r="Q391" i="10"/>
  <c r="T391" i="10"/>
  <c r="S391" i="10"/>
  <c r="R391" i="10"/>
  <c r="Q392" i="10" a="1"/>
  <c r="Q392" i="10"/>
  <c r="T392" i="10"/>
  <c r="S392" i="10"/>
  <c r="R392" i="10"/>
  <c r="Q393" i="10" a="1"/>
  <c r="Q393" i="10"/>
  <c r="S393" i="10"/>
  <c r="R393" i="10"/>
  <c r="T393" i="10"/>
  <c r="Q394" i="10" a="1"/>
  <c r="Q394" i="10"/>
  <c r="S394" i="10"/>
  <c r="R394" i="10"/>
  <c r="T394" i="10"/>
  <c r="Q395" i="10" a="1"/>
  <c r="Q395" i="10"/>
  <c r="T395" i="10"/>
  <c r="S395" i="10"/>
  <c r="R395" i="10"/>
  <c r="Q396" i="10" a="1"/>
  <c r="Q396" i="10"/>
  <c r="S396" i="10"/>
  <c r="T396" i="10"/>
  <c r="R396" i="10"/>
  <c r="Q397" i="10" a="1"/>
  <c r="Q397" i="10"/>
  <c r="T397" i="10"/>
  <c r="S397" i="10"/>
  <c r="R397" i="10"/>
  <c r="Q398" i="10" a="1"/>
  <c r="Q398" i="10"/>
  <c r="T398" i="10"/>
  <c r="S398" i="10"/>
  <c r="R398" i="10"/>
  <c r="Q399" i="10" a="1"/>
  <c r="Q399" i="10"/>
  <c r="T399" i="10"/>
  <c r="S399" i="10"/>
  <c r="R399" i="10"/>
  <c r="Q400" i="10" a="1"/>
  <c r="Q400" i="10"/>
  <c r="T400" i="10"/>
  <c r="S400" i="10"/>
  <c r="R400" i="10"/>
  <c r="Q401" i="10" a="1"/>
  <c r="Q401" i="10"/>
  <c r="T401" i="10"/>
  <c r="S401" i="10"/>
  <c r="R401" i="10"/>
  <c r="Q402" i="10" a="1"/>
  <c r="Q402" i="10"/>
  <c r="T402" i="10"/>
  <c r="S402" i="10"/>
  <c r="R402" i="10"/>
  <c r="Q403" i="10" a="1"/>
  <c r="Q403" i="10"/>
  <c r="T403" i="10"/>
  <c r="S403" i="10"/>
  <c r="R403" i="10"/>
  <c r="Q404" i="10" a="1"/>
  <c r="Q404" i="10"/>
  <c r="T404" i="10"/>
  <c r="S404" i="10"/>
  <c r="R404" i="10"/>
  <c r="Q405" i="10" a="1"/>
  <c r="Q405" i="10"/>
  <c r="R405" i="10"/>
  <c r="T405" i="10"/>
  <c r="S405" i="10"/>
  <c r="Q406" i="10" a="1"/>
  <c r="Q406" i="10"/>
  <c r="S406" i="10"/>
  <c r="R406" i="10"/>
  <c r="T406" i="10"/>
  <c r="Q407" i="10" a="1"/>
  <c r="Q407" i="10"/>
  <c r="T407" i="10"/>
  <c r="S407" i="10"/>
  <c r="R407" i="10"/>
  <c r="Q408" i="10" a="1"/>
  <c r="Q408" i="10"/>
  <c r="S408" i="10"/>
  <c r="R408" i="10"/>
  <c r="T408" i="10"/>
  <c r="Q409" i="10" a="1"/>
  <c r="Q409" i="10"/>
  <c r="T409" i="10"/>
  <c r="S409" i="10"/>
  <c r="R409" i="10"/>
  <c r="Q410" i="10" a="1"/>
  <c r="Q410" i="10"/>
  <c r="S410" i="10"/>
  <c r="R410" i="10"/>
  <c r="T410" i="10"/>
  <c r="Q411" i="10" a="1"/>
  <c r="Q411" i="10"/>
  <c r="S411" i="10"/>
  <c r="R411" i="10"/>
  <c r="T411" i="10"/>
  <c r="Q412" i="10" a="1"/>
  <c r="Q412" i="10"/>
  <c r="S412" i="10"/>
  <c r="T412" i="10"/>
  <c r="R412" i="10"/>
  <c r="Q413" i="10" a="1"/>
  <c r="Q413" i="10"/>
  <c r="S413" i="10"/>
  <c r="R413" i="10"/>
  <c r="T413" i="10"/>
  <c r="Q414" i="10" a="1"/>
  <c r="Q414" i="10"/>
  <c r="T414" i="10"/>
  <c r="R414" i="10"/>
  <c r="S414" i="10"/>
  <c r="Q415" i="10" a="1"/>
  <c r="Q415" i="10"/>
  <c r="S415" i="10"/>
  <c r="R415" i="10"/>
  <c r="T415" i="10"/>
  <c r="Q416" i="10" a="1"/>
  <c r="Q416" i="10"/>
  <c r="T416" i="10"/>
  <c r="R416" i="10"/>
  <c r="S416" i="10"/>
  <c r="Q417" i="10" a="1"/>
  <c r="Q417" i="10"/>
  <c r="S417" i="10"/>
  <c r="R417" i="10"/>
  <c r="T417" i="10"/>
  <c r="Q418" i="10" a="1"/>
  <c r="Q418" i="10"/>
  <c r="T418" i="10"/>
  <c r="S418" i="10"/>
  <c r="R418" i="10"/>
  <c r="Q419" i="10" a="1"/>
  <c r="Q419" i="10"/>
  <c r="T419" i="10"/>
  <c r="S419" i="10"/>
  <c r="R419" i="10"/>
  <c r="Q420" i="10" a="1"/>
  <c r="Q420" i="10"/>
  <c r="T420" i="10"/>
  <c r="S420" i="10"/>
  <c r="R420" i="10"/>
  <c r="Q421" i="10" a="1"/>
  <c r="Q421" i="10"/>
  <c r="R421" i="10"/>
  <c r="T421" i="10"/>
  <c r="S421" i="10"/>
  <c r="Q422" i="10" a="1"/>
  <c r="Q422" i="10"/>
  <c r="R422" i="10"/>
  <c r="T422" i="10"/>
  <c r="S422" i="10"/>
  <c r="Q423" i="10" a="1"/>
  <c r="Q423" i="10"/>
  <c r="R423" i="10"/>
  <c r="T423" i="10"/>
  <c r="S423" i="10"/>
  <c r="Q424" i="10" a="1"/>
  <c r="Q424" i="10"/>
  <c r="T424" i="10"/>
  <c r="S424" i="10"/>
  <c r="R424" i="10"/>
  <c r="Q425" i="10" a="1"/>
  <c r="Q425" i="10"/>
  <c r="R425" i="10"/>
  <c r="T425" i="10"/>
  <c r="S425" i="10"/>
  <c r="Q426" i="10" a="1"/>
  <c r="Q426" i="10"/>
  <c r="T426" i="10"/>
  <c r="S426" i="10"/>
  <c r="R426" i="10"/>
  <c r="Q427" i="10" a="1"/>
  <c r="Q427" i="10"/>
  <c r="T427" i="10"/>
  <c r="S427" i="10"/>
  <c r="R427" i="10"/>
  <c r="Q428" i="10" a="1"/>
  <c r="Q428" i="10"/>
  <c r="S428" i="10"/>
  <c r="T428" i="10"/>
  <c r="R428" i="10"/>
  <c r="Q429" i="10" a="1"/>
  <c r="Q429" i="10"/>
  <c r="S429" i="10"/>
  <c r="T429" i="10"/>
  <c r="R429" i="10"/>
  <c r="Q430" i="10" a="1"/>
  <c r="Q430" i="10"/>
  <c r="T430" i="10"/>
  <c r="S430" i="10"/>
  <c r="R430" i="10"/>
  <c r="Q431" i="10" a="1"/>
  <c r="Q431" i="10"/>
  <c r="T431" i="10"/>
  <c r="S431" i="10"/>
  <c r="R431" i="10"/>
  <c r="Q432" i="10" a="1"/>
  <c r="Q432" i="10"/>
  <c r="T432" i="10"/>
  <c r="S432" i="10"/>
  <c r="R432" i="10"/>
  <c r="Q433" i="10" a="1"/>
  <c r="Q433" i="10"/>
  <c r="T433" i="10"/>
  <c r="S433" i="10"/>
  <c r="R433" i="10"/>
  <c r="Q434" i="10" a="1"/>
  <c r="Q434" i="10"/>
  <c r="T434" i="10"/>
  <c r="S434" i="10"/>
  <c r="R434" i="10"/>
  <c r="Q435" i="10" a="1"/>
  <c r="Q435" i="10"/>
  <c r="T435" i="10"/>
  <c r="S435" i="10"/>
  <c r="R435" i="10"/>
  <c r="Q436" i="10" a="1"/>
  <c r="Q436" i="10"/>
  <c r="T436" i="10"/>
  <c r="S436" i="10"/>
  <c r="R436" i="10"/>
  <c r="Q437" i="10" a="1"/>
  <c r="Q437" i="10"/>
  <c r="R437" i="10"/>
  <c r="T437" i="10"/>
  <c r="S437" i="10"/>
  <c r="Q438" i="10" a="1"/>
  <c r="Q438" i="10"/>
  <c r="R438" i="10"/>
  <c r="T438" i="10"/>
  <c r="S438" i="10"/>
  <c r="Q439" i="10" a="1"/>
  <c r="Q439" i="10"/>
  <c r="T439" i="10"/>
  <c r="S439" i="10"/>
  <c r="R439" i="10"/>
  <c r="Q440" i="10" a="1"/>
  <c r="Q440" i="10"/>
  <c r="T440" i="10"/>
  <c r="S440" i="10"/>
  <c r="R440" i="10"/>
  <c r="Q441" i="10" a="1"/>
  <c r="Q441" i="10"/>
  <c r="T441" i="10"/>
  <c r="S441" i="10"/>
  <c r="R441" i="10"/>
  <c r="Q442" i="10" a="1"/>
  <c r="Q442" i="10"/>
  <c r="T442" i="10"/>
  <c r="S442" i="10"/>
  <c r="R442" i="10"/>
  <c r="Q443" i="10" a="1"/>
  <c r="Q443" i="10"/>
  <c r="T443" i="10"/>
  <c r="S443" i="10"/>
  <c r="R443" i="10"/>
  <c r="Q444" i="10" a="1"/>
  <c r="Q444" i="10"/>
  <c r="S444" i="10"/>
  <c r="T444" i="10"/>
  <c r="R444" i="10"/>
  <c r="Q445" i="10" a="1"/>
  <c r="Q445" i="10"/>
  <c r="S445" i="10"/>
  <c r="T445" i="10"/>
  <c r="R445" i="10"/>
  <c r="Q446" i="10" a="1"/>
  <c r="Q446" i="10"/>
  <c r="T446" i="10"/>
  <c r="S446" i="10"/>
  <c r="R446" i="10"/>
  <c r="Q447" i="10" a="1"/>
  <c r="Q447" i="10"/>
  <c r="T447" i="10"/>
  <c r="S447" i="10"/>
  <c r="R447" i="10"/>
  <c r="Q448" i="10" a="1"/>
  <c r="Q448" i="10"/>
  <c r="T448" i="10"/>
  <c r="S448" i="10"/>
  <c r="R448" i="10"/>
  <c r="Q449" i="10" a="1"/>
  <c r="Q449" i="10"/>
  <c r="T449" i="10"/>
  <c r="S449" i="10"/>
  <c r="R449" i="10"/>
  <c r="Q450" i="10" a="1"/>
  <c r="Q450" i="10"/>
  <c r="T450" i="10"/>
  <c r="S450" i="10"/>
  <c r="R450" i="10"/>
  <c r="Q451" i="10" a="1"/>
  <c r="Q451" i="10"/>
  <c r="T451" i="10"/>
  <c r="S451" i="10"/>
  <c r="R451" i="10"/>
  <c r="Q452" i="10" a="1"/>
  <c r="Q452" i="10"/>
  <c r="T452" i="10"/>
  <c r="S452" i="10"/>
  <c r="R452" i="10"/>
  <c r="Q453" i="10" a="1"/>
  <c r="Q453" i="10"/>
  <c r="R453" i="10"/>
  <c r="T453" i="10"/>
  <c r="S453" i="10"/>
  <c r="Q454" i="10" a="1"/>
  <c r="Q454" i="10"/>
  <c r="R454" i="10"/>
  <c r="T454" i="10"/>
  <c r="S454" i="10"/>
  <c r="Q455" i="10" a="1"/>
  <c r="Q455" i="10"/>
  <c r="T455" i="10"/>
  <c r="S455" i="10"/>
  <c r="R455" i="10"/>
  <c r="Q456" i="10" a="1"/>
  <c r="Q456" i="10"/>
  <c r="T456" i="10"/>
  <c r="S456" i="10"/>
  <c r="R456" i="10"/>
  <c r="Q457" i="10" a="1"/>
  <c r="Q457" i="10"/>
  <c r="T457" i="10"/>
  <c r="S457" i="10"/>
  <c r="R457" i="10"/>
  <c r="Q458" i="10" a="1"/>
  <c r="Q458" i="10"/>
  <c r="T458" i="10"/>
  <c r="S458" i="10"/>
  <c r="R458" i="10"/>
  <c r="Q459" i="10" a="1"/>
  <c r="Q459" i="10"/>
  <c r="T459" i="10"/>
  <c r="S459" i="10"/>
  <c r="R459" i="10"/>
  <c r="Q460" i="10" a="1"/>
  <c r="Q460" i="10"/>
  <c r="S460" i="10"/>
  <c r="T460" i="10"/>
  <c r="R460" i="10"/>
  <c r="Q461" i="10" a="1"/>
  <c r="Q461" i="10"/>
  <c r="S461" i="10"/>
  <c r="T461" i="10"/>
  <c r="R461" i="10"/>
  <c r="Q462" i="10" a="1"/>
  <c r="Q462" i="10"/>
  <c r="T462" i="10"/>
  <c r="S462" i="10"/>
  <c r="R462" i="10"/>
  <c r="Q463" i="10" a="1"/>
  <c r="Q463" i="10"/>
  <c r="T463" i="10"/>
  <c r="S463" i="10"/>
  <c r="R463" i="10"/>
  <c r="Q464" i="10" a="1"/>
  <c r="Q464" i="10"/>
  <c r="S464" i="10"/>
  <c r="T464" i="10"/>
  <c r="R464" i="10"/>
  <c r="Q465" i="10" a="1"/>
  <c r="Q465" i="10"/>
  <c r="T465" i="10"/>
  <c r="S465" i="10"/>
  <c r="R465" i="10"/>
  <c r="Q466" i="10" a="1"/>
  <c r="Q466" i="10"/>
  <c r="T466" i="10"/>
  <c r="S466" i="10"/>
  <c r="R466" i="10"/>
  <c r="Q467" i="10" a="1"/>
  <c r="Q467" i="10"/>
  <c r="T467" i="10"/>
  <c r="S467" i="10"/>
  <c r="R467" i="10"/>
  <c r="Q468" i="10" a="1"/>
  <c r="Q468" i="10"/>
  <c r="T468" i="10"/>
  <c r="S468" i="10"/>
  <c r="R468" i="10"/>
  <c r="Q469" i="10" a="1"/>
  <c r="Q469" i="10"/>
  <c r="R469" i="10"/>
  <c r="T469" i="10"/>
  <c r="S469" i="10"/>
  <c r="Q470" i="10" a="1"/>
  <c r="Q470" i="10"/>
  <c r="S470" i="10"/>
  <c r="R470" i="10"/>
  <c r="T470" i="10"/>
  <c r="Q471" i="10" a="1"/>
  <c r="Q471" i="10"/>
  <c r="T471" i="10"/>
  <c r="S471" i="10"/>
  <c r="R471" i="10"/>
  <c r="Q472" i="10" a="1"/>
  <c r="Q472" i="10"/>
  <c r="T472" i="10"/>
  <c r="S472" i="10"/>
  <c r="R472" i="10"/>
  <c r="Q473" i="10" a="1"/>
  <c r="Q473" i="10"/>
  <c r="R473" i="10"/>
  <c r="T473" i="10"/>
  <c r="S473" i="10"/>
  <c r="Q474" i="10" a="1"/>
  <c r="Q474" i="10"/>
  <c r="T474" i="10"/>
  <c r="S474" i="10"/>
  <c r="R474" i="10"/>
  <c r="Q475" i="10" a="1"/>
  <c r="Q475" i="10"/>
  <c r="T475" i="10"/>
  <c r="S475" i="10"/>
  <c r="R475" i="10"/>
  <c r="Q476" i="10" a="1"/>
  <c r="Q476" i="10"/>
  <c r="S476" i="10"/>
  <c r="T476" i="10"/>
  <c r="R476" i="10"/>
  <c r="Q477" i="10" a="1"/>
  <c r="Q477" i="10"/>
  <c r="T477" i="10"/>
  <c r="S477" i="10"/>
  <c r="R477" i="10"/>
  <c r="Q478" i="10" a="1"/>
  <c r="Q478" i="10"/>
  <c r="S478" i="10"/>
  <c r="R478" i="10"/>
  <c r="T478" i="10"/>
  <c r="Q479" i="10" a="1"/>
  <c r="Q479" i="10"/>
  <c r="R479" i="10"/>
  <c r="T479" i="10"/>
  <c r="S479" i="10"/>
  <c r="Q480" i="10" a="1"/>
  <c r="Q480" i="10"/>
  <c r="S480" i="10"/>
  <c r="T480" i="10"/>
  <c r="R480" i="10"/>
  <c r="Q481" i="10" a="1"/>
  <c r="Q481" i="10"/>
  <c r="S481" i="10"/>
  <c r="T481" i="10"/>
  <c r="R481" i="10"/>
  <c r="Q482" i="10" a="1"/>
  <c r="Q482" i="10"/>
  <c r="T482" i="10"/>
  <c r="S482" i="10"/>
  <c r="R482" i="10"/>
  <c r="Q483" i="10" a="1"/>
  <c r="Q483" i="10"/>
  <c r="T483" i="10"/>
  <c r="S483" i="10"/>
  <c r="R483" i="10"/>
  <c r="Q484" i="10" a="1"/>
  <c r="Q484" i="10"/>
  <c r="T484" i="10"/>
  <c r="S484" i="10"/>
  <c r="R484" i="10"/>
  <c r="Q485" i="10" a="1"/>
  <c r="Q485" i="10"/>
  <c r="S485" i="10"/>
  <c r="R485" i="10"/>
  <c r="T485" i="10"/>
  <c r="Q486" i="10" a="1"/>
  <c r="Q486" i="10"/>
  <c r="S486" i="10"/>
  <c r="R486" i="10"/>
  <c r="T486" i="10"/>
  <c r="Q487" i="10" a="1"/>
  <c r="Q487" i="10"/>
  <c r="T487" i="10"/>
  <c r="S487" i="10"/>
  <c r="R487" i="10"/>
  <c r="Q488" i="10" a="1"/>
  <c r="Q488" i="10"/>
  <c r="T488" i="10"/>
  <c r="S488" i="10"/>
  <c r="R488" i="10"/>
  <c r="Q489" i="10" a="1"/>
  <c r="Q489" i="10"/>
  <c r="R489" i="10"/>
  <c r="T489" i="10"/>
  <c r="S489" i="10"/>
  <c r="Q490" i="10" a="1"/>
  <c r="Q490" i="10"/>
  <c r="R490" i="10"/>
  <c r="T490" i="10"/>
  <c r="S490" i="10"/>
  <c r="Q491" i="10" a="1"/>
  <c r="Q491" i="10"/>
  <c r="T491" i="10"/>
  <c r="S491" i="10"/>
  <c r="R491" i="10"/>
  <c r="Q492" i="10" a="1"/>
  <c r="Q492" i="10"/>
  <c r="T492" i="10"/>
  <c r="S492" i="10"/>
  <c r="R492" i="10"/>
  <c r="Q493" i="10" a="1"/>
  <c r="Q493" i="10"/>
  <c r="T493" i="10"/>
  <c r="S493" i="10"/>
  <c r="R493" i="10"/>
  <c r="Q494" i="10" a="1"/>
  <c r="Q494" i="10"/>
  <c r="R494" i="10"/>
  <c r="T494" i="10"/>
  <c r="S494" i="10"/>
  <c r="Q495" i="10" a="1"/>
  <c r="Q495" i="10"/>
  <c r="R495" i="10"/>
  <c r="T495" i="10"/>
  <c r="S495" i="10"/>
  <c r="Q496" i="10" a="1"/>
  <c r="Q496" i="10"/>
  <c r="S496" i="10"/>
  <c r="T496" i="10"/>
  <c r="R496" i="10"/>
  <c r="Q497" i="10" a="1"/>
  <c r="Q497" i="10"/>
  <c r="S497" i="10"/>
  <c r="T497" i="10"/>
  <c r="R497" i="10"/>
  <c r="Q498" i="10" a="1"/>
  <c r="Q498" i="10"/>
  <c r="T498" i="10"/>
  <c r="S498" i="10"/>
  <c r="R498" i="10"/>
  <c r="Q499" i="10" a="1"/>
  <c r="Q499" i="10"/>
  <c r="T499" i="10"/>
  <c r="S499" i="10"/>
  <c r="R499" i="10"/>
  <c r="Q500" i="10" a="1"/>
  <c r="Q500" i="10"/>
  <c r="T500" i="10"/>
  <c r="S500" i="10"/>
  <c r="R500" i="10"/>
  <c r="Q501" i="10" a="1"/>
  <c r="Q501" i="10"/>
  <c r="S501" i="10"/>
  <c r="R501" i="10"/>
  <c r="T501" i="10"/>
  <c r="Q502" i="10" a="1"/>
  <c r="Q502" i="10"/>
  <c r="S502" i="10"/>
  <c r="R502" i="10"/>
  <c r="T502" i="10"/>
  <c r="Q503" i="10" a="1"/>
  <c r="Q503" i="10"/>
  <c r="T503" i="10"/>
  <c r="R503" i="10"/>
  <c r="S503" i="10"/>
  <c r="Q504" i="10" a="1"/>
  <c r="Q504" i="10"/>
  <c r="R504" i="10"/>
  <c r="T504" i="10"/>
  <c r="S504" i="10"/>
  <c r="Q505" i="10" a="1"/>
  <c r="Q505" i="10"/>
  <c r="R505" i="10"/>
  <c r="S505" i="10"/>
  <c r="T505" i="10"/>
  <c r="Q506" i="10" a="1"/>
  <c r="Q506" i="10"/>
  <c r="T506" i="10"/>
  <c r="S506" i="10"/>
  <c r="R506" i="10"/>
  <c r="Q507" i="10" a="1"/>
  <c r="Q507" i="10"/>
  <c r="R507" i="10"/>
  <c r="T507" i="10"/>
  <c r="S507" i="10"/>
  <c r="Q508" i="10" a="1"/>
  <c r="Q508" i="10"/>
  <c r="R508" i="10"/>
  <c r="S508" i="10"/>
  <c r="T508" i="10"/>
  <c r="Q509" i="10" a="1"/>
  <c r="Q509" i="10"/>
  <c r="T509" i="10"/>
  <c r="R509" i="10"/>
  <c r="S509" i="10"/>
  <c r="Q510" i="10" a="1"/>
  <c r="Q510" i="10"/>
  <c r="R510" i="10"/>
  <c r="T510" i="10"/>
  <c r="S510" i="10"/>
  <c r="Q511" i="10" a="1"/>
  <c r="Q511" i="10"/>
  <c r="S511" i="10"/>
  <c r="T511" i="10"/>
  <c r="R511" i="10"/>
  <c r="Q512" i="10" a="1"/>
  <c r="Q512" i="10"/>
  <c r="T512" i="10"/>
  <c r="S512" i="10"/>
  <c r="R512" i="10"/>
  <c r="Q513" i="10" a="1"/>
  <c r="Q513" i="10"/>
  <c r="T513" i="10"/>
  <c r="R513" i="10"/>
  <c r="S513" i="10"/>
  <c r="Q514" i="10" a="1"/>
  <c r="Q514" i="10"/>
  <c r="S514" i="10"/>
  <c r="R514" i="10"/>
  <c r="T514" i="10"/>
  <c r="Q515" i="10" a="1"/>
  <c r="Q515" i="10"/>
  <c r="S515" i="10"/>
  <c r="T515" i="10"/>
  <c r="R515" i="10"/>
  <c r="Q516" i="10" a="1"/>
  <c r="Q516" i="10"/>
  <c r="T516" i="10"/>
  <c r="R516" i="10"/>
  <c r="S516" i="10"/>
  <c r="Q517" i="10" a="1"/>
  <c r="Q517" i="10"/>
  <c r="S517" i="10"/>
  <c r="R517" i="10"/>
  <c r="T517" i="10"/>
  <c r="Q518" i="10" a="1"/>
  <c r="Q518" i="10"/>
  <c r="S518" i="10"/>
  <c r="T518" i="10"/>
  <c r="R518" i="10"/>
  <c r="Q519" i="10" a="1"/>
  <c r="Q519" i="10"/>
  <c r="R519" i="10"/>
  <c r="T519" i="10"/>
  <c r="S519" i="10"/>
  <c r="Q520" i="10" a="1"/>
  <c r="Q520" i="10"/>
  <c r="R520" i="10"/>
  <c r="S520" i="10"/>
  <c r="T520" i="10"/>
  <c r="Q521" i="10" a="1"/>
  <c r="Q521" i="10"/>
  <c r="S521" i="10"/>
  <c r="R521" i="10"/>
  <c r="T521" i="10"/>
  <c r="Q522" i="10" a="1"/>
  <c r="Q522" i="10"/>
  <c r="T522" i="10"/>
  <c r="S522" i="10"/>
  <c r="R522" i="10"/>
  <c r="Q523" i="10" a="1"/>
  <c r="Q523" i="10"/>
  <c r="R523" i="10"/>
  <c r="T523" i="10"/>
  <c r="S523" i="10"/>
  <c r="Q524" i="10" a="1"/>
  <c r="Q524" i="10"/>
  <c r="R524" i="10"/>
  <c r="T524" i="10"/>
  <c r="S524" i="10"/>
  <c r="Q525" i="10" a="1"/>
  <c r="Q525" i="10"/>
  <c r="T525" i="10"/>
  <c r="S525" i="10"/>
  <c r="R525" i="10"/>
  <c r="Q526" i="10" a="1"/>
  <c r="Q526" i="10"/>
  <c r="T526" i="10"/>
  <c r="S526" i="10"/>
  <c r="R526" i="10"/>
  <c r="Q527" i="10" a="1"/>
  <c r="Q527" i="10"/>
  <c r="T527" i="10"/>
  <c r="R527" i="10"/>
  <c r="S527" i="10"/>
  <c r="Q528" i="10" a="1"/>
  <c r="Q528" i="10"/>
  <c r="T528" i="10"/>
  <c r="S528" i="10"/>
  <c r="R528" i="10"/>
  <c r="Q529" i="10" a="1"/>
  <c r="Q529" i="10"/>
  <c r="R529" i="10"/>
  <c r="T529" i="10"/>
  <c r="S529" i="10"/>
  <c r="Q530" i="10" a="1"/>
  <c r="Q530" i="10"/>
  <c r="R530" i="10"/>
  <c r="T530" i="10"/>
  <c r="S530" i="10"/>
  <c r="Q531" i="10" a="1"/>
  <c r="Q531" i="10"/>
  <c r="S531" i="10"/>
  <c r="R531" i="10"/>
  <c r="T531" i="10"/>
  <c r="Q532" i="10" a="1"/>
  <c r="Q532" i="10"/>
  <c r="S532" i="10"/>
  <c r="R532" i="10"/>
  <c r="T532" i="10"/>
  <c r="Q533" i="10" a="1"/>
  <c r="Q533" i="10"/>
  <c r="S533" i="10"/>
  <c r="T533" i="10"/>
  <c r="R533" i="10"/>
  <c r="Q534" i="10" a="1"/>
  <c r="Q534" i="10"/>
  <c r="S534" i="10"/>
  <c r="T534" i="10"/>
  <c r="R534" i="10"/>
  <c r="Q535" i="10" a="1"/>
  <c r="Q535" i="10"/>
  <c r="S535" i="10"/>
  <c r="T535" i="10"/>
  <c r="R535" i="10"/>
  <c r="Q536" i="10" a="1"/>
  <c r="Q536" i="10"/>
  <c r="S536" i="10"/>
  <c r="R536" i="10"/>
  <c r="T536" i="10"/>
  <c r="Q537" i="10" a="1"/>
  <c r="Q537" i="10"/>
  <c r="T537" i="10"/>
  <c r="S537" i="10"/>
  <c r="R537" i="10"/>
  <c r="Q538" i="10" a="1"/>
  <c r="Q538" i="10"/>
  <c r="T538" i="10"/>
  <c r="S538" i="10"/>
  <c r="R538" i="10"/>
  <c r="Q539" i="10" a="1"/>
  <c r="Q539" i="10"/>
  <c r="T539" i="10"/>
  <c r="S539" i="10"/>
  <c r="R539" i="10"/>
  <c r="Q540" i="10" a="1"/>
  <c r="Q540" i="10"/>
  <c r="T540" i="10"/>
  <c r="R540" i="10"/>
  <c r="S540" i="10"/>
  <c r="Q541" i="10" a="1"/>
  <c r="Q541" i="10"/>
  <c r="R541" i="10"/>
  <c r="T541" i="10"/>
  <c r="S541" i="10"/>
  <c r="Q542" i="10" a="1"/>
  <c r="Q542" i="10"/>
  <c r="T542" i="10"/>
  <c r="R542" i="10"/>
  <c r="S542" i="10"/>
  <c r="Q543" i="10" a="1"/>
  <c r="Q543" i="10"/>
  <c r="R543" i="10"/>
  <c r="S543" i="10"/>
  <c r="T543" i="10"/>
  <c r="Q544" i="10" a="1"/>
  <c r="Q544" i="10"/>
  <c r="R544" i="10"/>
  <c r="T544" i="10"/>
  <c r="S544" i="10"/>
  <c r="Q545" i="10" a="1"/>
  <c r="Q545" i="10"/>
  <c r="T545" i="10"/>
  <c r="R545" i="10"/>
  <c r="S545" i="10"/>
  <c r="Q546" i="10" a="1"/>
  <c r="Q546" i="10"/>
  <c r="T546" i="10"/>
  <c r="S546" i="10"/>
  <c r="R546" i="10"/>
  <c r="Q547" i="10" a="1"/>
  <c r="Q547" i="10"/>
  <c r="S547" i="10"/>
  <c r="R547" i="10"/>
  <c r="T547" i="10"/>
  <c r="Q548" i="10" a="1"/>
  <c r="Q548" i="10"/>
  <c r="S548" i="10"/>
  <c r="T548" i="10"/>
  <c r="R548" i="10"/>
  <c r="Q549" i="10" a="1"/>
  <c r="Q549" i="10"/>
  <c r="S549" i="10"/>
  <c r="T549" i="10"/>
  <c r="R549" i="10"/>
  <c r="Q550" i="10" a="1"/>
  <c r="Q550" i="10"/>
  <c r="T550" i="10"/>
  <c r="S550" i="10"/>
  <c r="R550" i="10"/>
  <c r="Q551" i="10" a="1"/>
  <c r="Q551" i="10"/>
  <c r="S551" i="10"/>
  <c r="T551" i="10"/>
  <c r="R551" i="10"/>
  <c r="Q552" i="10" a="1"/>
  <c r="Q552" i="10"/>
  <c r="T552" i="10"/>
  <c r="R552" i="10"/>
  <c r="S552" i="10"/>
  <c r="Q553" i="10" a="1"/>
  <c r="Q553" i="10"/>
  <c r="T553" i="10"/>
  <c r="S553" i="10"/>
  <c r="R553" i="10"/>
  <c r="Q554" i="10" a="1"/>
  <c r="Q554" i="10"/>
  <c r="T554" i="10"/>
  <c r="R554" i="10"/>
  <c r="S554" i="10"/>
  <c r="Q555" i="10" a="1"/>
  <c r="Q555" i="10"/>
  <c r="T555" i="10"/>
  <c r="S555" i="10"/>
  <c r="R555" i="10"/>
  <c r="Q556" i="10" a="1"/>
  <c r="Q556" i="10"/>
  <c r="T556" i="10"/>
  <c r="R556" i="10"/>
  <c r="S556" i="10"/>
  <c r="Q557" i="10" a="1"/>
  <c r="Q557" i="10"/>
  <c r="R557" i="10"/>
  <c r="T557" i="10"/>
  <c r="S557" i="10"/>
  <c r="Q558" i="10" a="1"/>
  <c r="Q558" i="10"/>
  <c r="T558" i="10"/>
  <c r="S558" i="10"/>
  <c r="R558" i="10"/>
  <c r="Q559" i="10" a="1"/>
  <c r="Q559" i="10"/>
  <c r="T559" i="10"/>
  <c r="S559" i="10"/>
  <c r="R559" i="10"/>
  <c r="Q560" i="10" a="1"/>
  <c r="Q560" i="10"/>
  <c r="R560" i="10"/>
  <c r="T560" i="10"/>
  <c r="S560" i="10"/>
  <c r="Q561" i="10" a="1"/>
  <c r="Q561" i="10"/>
  <c r="T561" i="10"/>
  <c r="R561" i="10"/>
  <c r="S561" i="10"/>
  <c r="Q562" i="10" a="1"/>
  <c r="Q562" i="10"/>
  <c r="T562" i="10"/>
  <c r="S562" i="10"/>
  <c r="R562" i="10"/>
  <c r="Q563" i="10" a="1"/>
  <c r="Q563" i="10"/>
  <c r="S563" i="10"/>
  <c r="T563" i="10"/>
  <c r="R563" i="10"/>
  <c r="Q564" i="10" a="1"/>
  <c r="Q564" i="10"/>
  <c r="S564" i="10"/>
  <c r="T564" i="10"/>
  <c r="R564" i="10"/>
  <c r="Q565" i="10" a="1"/>
  <c r="Q565" i="10"/>
  <c r="T565" i="10"/>
  <c r="S565" i="10"/>
  <c r="R565" i="10"/>
  <c r="Q566" i="10" a="1"/>
  <c r="Q566" i="10"/>
  <c r="S566" i="10"/>
  <c r="T566" i="10"/>
  <c r="R566" i="10"/>
  <c r="Q567" i="10" a="1"/>
  <c r="Q567" i="10"/>
  <c r="S567" i="10"/>
  <c r="R567" i="10"/>
  <c r="T567" i="10"/>
  <c r="Q568" i="10" a="1"/>
  <c r="Q568" i="10"/>
  <c r="T568" i="10"/>
  <c r="S568" i="10"/>
  <c r="R568" i="10"/>
  <c r="Q569" i="10" a="1"/>
  <c r="Q569" i="10"/>
  <c r="S569" i="10"/>
  <c r="T569" i="10"/>
  <c r="R569" i="10"/>
  <c r="Q570" i="10" a="1"/>
  <c r="Q570" i="10"/>
  <c r="T570" i="10"/>
  <c r="S570" i="10"/>
  <c r="R570" i="10"/>
  <c r="Q571" i="10" a="1"/>
  <c r="Q571" i="10"/>
  <c r="T571" i="10"/>
  <c r="S571" i="10"/>
  <c r="R571" i="10"/>
  <c r="Q572" i="10" a="1"/>
  <c r="Q572" i="10"/>
  <c r="T572" i="10"/>
  <c r="R572" i="10"/>
  <c r="S572" i="10"/>
  <c r="Q573" i="10" a="1"/>
  <c r="Q573" i="10"/>
  <c r="T573" i="10"/>
  <c r="R573" i="10"/>
  <c r="S573" i="10"/>
  <c r="Q574" i="10" a="1"/>
  <c r="Q574" i="10"/>
  <c r="T574" i="10"/>
  <c r="S574" i="10"/>
  <c r="R574" i="10"/>
  <c r="Q575" i="10" a="1"/>
  <c r="Q575" i="10"/>
  <c r="R575" i="10"/>
  <c r="T575" i="10"/>
  <c r="S575" i="10"/>
  <c r="Q576" i="10" a="1"/>
  <c r="Q576" i="10"/>
  <c r="R576" i="10"/>
  <c r="T576" i="10"/>
  <c r="S576" i="10"/>
  <c r="Q577" i="10" a="1"/>
  <c r="Q577" i="10"/>
  <c r="R577" i="10"/>
  <c r="S577" i="10"/>
  <c r="T577" i="10"/>
  <c r="Q578" i="10" a="1"/>
  <c r="Q578" i="10"/>
  <c r="T578" i="10"/>
  <c r="S578" i="10"/>
  <c r="R578" i="10"/>
  <c r="Q579" i="10" a="1"/>
  <c r="Q579" i="10"/>
  <c r="S579" i="10"/>
  <c r="T579" i="10"/>
  <c r="R579" i="10"/>
  <c r="Q580" i="10" a="1"/>
  <c r="Q580" i="10"/>
  <c r="S580" i="10"/>
  <c r="R580" i="10"/>
  <c r="T580" i="10"/>
  <c r="Q581" i="10" a="1"/>
  <c r="Q581" i="10"/>
  <c r="T581" i="10"/>
  <c r="S581" i="10"/>
  <c r="R581" i="10"/>
  <c r="Q582" i="10" a="1"/>
  <c r="Q582" i="10"/>
  <c r="S582" i="10"/>
  <c r="T582" i="10"/>
  <c r="R582" i="10"/>
  <c r="Q583" i="10" a="1"/>
  <c r="Q583" i="10"/>
  <c r="S583" i="10"/>
  <c r="R583" i="10"/>
  <c r="T583" i="10"/>
  <c r="Q584" i="10" a="1"/>
  <c r="Q584" i="10"/>
  <c r="T584" i="10"/>
  <c r="S584" i="10"/>
  <c r="R584" i="10"/>
  <c r="Q585" i="10" a="1"/>
  <c r="Q585" i="10"/>
  <c r="S585" i="10"/>
  <c r="T585" i="10"/>
  <c r="R585" i="10"/>
  <c r="Q586" i="10" a="1"/>
  <c r="Q586" i="10"/>
  <c r="T586" i="10"/>
  <c r="S586" i="10"/>
  <c r="R586" i="10"/>
  <c r="Q587" i="10" a="1"/>
  <c r="Q587" i="10"/>
  <c r="T587" i="10"/>
  <c r="S587" i="10"/>
  <c r="R587" i="10"/>
  <c r="Q588" i="10" a="1"/>
  <c r="Q588" i="10"/>
  <c r="T588" i="10"/>
  <c r="R588" i="10"/>
  <c r="S588" i="10"/>
  <c r="Q589" i="10" a="1"/>
  <c r="Q589" i="10"/>
  <c r="T589" i="10"/>
  <c r="R589" i="10"/>
  <c r="S589" i="10"/>
  <c r="Q590" i="10" a="1"/>
  <c r="Q590" i="10"/>
  <c r="T590" i="10"/>
  <c r="S590" i="10"/>
  <c r="R590" i="10"/>
  <c r="Q591" i="10" a="1"/>
  <c r="Q591" i="10"/>
  <c r="R591" i="10"/>
  <c r="S591" i="10"/>
  <c r="T591" i="10"/>
  <c r="Q592" i="10" a="1"/>
  <c r="Q592" i="10"/>
  <c r="T592" i="10"/>
  <c r="R592" i="10"/>
  <c r="S592" i="10"/>
  <c r="Q593" i="10" a="1"/>
  <c r="Q593" i="10"/>
  <c r="T593" i="10"/>
  <c r="S593" i="10"/>
  <c r="R593" i="10"/>
  <c r="Q594" i="10" a="1"/>
  <c r="Q594" i="10"/>
  <c r="T594" i="10"/>
  <c r="R594" i="10"/>
  <c r="S594" i="10"/>
  <c r="Q595" i="10" a="1"/>
  <c r="Q595" i="10"/>
  <c r="S595" i="10"/>
  <c r="T595" i="10"/>
  <c r="R595" i="10"/>
  <c r="Q596" i="10" a="1"/>
  <c r="Q596" i="10"/>
  <c r="S596" i="10"/>
  <c r="R596" i="10"/>
  <c r="T596" i="10"/>
  <c r="Q597" i="10" a="1"/>
  <c r="Q597" i="10"/>
  <c r="T597" i="10"/>
  <c r="S597" i="10"/>
  <c r="R597" i="10"/>
  <c r="Q598" i="10" a="1"/>
  <c r="Q598" i="10"/>
  <c r="S598" i="10"/>
  <c r="T598" i="10"/>
  <c r="R598" i="10"/>
  <c r="Q599" i="10" a="1"/>
  <c r="Q599" i="10"/>
  <c r="S599" i="10"/>
  <c r="R599" i="10"/>
  <c r="T599" i="10"/>
  <c r="Q600" i="10" a="1"/>
  <c r="Q600" i="10"/>
  <c r="S600" i="10"/>
  <c r="T600" i="10"/>
  <c r="R600" i="10"/>
  <c r="Q601" i="10" a="1"/>
  <c r="Q601" i="10"/>
  <c r="T601" i="10"/>
  <c r="R601" i="10"/>
  <c r="S601" i="10"/>
  <c r="Q602" i="10" a="1"/>
  <c r="Q602" i="10"/>
  <c r="R602" i="10"/>
  <c r="T602" i="10"/>
  <c r="S602" i="10"/>
  <c r="Q603" i="10" a="1"/>
  <c r="Q603" i="10"/>
  <c r="S603" i="10"/>
  <c r="T603" i="10"/>
  <c r="R603" i="10"/>
  <c r="Q604" i="10" a="1"/>
  <c r="Q604" i="10"/>
  <c r="T604" i="10"/>
  <c r="S604" i="10"/>
  <c r="R604" i="10"/>
  <c r="Q605" i="10" a="1"/>
  <c r="Q605" i="10"/>
  <c r="T605" i="10"/>
  <c r="S605" i="10"/>
  <c r="R605" i="10"/>
  <c r="Q606" i="10" a="1"/>
  <c r="Q606" i="10"/>
  <c r="S606" i="10"/>
  <c r="T606" i="10"/>
  <c r="R606" i="10"/>
  <c r="Q607" i="10" a="1"/>
  <c r="Q607" i="10"/>
  <c r="T607" i="10"/>
  <c r="S607" i="10"/>
  <c r="R607" i="10"/>
  <c r="Q608" i="10" a="1"/>
  <c r="Q608" i="10"/>
  <c r="T608" i="10"/>
  <c r="S608" i="10"/>
  <c r="R608" i="10"/>
  <c r="Q609" i="10" a="1"/>
  <c r="Q609" i="10"/>
  <c r="T609" i="10"/>
  <c r="S609" i="10"/>
  <c r="R609" i="10"/>
  <c r="Q610" i="10" a="1"/>
  <c r="Q610" i="10"/>
  <c r="T610" i="10"/>
  <c r="S610" i="10"/>
  <c r="R610" i="10"/>
  <c r="Q611" i="10" a="1"/>
  <c r="Q611" i="10"/>
  <c r="S611" i="10"/>
  <c r="R611" i="10"/>
  <c r="T611" i="10"/>
  <c r="Q612" i="10" a="1"/>
  <c r="Q612" i="10"/>
  <c r="S612" i="10"/>
  <c r="R612" i="10"/>
  <c r="T612" i="10"/>
  <c r="Q613" i="10" a="1"/>
  <c r="Q613" i="10"/>
  <c r="T613" i="10"/>
  <c r="S613" i="10"/>
  <c r="R613" i="10"/>
  <c r="Q614" i="10" a="1"/>
  <c r="Q614" i="10"/>
  <c r="T614" i="10"/>
  <c r="R614" i="10"/>
  <c r="S614" i="10"/>
  <c r="Q615" i="10" a="1"/>
  <c r="Q615" i="10"/>
  <c r="R615" i="10"/>
  <c r="T615" i="10"/>
  <c r="S615" i="10"/>
  <c r="Q616" i="10" a="1"/>
  <c r="Q616" i="10"/>
  <c r="S616" i="10"/>
  <c r="T616" i="10"/>
  <c r="R616" i="10"/>
  <c r="Q617" i="10" a="1"/>
  <c r="Q617" i="10"/>
  <c r="S617" i="10"/>
  <c r="R617" i="10"/>
  <c r="T617" i="10"/>
  <c r="Q618" i="10" a="1"/>
  <c r="Q618" i="10"/>
  <c r="T618" i="10"/>
  <c r="R618" i="10"/>
  <c r="S618" i="10"/>
  <c r="Q619" i="10" a="1"/>
  <c r="Q619" i="10"/>
  <c r="R619" i="10"/>
  <c r="T619" i="10"/>
  <c r="S619" i="10"/>
  <c r="Q620" i="10" a="1"/>
  <c r="Q620" i="10"/>
  <c r="T620" i="10"/>
  <c r="S620" i="10"/>
  <c r="R620" i="10"/>
  <c r="Q621" i="10" a="1"/>
  <c r="Q621" i="10"/>
  <c r="T621" i="10"/>
  <c r="S621" i="10"/>
  <c r="R621" i="10"/>
  <c r="Q622" i="10" a="1"/>
  <c r="Q622" i="10"/>
  <c r="S622" i="10"/>
  <c r="T622" i="10"/>
  <c r="R622" i="10"/>
  <c r="Q623" i="10" a="1"/>
  <c r="Q623" i="10"/>
  <c r="T623" i="10"/>
  <c r="S623" i="10"/>
  <c r="R623" i="10"/>
  <c r="Q624" i="10" a="1"/>
  <c r="Q624" i="10"/>
  <c r="T624" i="10"/>
  <c r="S624" i="10"/>
  <c r="R624" i="10"/>
  <c r="Q625" i="10" a="1"/>
  <c r="Q625" i="10"/>
  <c r="T625" i="10"/>
  <c r="S625" i="10"/>
  <c r="R625" i="10"/>
  <c r="Q626" i="10" a="1"/>
  <c r="Q626" i="10"/>
  <c r="T626" i="10"/>
  <c r="R626" i="10"/>
  <c r="S626" i="10"/>
  <c r="Q627" i="10" a="1"/>
  <c r="Q627" i="10"/>
  <c r="R627" i="10"/>
  <c r="T627" i="10"/>
  <c r="S627" i="10"/>
  <c r="Q628" i="10" a="1"/>
  <c r="Q628" i="10"/>
  <c r="S628" i="10"/>
  <c r="T628" i="10"/>
  <c r="R628" i="10"/>
  <c r="Q629" i="10" a="1"/>
  <c r="Q629" i="10"/>
  <c r="T629" i="10"/>
  <c r="R629" i="10"/>
  <c r="S629" i="10"/>
  <c r="Q630" i="10" a="1"/>
  <c r="Q630" i="10"/>
  <c r="S630" i="10"/>
  <c r="T630" i="10"/>
  <c r="R630" i="10"/>
  <c r="Q631" i="10" a="1"/>
  <c r="Q631" i="10"/>
  <c r="R631" i="10"/>
  <c r="T631" i="10"/>
  <c r="S631" i="10"/>
  <c r="Q632" i="10" a="1"/>
  <c r="Q632" i="10"/>
  <c r="T632" i="10"/>
  <c r="R632" i="10"/>
  <c r="S632" i="10"/>
  <c r="Q633" i="10" a="1"/>
  <c r="Q633" i="10"/>
  <c r="T633" i="10"/>
  <c r="S633" i="10"/>
  <c r="R633" i="10"/>
  <c r="Q634" i="10" a="1"/>
  <c r="Q634" i="10"/>
  <c r="S634" i="10"/>
  <c r="T634" i="10"/>
  <c r="R634" i="10"/>
  <c r="Q635" i="10" a="1"/>
  <c r="Q635" i="10"/>
  <c r="T635" i="10"/>
  <c r="S635" i="10"/>
  <c r="R635" i="10"/>
  <c r="Q636" i="10" a="1"/>
  <c r="Q636" i="10"/>
  <c r="S636" i="10"/>
  <c r="R636" i="10"/>
  <c r="T636" i="10"/>
  <c r="Q637" i="10" a="1"/>
  <c r="Q637" i="10"/>
  <c r="R637" i="10"/>
  <c r="T637" i="10"/>
  <c r="S637" i="10"/>
  <c r="Q638" i="10" a="1"/>
  <c r="Q638" i="10"/>
  <c r="S638" i="10"/>
  <c r="T638" i="10"/>
  <c r="R638" i="10"/>
  <c r="Q639" i="10" a="1"/>
  <c r="Q639" i="10"/>
  <c r="S639" i="10"/>
  <c r="R639" i="10"/>
  <c r="T639" i="10"/>
  <c r="Q640" i="10" a="1"/>
  <c r="Q640" i="10"/>
  <c r="T640" i="10"/>
  <c r="S640" i="10"/>
  <c r="R640" i="10"/>
  <c r="Q641" i="10" a="1"/>
  <c r="Q641" i="10"/>
  <c r="T641" i="10"/>
  <c r="S641" i="10"/>
  <c r="R641" i="10"/>
  <c r="Q642" i="10" a="1"/>
  <c r="Q642" i="10"/>
  <c r="T642" i="10"/>
  <c r="S642" i="10"/>
  <c r="R642" i="10"/>
  <c r="Q643" i="10" a="1"/>
  <c r="Q643" i="10"/>
  <c r="R643" i="10"/>
  <c r="T643" i="10"/>
  <c r="S643" i="10"/>
  <c r="Q644" i="10" a="1"/>
  <c r="Q644" i="10"/>
  <c r="S644" i="10"/>
  <c r="T644" i="10"/>
  <c r="R644" i="10"/>
  <c r="Q645" i="10" a="1"/>
  <c r="Q645" i="10"/>
  <c r="T645" i="10"/>
  <c r="S645" i="10"/>
  <c r="R645" i="10"/>
  <c r="Q646" i="10" a="1"/>
  <c r="Q646" i="10"/>
  <c r="T646" i="10"/>
  <c r="S646" i="10"/>
  <c r="R646" i="10"/>
  <c r="Q647" i="10" a="1"/>
  <c r="Q647" i="10"/>
  <c r="R647" i="10"/>
  <c r="T647" i="10"/>
  <c r="S647" i="10"/>
  <c r="Q648" i="10" a="1"/>
  <c r="Q648" i="10"/>
  <c r="T648" i="10"/>
  <c r="S648" i="10"/>
  <c r="R648" i="10"/>
  <c r="Q649" i="10" a="1"/>
  <c r="Q649" i="10"/>
  <c r="T649" i="10"/>
  <c r="S649" i="10"/>
  <c r="R649" i="10"/>
  <c r="Q650" i="10" a="1"/>
  <c r="Q650" i="10"/>
  <c r="S650" i="10"/>
  <c r="T650" i="10"/>
  <c r="R650" i="10"/>
  <c r="Q651" i="10" a="1"/>
  <c r="Q651" i="10"/>
  <c r="T651" i="10"/>
  <c r="S651" i="10"/>
  <c r="R651" i="10"/>
  <c r="Q652" i="10" a="1"/>
  <c r="Q652" i="10"/>
  <c r="R652" i="10"/>
  <c r="T652" i="10"/>
  <c r="S652" i="10"/>
  <c r="Q653" i="10" a="1"/>
  <c r="Q653" i="10"/>
  <c r="R653" i="10"/>
  <c r="T653" i="10"/>
  <c r="S653" i="10"/>
  <c r="Q654" i="10" a="1"/>
  <c r="Q654" i="10"/>
  <c r="S654" i="10"/>
  <c r="R654" i="10"/>
  <c r="T654" i="10"/>
  <c r="Q655" i="10" a="1"/>
  <c r="Q655" i="10"/>
  <c r="S655" i="10"/>
  <c r="T655" i="10"/>
  <c r="R655" i="10"/>
  <c r="Q656" i="10" a="1"/>
  <c r="Q656" i="10"/>
  <c r="S656" i="10"/>
  <c r="R656" i="10"/>
  <c r="T656" i="10"/>
  <c r="Q657" i="10" a="1"/>
  <c r="Q657" i="10"/>
  <c r="T657" i="10"/>
  <c r="S657" i="10"/>
  <c r="R657" i="10"/>
  <c r="Q658" i="10" a="1"/>
  <c r="Q658" i="10"/>
  <c r="T658" i="10"/>
  <c r="S658" i="10"/>
  <c r="R658" i="10"/>
  <c r="Q659" i="10" a="1"/>
  <c r="Q659" i="10"/>
  <c r="R659" i="10"/>
  <c r="T659" i="10"/>
  <c r="S659" i="10"/>
  <c r="Q660" i="10" a="1"/>
  <c r="Q660" i="10"/>
  <c r="S660" i="10"/>
  <c r="T660" i="10"/>
  <c r="R660" i="10"/>
  <c r="Q661" i="10" a="1"/>
  <c r="Q661" i="10"/>
  <c r="T661" i="10"/>
  <c r="R661" i="10"/>
  <c r="S661" i="10"/>
  <c r="Q662" i="10" a="1"/>
  <c r="Q662" i="10"/>
  <c r="T662" i="10"/>
  <c r="S662" i="10"/>
  <c r="R662" i="10"/>
  <c r="Q663" i="10" a="1"/>
  <c r="Q663" i="10"/>
  <c r="R663" i="10"/>
  <c r="T663" i="10"/>
  <c r="S663" i="10"/>
  <c r="Q664" i="10" a="1"/>
  <c r="Q664" i="10"/>
  <c r="T664" i="10"/>
  <c r="S664" i="10"/>
  <c r="R664" i="10"/>
  <c r="Q665" i="10" a="1"/>
  <c r="Q665" i="10"/>
  <c r="T665" i="10"/>
  <c r="S665" i="10"/>
  <c r="R665" i="10"/>
  <c r="Q666" i="10" a="1"/>
  <c r="Q666" i="10"/>
  <c r="S666" i="10"/>
  <c r="T666" i="10"/>
  <c r="R666" i="10"/>
  <c r="Q667" i="10" a="1"/>
  <c r="Q667" i="10"/>
  <c r="T667" i="10"/>
  <c r="S667" i="10"/>
  <c r="R667" i="10"/>
  <c r="Q668" i="10" a="1"/>
  <c r="Q668" i="10"/>
  <c r="T668" i="10"/>
  <c r="S668" i="10"/>
  <c r="R668" i="10"/>
  <c r="Q669" i="10" a="1"/>
  <c r="Q669" i="10"/>
  <c r="S669" i="10"/>
  <c r="R669" i="10"/>
  <c r="T669" i="10"/>
  <c r="Q670" i="10" a="1"/>
  <c r="Q670" i="10"/>
  <c r="S670" i="10"/>
  <c r="T670" i="10"/>
  <c r="R670" i="10"/>
  <c r="Q671" i="10" a="1"/>
  <c r="Q671" i="10"/>
  <c r="S671" i="10"/>
  <c r="R671" i="10"/>
  <c r="T671" i="10"/>
  <c r="Q672" i="10" a="1"/>
  <c r="Q672" i="10"/>
  <c r="T672" i="10"/>
  <c r="S672" i="10"/>
  <c r="R672" i="10"/>
  <c r="Q673" i="10" a="1"/>
  <c r="Q673" i="10"/>
  <c r="T673" i="10"/>
  <c r="S673" i="10"/>
  <c r="R673" i="10"/>
  <c r="Q674" i="10" a="1"/>
  <c r="Q674" i="10"/>
  <c r="T674" i="10"/>
  <c r="S674" i="10"/>
  <c r="R674" i="10"/>
  <c r="Q675" i="10" a="1"/>
  <c r="Q675" i="10"/>
  <c r="R675" i="10"/>
  <c r="T675" i="10"/>
  <c r="S675" i="10"/>
  <c r="Q676" i="10" a="1"/>
  <c r="Q676" i="10"/>
  <c r="T676" i="10"/>
  <c r="S676" i="10"/>
  <c r="R676" i="10"/>
  <c r="Q677" i="10" a="1"/>
  <c r="Q677" i="10"/>
  <c r="T677" i="10"/>
  <c r="S677" i="10"/>
  <c r="R677" i="10"/>
  <c r="Q678" i="10" a="1"/>
  <c r="Q678" i="10"/>
  <c r="S678" i="10"/>
  <c r="R678" i="10"/>
  <c r="T678" i="10"/>
  <c r="Q679" i="10" a="1"/>
  <c r="Q679" i="10"/>
  <c r="R679" i="10"/>
  <c r="T679" i="10"/>
  <c r="S679" i="10"/>
  <c r="Q680" i="10" a="1"/>
  <c r="Q680" i="10"/>
  <c r="T680" i="10"/>
  <c r="S680" i="10"/>
  <c r="R680" i="10"/>
  <c r="Q681" i="10" a="1"/>
  <c r="Q681" i="10"/>
  <c r="R681" i="10"/>
  <c r="T681" i="10"/>
  <c r="S681" i="10"/>
  <c r="Q682" i="10" a="1"/>
  <c r="Q682" i="10"/>
  <c r="S682" i="10"/>
  <c r="T682" i="10"/>
  <c r="R682" i="10"/>
  <c r="Q683" i="10" a="1"/>
  <c r="Q683" i="10"/>
  <c r="T683" i="10"/>
  <c r="R683" i="10"/>
  <c r="S683" i="10"/>
  <c r="Q684" i="10" a="1"/>
  <c r="Q684" i="10"/>
  <c r="T684" i="10"/>
  <c r="S684" i="10"/>
  <c r="R684" i="10"/>
  <c r="Q685" i="10" a="1"/>
  <c r="Q685" i="10"/>
  <c r="T685" i="10"/>
  <c r="S685" i="10"/>
  <c r="R685" i="10"/>
  <c r="Q686" i="10" a="1"/>
  <c r="Q686" i="10"/>
  <c r="S686" i="10"/>
  <c r="R686" i="10"/>
  <c r="T686" i="10"/>
  <c r="Q687" i="10" a="1"/>
  <c r="Q687" i="10"/>
  <c r="R687" i="10"/>
  <c r="T687" i="10"/>
  <c r="S687" i="10"/>
  <c r="Q688" i="10" a="1"/>
  <c r="Q688" i="10"/>
  <c r="S688" i="10"/>
  <c r="R688" i="10"/>
  <c r="T688" i="10"/>
  <c r="Q689" i="10" a="1"/>
  <c r="Q689" i="10"/>
  <c r="T689" i="10"/>
  <c r="S689" i="10"/>
  <c r="R689" i="10"/>
  <c r="Q690" i="10" a="1"/>
  <c r="Q690" i="10"/>
  <c r="T690" i="10"/>
  <c r="S690" i="10"/>
  <c r="R690" i="10"/>
  <c r="Q691" i="10" a="1"/>
  <c r="Q691" i="10"/>
  <c r="R691" i="10"/>
  <c r="T691" i="10"/>
  <c r="S691" i="10"/>
  <c r="Q692" i="10" a="1"/>
  <c r="Q692" i="10"/>
  <c r="T692" i="10"/>
  <c r="S692" i="10"/>
  <c r="R692" i="10"/>
  <c r="Q693" i="10" a="1"/>
  <c r="Q693" i="10"/>
  <c r="T693" i="10"/>
  <c r="S693" i="10"/>
  <c r="R693" i="10"/>
  <c r="Q694" i="10" a="1"/>
  <c r="Q694" i="10"/>
  <c r="S694" i="10"/>
  <c r="R694" i="10"/>
  <c r="T694" i="10"/>
  <c r="Q695" i="10" a="1"/>
  <c r="Q695" i="10"/>
  <c r="R695" i="10"/>
  <c r="T695" i="10"/>
  <c r="S695" i="10"/>
  <c r="Q696" i="10" a="1"/>
  <c r="Q696" i="10"/>
  <c r="T696" i="10"/>
  <c r="S696" i="10"/>
  <c r="R696" i="10"/>
  <c r="Q697" i="10" a="1"/>
  <c r="Q697" i="10"/>
  <c r="T697" i="10"/>
  <c r="S697" i="10"/>
  <c r="R697" i="10"/>
  <c r="Q698" i="10" a="1"/>
  <c r="Q698" i="10"/>
  <c r="S698" i="10"/>
  <c r="T698" i="10"/>
  <c r="R698" i="10"/>
  <c r="Q699" i="10" a="1"/>
  <c r="Q699" i="10"/>
  <c r="T699" i="10"/>
  <c r="S699" i="10"/>
  <c r="R699" i="10"/>
  <c r="Q700" i="10" a="1"/>
  <c r="Q700" i="10"/>
  <c r="T700" i="10"/>
  <c r="S700" i="10"/>
  <c r="R700" i="10"/>
  <c r="Q701" i="10" a="1"/>
  <c r="Q701" i="10"/>
  <c r="T701" i="10"/>
  <c r="S701" i="10"/>
  <c r="R701" i="10"/>
  <c r="Q702" i="10" a="1"/>
  <c r="Q702" i="10"/>
  <c r="S702" i="10"/>
  <c r="R702" i="10"/>
  <c r="T702" i="10"/>
  <c r="Q703" i="10" a="1"/>
  <c r="Q703" i="10"/>
  <c r="R703" i="10"/>
  <c r="S703" i="10"/>
  <c r="T703" i="10"/>
  <c r="Q704" i="10" a="1"/>
  <c r="Q704" i="10"/>
  <c r="T704" i="10"/>
  <c r="S704" i="10"/>
  <c r="R704" i="10"/>
  <c r="Q705" i="10" a="1"/>
  <c r="Q705" i="10"/>
  <c r="T705" i="10"/>
  <c r="S705" i="10"/>
  <c r="R705" i="10"/>
  <c r="Q706" i="10" a="1"/>
  <c r="Q706" i="10"/>
  <c r="T706" i="10"/>
  <c r="S706" i="10"/>
  <c r="R706" i="10"/>
  <c r="Q707" i="10" a="1"/>
  <c r="Q707" i="10"/>
  <c r="R707" i="10"/>
  <c r="T707" i="10"/>
  <c r="S707" i="10"/>
  <c r="Q708" i="10" a="1"/>
  <c r="Q708" i="10"/>
  <c r="T708" i="10"/>
  <c r="S708" i="10"/>
  <c r="R708" i="10"/>
  <c r="Q709" i="10" a="1"/>
  <c r="Q709" i="10"/>
  <c r="T709" i="10"/>
  <c r="S709" i="10"/>
  <c r="R709" i="10"/>
  <c r="Q710" i="10" a="1"/>
  <c r="Q710" i="10"/>
  <c r="S710" i="10"/>
  <c r="R710" i="10"/>
  <c r="T710" i="10"/>
  <c r="Q711" i="10" a="1"/>
  <c r="Q711" i="10"/>
  <c r="R711" i="10"/>
  <c r="T711" i="10"/>
  <c r="S711" i="10"/>
  <c r="Q712" i="10" a="1"/>
  <c r="Q712" i="10"/>
  <c r="T712" i="10"/>
  <c r="S712" i="10"/>
  <c r="R712" i="10"/>
  <c r="Q713" i="10" a="1"/>
  <c r="Q713" i="10"/>
  <c r="T713" i="10"/>
  <c r="S713" i="10"/>
  <c r="R713" i="10"/>
  <c r="Q714" i="10" a="1"/>
  <c r="Q714" i="10"/>
  <c r="S714" i="10"/>
  <c r="R714" i="10"/>
  <c r="T714" i="10"/>
  <c r="Q715" i="10" a="1"/>
  <c r="Q715" i="10"/>
  <c r="T715" i="10"/>
  <c r="S715" i="10"/>
  <c r="R715" i="10"/>
  <c r="Q716" i="10" a="1"/>
  <c r="Q716" i="10"/>
  <c r="T716" i="10"/>
  <c r="S716" i="10"/>
  <c r="R716" i="10"/>
  <c r="Q717" i="10" a="1"/>
  <c r="Q717" i="10"/>
  <c r="T717" i="10"/>
  <c r="S717" i="10"/>
  <c r="R717" i="10"/>
  <c r="Q718" i="10" a="1"/>
  <c r="Q718" i="10"/>
  <c r="S718" i="10"/>
  <c r="R718" i="10"/>
  <c r="T718" i="10"/>
  <c r="Q719" i="10" a="1"/>
  <c r="Q719" i="10"/>
  <c r="R719" i="10"/>
  <c r="T719" i="10"/>
  <c r="S719" i="10"/>
  <c r="Q720" i="10" a="1"/>
  <c r="Q720" i="10"/>
  <c r="T720" i="10"/>
  <c r="S720" i="10"/>
  <c r="R720" i="10"/>
  <c r="Q721" i="10" a="1"/>
  <c r="Q721" i="10"/>
  <c r="T721" i="10"/>
  <c r="S721" i="10"/>
  <c r="R721" i="10"/>
  <c r="Q722" i="10" a="1"/>
  <c r="Q722" i="10"/>
  <c r="R722" i="10"/>
  <c r="T722" i="10"/>
  <c r="S722" i="10"/>
  <c r="Q723" i="10" a="1"/>
  <c r="Q723" i="10"/>
  <c r="T723" i="10"/>
  <c r="S723" i="10"/>
  <c r="R723" i="10"/>
  <c r="Q724" i="10" a="1"/>
  <c r="Q724" i="10"/>
  <c r="T724" i="10"/>
  <c r="S724" i="10"/>
  <c r="R724" i="10"/>
  <c r="Q725" i="10" a="1"/>
  <c r="Q725" i="10"/>
  <c r="S725" i="10"/>
  <c r="T725" i="10"/>
  <c r="R725" i="10"/>
  <c r="Q726" i="10" a="1"/>
  <c r="Q726" i="10"/>
  <c r="T726" i="10"/>
  <c r="S726" i="10"/>
  <c r="R726" i="10"/>
  <c r="Q727" i="10" a="1"/>
  <c r="Q727" i="10"/>
  <c r="T727" i="10"/>
  <c r="S727" i="10"/>
  <c r="R727" i="10"/>
  <c r="Q728" i="10" a="1"/>
  <c r="Q728" i="10"/>
  <c r="S728" i="10"/>
  <c r="R728" i="10"/>
  <c r="T728" i="10"/>
  <c r="Q729" i="10" a="1"/>
  <c r="Q729" i="10"/>
  <c r="S729" i="10"/>
  <c r="R729" i="10"/>
  <c r="T729" i="10"/>
  <c r="Q730" i="10" a="1"/>
  <c r="Q730" i="10"/>
  <c r="R730" i="10"/>
  <c r="T730" i="10"/>
  <c r="S730" i="10"/>
  <c r="Q731" i="10" a="1"/>
  <c r="Q731" i="10"/>
  <c r="T731" i="10"/>
  <c r="S731" i="10"/>
  <c r="R731" i="10"/>
  <c r="Q732" i="10" a="1"/>
  <c r="Q732" i="10"/>
  <c r="T732" i="10"/>
  <c r="S732" i="10"/>
  <c r="R732" i="10"/>
  <c r="Q733" i="10" a="1"/>
  <c r="Q733" i="10"/>
  <c r="S733" i="10"/>
  <c r="T733" i="10"/>
  <c r="R733" i="10"/>
  <c r="Q734" i="10" a="1"/>
  <c r="Q734" i="10"/>
  <c r="R734" i="10"/>
  <c r="T734" i="10"/>
  <c r="S734" i="10"/>
  <c r="Q735" i="10" a="1"/>
  <c r="Q735" i="10"/>
  <c r="S735" i="10"/>
  <c r="T735" i="10"/>
  <c r="R735" i="10"/>
  <c r="Q736" i="10" a="1"/>
  <c r="Q736" i="10"/>
  <c r="T736" i="10"/>
  <c r="S736" i="10"/>
  <c r="R736" i="10"/>
  <c r="Q737" i="10" a="1"/>
  <c r="Q737" i="10"/>
  <c r="S737" i="10"/>
  <c r="R737" i="10"/>
  <c r="T737" i="10"/>
  <c r="Q738" i="10" a="1"/>
  <c r="Q738" i="10"/>
  <c r="T738" i="10"/>
  <c r="S738" i="10"/>
  <c r="R738" i="10"/>
  <c r="Q739" i="10" a="1"/>
  <c r="Q739" i="10"/>
  <c r="R739" i="10"/>
  <c r="T739" i="10"/>
  <c r="S739" i="10"/>
  <c r="Q740" i="10" a="1"/>
  <c r="Q740" i="10"/>
  <c r="S740" i="10"/>
  <c r="T740" i="10"/>
  <c r="R740" i="10"/>
  <c r="Q741" i="10" a="1"/>
  <c r="Q741" i="10"/>
  <c r="S741" i="10"/>
  <c r="T741" i="10"/>
  <c r="R741" i="10"/>
  <c r="Q742" i="10" a="1"/>
  <c r="Q742" i="10"/>
  <c r="T742" i="10"/>
  <c r="S742" i="10"/>
  <c r="R742" i="10"/>
  <c r="Q743" i="10" a="1"/>
  <c r="Q743" i="10"/>
  <c r="R743" i="10"/>
  <c r="S743" i="10"/>
  <c r="T743" i="10"/>
  <c r="Q744" i="10" a="1"/>
  <c r="Q744" i="10"/>
  <c r="T744" i="10"/>
  <c r="S744" i="10"/>
  <c r="R744" i="10"/>
  <c r="Q745" i="10" a="1"/>
  <c r="Q745" i="10"/>
  <c r="R745" i="10"/>
  <c r="T745" i="10"/>
  <c r="S745" i="10"/>
  <c r="Q746" i="10" a="1"/>
  <c r="Q746" i="10"/>
  <c r="T746" i="10"/>
  <c r="S746" i="10"/>
  <c r="R746" i="10"/>
  <c r="Q747" i="10" a="1"/>
  <c r="Q747" i="10"/>
  <c r="T747" i="10"/>
  <c r="S747" i="10"/>
  <c r="R747" i="10"/>
  <c r="Q748" i="10" a="1"/>
  <c r="Q748" i="10"/>
  <c r="T748" i="10"/>
  <c r="S748" i="10"/>
  <c r="R748" i="10"/>
  <c r="Q749" i="10" a="1"/>
  <c r="Q749" i="10"/>
  <c r="R749" i="10"/>
  <c r="T749" i="10"/>
  <c r="S749" i="10"/>
  <c r="Q750" i="10" a="1"/>
  <c r="Q750" i="10"/>
  <c r="R750" i="10"/>
  <c r="T750" i="10"/>
  <c r="S750" i="10"/>
  <c r="Q751" i="10" a="1"/>
  <c r="Q751" i="10"/>
  <c r="T751" i="10"/>
  <c r="S751" i="10"/>
  <c r="R751" i="10"/>
  <c r="Q752" i="10" a="1"/>
  <c r="Q752" i="10"/>
  <c r="T752" i="10"/>
  <c r="S752" i="10"/>
  <c r="R752" i="10"/>
  <c r="Q753" i="10" a="1"/>
  <c r="Q753" i="10"/>
  <c r="T753" i="10"/>
  <c r="S753" i="10"/>
  <c r="R753" i="10"/>
  <c r="Q754" i="10" a="1"/>
  <c r="Q754" i="10"/>
  <c r="T754" i="10"/>
  <c r="S754" i="10"/>
  <c r="R754" i="10"/>
  <c r="Q755" i="10" a="1"/>
  <c r="Q755" i="10"/>
  <c r="T755" i="10"/>
  <c r="S755" i="10"/>
  <c r="R755" i="10"/>
  <c r="Q756" i="10" a="1"/>
  <c r="Q756" i="10"/>
  <c r="S756" i="10"/>
  <c r="T756" i="10"/>
  <c r="R756" i="10"/>
  <c r="Q757" i="10" a="1"/>
  <c r="Q757" i="10"/>
  <c r="S757" i="10"/>
  <c r="T757" i="10"/>
  <c r="R757" i="10"/>
  <c r="Q758" i="10" a="1"/>
  <c r="Q758" i="10"/>
  <c r="S758" i="10"/>
  <c r="T758" i="10"/>
  <c r="R758" i="10"/>
  <c r="Q759" i="10" a="1"/>
  <c r="Q759" i="10"/>
  <c r="S759" i="10"/>
  <c r="T759" i="10"/>
  <c r="R759" i="10"/>
  <c r="Q760" i="10" a="1"/>
  <c r="Q760" i="10"/>
  <c r="S760" i="10"/>
  <c r="T760" i="10"/>
  <c r="R760" i="10"/>
  <c r="Q761" i="10" a="1"/>
  <c r="Q761" i="10"/>
  <c r="T761" i="10"/>
  <c r="S761" i="10"/>
  <c r="R761" i="10"/>
  <c r="Q762" i="10" a="1"/>
  <c r="Q762" i="10"/>
  <c r="T762" i="10"/>
  <c r="S762" i="10"/>
  <c r="R762" i="10"/>
  <c r="Q763" i="10" a="1"/>
  <c r="Q763" i="10"/>
  <c r="T763" i="10"/>
  <c r="S763" i="10"/>
  <c r="R763" i="10"/>
  <c r="Q764" i="10" a="1"/>
  <c r="Q764" i="10"/>
  <c r="T764" i="10"/>
  <c r="S764" i="10"/>
  <c r="R764" i="10"/>
  <c r="Q765" i="10" a="1"/>
  <c r="Q765" i="10"/>
  <c r="T765" i="10"/>
  <c r="R765" i="10"/>
  <c r="S765" i="10"/>
  <c r="Q766" i="10" a="1"/>
  <c r="Q766" i="10"/>
  <c r="T766" i="10"/>
  <c r="R766" i="10"/>
  <c r="S766" i="10"/>
  <c r="Q767" i="10" a="1"/>
  <c r="Q767" i="10"/>
  <c r="T767" i="10"/>
  <c r="R767" i="10"/>
  <c r="S767" i="10"/>
  <c r="Q768" i="10" a="1"/>
  <c r="Q768" i="10"/>
  <c r="R768" i="10"/>
  <c r="T768" i="10"/>
  <c r="S768" i="10"/>
  <c r="Q769" i="10" a="1"/>
  <c r="Q769" i="10"/>
  <c r="R769" i="10"/>
  <c r="T769" i="10"/>
  <c r="S769" i="10"/>
  <c r="Q770" i="10" a="1"/>
  <c r="Q770" i="10"/>
  <c r="T770" i="10"/>
  <c r="S770" i="10"/>
  <c r="R770" i="10"/>
  <c r="Q771" i="10" a="1"/>
  <c r="Q771" i="10"/>
  <c r="T771" i="10"/>
  <c r="S771" i="10"/>
  <c r="R771" i="10"/>
  <c r="Q772" i="10" a="1"/>
  <c r="Q772" i="10"/>
  <c r="S772" i="10"/>
  <c r="R772" i="10"/>
  <c r="T772" i="10"/>
  <c r="Q773" i="10" a="1"/>
  <c r="Q773" i="10"/>
  <c r="S773" i="10"/>
  <c r="T773" i="10"/>
  <c r="R773" i="10"/>
  <c r="Q774" i="10" a="1"/>
  <c r="Q774" i="10"/>
  <c r="S774" i="10"/>
  <c r="T774" i="10"/>
  <c r="R774" i="10"/>
  <c r="Q775" i="10" a="1"/>
  <c r="Q775" i="10"/>
  <c r="S775" i="10"/>
  <c r="R775" i="10"/>
  <c r="T775" i="10"/>
  <c r="Q776" i="10" a="1"/>
  <c r="Q776" i="10"/>
  <c r="S776" i="10"/>
  <c r="T776" i="10"/>
  <c r="R776" i="10"/>
  <c r="Q777" i="10" a="1"/>
  <c r="Q777" i="10"/>
  <c r="T777" i="10"/>
  <c r="S777" i="10"/>
  <c r="R777" i="10"/>
  <c r="Q778" i="10" a="1"/>
  <c r="Q778" i="10"/>
  <c r="T778" i="10"/>
  <c r="S778" i="10"/>
  <c r="R778" i="10"/>
  <c r="Q779" i="10" a="1"/>
  <c r="Q779" i="10"/>
  <c r="T779" i="10"/>
  <c r="S779" i="10"/>
  <c r="R779" i="10"/>
  <c r="Q780" i="10" a="1"/>
  <c r="Q780" i="10"/>
  <c r="T780" i="10"/>
  <c r="R780" i="10"/>
  <c r="S780" i="10"/>
  <c r="Q781" i="10" a="1"/>
  <c r="Q781" i="10"/>
  <c r="T781" i="10"/>
  <c r="R781" i="10"/>
  <c r="S781" i="10"/>
  <c r="Q782" i="10" a="1"/>
  <c r="Q782" i="10"/>
  <c r="T782" i="10"/>
  <c r="R782" i="10"/>
  <c r="S782" i="10"/>
  <c r="Q783" i="10" a="1"/>
  <c r="Q783" i="10"/>
  <c r="T783" i="10"/>
  <c r="R783" i="10"/>
  <c r="S783" i="10"/>
  <c r="Q784" i="10" a="1"/>
  <c r="Q784" i="10"/>
  <c r="R784" i="10"/>
  <c r="T784" i="10"/>
  <c r="S784" i="10"/>
  <c r="Q785" i="10" a="1"/>
  <c r="Q785" i="10"/>
  <c r="S785" i="10"/>
  <c r="R785" i="10"/>
  <c r="T785" i="10"/>
  <c r="Q786" i="10" a="1"/>
  <c r="Q786" i="10"/>
  <c r="T786" i="10"/>
  <c r="S786" i="10"/>
  <c r="R786" i="10"/>
  <c r="Q787" i="10" a="1"/>
  <c r="Q787" i="10"/>
  <c r="T787" i="10"/>
  <c r="S787" i="10"/>
  <c r="R787" i="10"/>
  <c r="Q788" i="10" a="1"/>
  <c r="Q788" i="10"/>
  <c r="S788" i="10"/>
  <c r="R788" i="10"/>
  <c r="T788" i="10"/>
  <c r="Q789" i="10" a="1"/>
  <c r="Q789" i="10"/>
  <c r="S789" i="10"/>
  <c r="T789" i="10"/>
  <c r="R789" i="10"/>
  <c r="Q790" i="10" a="1"/>
  <c r="Q790" i="10"/>
  <c r="S790" i="10"/>
  <c r="T790" i="10"/>
  <c r="R790" i="10"/>
  <c r="Q791" i="10" a="1"/>
  <c r="Q791" i="10"/>
  <c r="S791" i="10"/>
  <c r="T791" i="10"/>
  <c r="R791" i="10"/>
  <c r="Q792" i="10" a="1"/>
  <c r="Q792" i="10"/>
  <c r="T792" i="10"/>
  <c r="S792" i="10"/>
  <c r="R792" i="10"/>
  <c r="Q793" i="10" a="1"/>
  <c r="Q793" i="10"/>
  <c r="T793" i="10"/>
  <c r="S793" i="10"/>
  <c r="R793" i="10"/>
  <c r="Q794" i="10" a="1"/>
  <c r="Q794" i="10"/>
  <c r="R794" i="10"/>
  <c r="T794" i="10"/>
  <c r="S794" i="10"/>
  <c r="Q795" i="10" a="1"/>
  <c r="Q795" i="10"/>
  <c r="T795" i="10"/>
  <c r="S795" i="10"/>
  <c r="R795" i="10"/>
  <c r="Q796" i="10" a="1"/>
  <c r="Q796" i="10"/>
  <c r="T796" i="10"/>
  <c r="R796" i="10"/>
  <c r="S796" i="10"/>
  <c r="Q797" i="10" a="1"/>
  <c r="Q797" i="10"/>
  <c r="T797" i="10"/>
  <c r="R797" i="10"/>
  <c r="S797" i="10"/>
  <c r="Q798" i="10" a="1"/>
  <c r="Q798" i="10"/>
  <c r="T798" i="10"/>
  <c r="R798" i="10"/>
  <c r="S798" i="10"/>
  <c r="Q799" i="10" a="1"/>
  <c r="Q799" i="10"/>
  <c r="T799" i="10"/>
  <c r="R799" i="10"/>
  <c r="S799" i="10"/>
  <c r="Q800" i="10" a="1"/>
  <c r="Q800" i="10"/>
  <c r="R800" i="10"/>
  <c r="T800" i="10"/>
  <c r="S800" i="10"/>
  <c r="Q801" i="10" a="1"/>
  <c r="Q801" i="10"/>
  <c r="S801" i="10"/>
  <c r="R801" i="10"/>
  <c r="T801" i="10"/>
  <c r="Q802" i="10" a="1"/>
  <c r="Q802" i="10"/>
  <c r="T802" i="10"/>
  <c r="S802" i="10"/>
  <c r="R802" i="10"/>
  <c r="Q803" i="10" a="1"/>
  <c r="Q803" i="10"/>
  <c r="T803" i="10"/>
  <c r="S803" i="10"/>
  <c r="R803" i="10"/>
  <c r="Q804" i="10" a="1"/>
  <c r="Q804" i="10"/>
  <c r="S804" i="10"/>
  <c r="R804" i="10"/>
  <c r="T804" i="10"/>
  <c r="Q805" i="10" a="1"/>
  <c r="Q805" i="10"/>
  <c r="S805" i="10"/>
  <c r="T805" i="10"/>
  <c r="R805" i="10"/>
  <c r="Q806" i="10" a="1"/>
  <c r="Q806" i="10"/>
  <c r="S806" i="10"/>
  <c r="T806" i="10"/>
  <c r="R806" i="10"/>
  <c r="Q807" i="10" a="1"/>
  <c r="Q807" i="10"/>
  <c r="S807" i="10"/>
  <c r="T807" i="10"/>
  <c r="R807" i="10"/>
  <c r="Q808" i="10" a="1"/>
  <c r="Q808" i="10"/>
  <c r="T808" i="10"/>
  <c r="S808" i="10"/>
  <c r="R808" i="10"/>
  <c r="Q809" i="10" a="1"/>
  <c r="Q809" i="10"/>
  <c r="T809" i="10"/>
  <c r="S809" i="10"/>
  <c r="R809" i="10"/>
  <c r="Q810" i="10" a="1"/>
  <c r="Q810" i="10"/>
  <c r="R810" i="10"/>
  <c r="T810" i="10"/>
  <c r="S810" i="10"/>
  <c r="Q811" i="10" a="1"/>
  <c r="Q811" i="10"/>
  <c r="T811" i="10"/>
  <c r="S811" i="10"/>
  <c r="R811" i="10"/>
  <c r="Q812" i="10" a="1"/>
  <c r="Q812" i="10"/>
  <c r="S812" i="10"/>
  <c r="T812" i="10"/>
  <c r="R812" i="10"/>
  <c r="Q813" i="10" a="1"/>
  <c r="Q813" i="10"/>
  <c r="T813" i="10"/>
  <c r="S813" i="10"/>
  <c r="R813" i="10"/>
  <c r="Q814" i="10" a="1"/>
  <c r="Q814" i="10"/>
  <c r="S814" i="10"/>
  <c r="R814" i="10"/>
  <c r="T814" i="10"/>
  <c r="Q815" i="10" a="1"/>
  <c r="Q815" i="10"/>
  <c r="T815" i="10"/>
  <c r="S815" i="10"/>
  <c r="R815" i="10"/>
  <c r="Q816" i="10" a="1"/>
  <c r="Q816" i="10"/>
  <c r="T816" i="10"/>
  <c r="R816" i="10"/>
  <c r="S816" i="10"/>
  <c r="Q817" i="10" a="1"/>
  <c r="Q817" i="10"/>
  <c r="T817" i="10"/>
  <c r="S817" i="10"/>
  <c r="R817" i="10"/>
  <c r="Q818" i="10" a="1"/>
  <c r="Q818" i="10"/>
  <c r="T818" i="10"/>
  <c r="S818" i="10"/>
  <c r="R818" i="10"/>
  <c r="Q819" i="10" a="1"/>
  <c r="Q819" i="10"/>
  <c r="T819" i="10"/>
  <c r="S819" i="10"/>
  <c r="R819" i="10"/>
  <c r="Q820" i="10" a="1"/>
  <c r="Q820" i="10"/>
  <c r="S820" i="10"/>
  <c r="R820" i="10"/>
  <c r="T820" i="10"/>
  <c r="Q821" i="10" a="1"/>
  <c r="Q821" i="10"/>
  <c r="T821" i="10"/>
  <c r="R821" i="10"/>
  <c r="S821" i="10"/>
  <c r="Q822" i="10" a="1"/>
  <c r="Q822" i="10"/>
  <c r="T822" i="10"/>
  <c r="R822" i="10"/>
  <c r="S822" i="10"/>
  <c r="Q823" i="10" a="1"/>
  <c r="Q823" i="10"/>
  <c r="R823" i="10"/>
  <c r="T823" i="10"/>
  <c r="S823" i="10"/>
  <c r="Q824" i="10" a="1"/>
  <c r="Q824" i="10"/>
  <c r="T824" i="10"/>
  <c r="S824" i="10"/>
  <c r="R824" i="10"/>
  <c r="Q825" i="10" a="1"/>
  <c r="Q825" i="10"/>
  <c r="T825" i="10"/>
  <c r="S825" i="10"/>
  <c r="R825" i="10"/>
  <c r="Q826" i="10" a="1"/>
  <c r="Q826" i="10"/>
  <c r="T826" i="10"/>
  <c r="S826" i="10"/>
  <c r="R826" i="10"/>
  <c r="Q827" i="10" a="1"/>
  <c r="Q827" i="10"/>
  <c r="S827" i="10"/>
  <c r="T827" i="10"/>
  <c r="R827" i="10"/>
  <c r="Q828" i="10" a="1"/>
  <c r="Q828" i="10"/>
  <c r="T828" i="10"/>
  <c r="S828" i="10"/>
  <c r="R828" i="10"/>
  <c r="Q829" i="10" a="1"/>
  <c r="Q829" i="10"/>
  <c r="T829" i="10"/>
  <c r="R829" i="10"/>
  <c r="S829" i="10"/>
  <c r="Q830" i="10" a="1"/>
  <c r="Q830" i="10"/>
  <c r="S830" i="10"/>
  <c r="T830" i="10"/>
  <c r="R830" i="10"/>
  <c r="Q831" i="10" a="1"/>
  <c r="Q831" i="10"/>
  <c r="T831" i="10"/>
  <c r="S831" i="10"/>
  <c r="R831" i="10"/>
  <c r="Q832" i="10" a="1"/>
  <c r="Q832" i="10"/>
  <c r="T832" i="10"/>
  <c r="S832" i="10"/>
  <c r="R832" i="10"/>
  <c r="Q833" i="10" a="1"/>
  <c r="Q833" i="10"/>
  <c r="T833" i="10"/>
  <c r="S833" i="10"/>
  <c r="R833" i="10"/>
  <c r="Q834" i="10" a="1"/>
  <c r="Q834" i="10"/>
  <c r="T834" i="10"/>
  <c r="S834" i="10"/>
  <c r="R834" i="10"/>
  <c r="Q835" i="10" a="1"/>
  <c r="Q835" i="10"/>
  <c r="T835" i="10"/>
  <c r="S835" i="10"/>
  <c r="R835" i="10"/>
  <c r="Q836" i="10" a="1"/>
  <c r="Q836" i="10"/>
  <c r="R836" i="10"/>
  <c r="S836" i="10"/>
  <c r="T836" i="10"/>
  <c r="Q837" i="10" a="1"/>
  <c r="Q837" i="10"/>
  <c r="T837" i="10"/>
  <c r="S837" i="10"/>
  <c r="R837" i="10"/>
  <c r="Q838" i="10" a="1"/>
  <c r="Q838" i="10"/>
  <c r="T838" i="10"/>
  <c r="S838" i="10"/>
  <c r="R838" i="10"/>
  <c r="Q839" i="10" a="1"/>
  <c r="Q839" i="10"/>
  <c r="R839" i="10"/>
  <c r="T839" i="10"/>
  <c r="S839" i="10"/>
  <c r="Q840" i="10" a="1"/>
  <c r="Q840" i="10"/>
  <c r="S840" i="10"/>
  <c r="T840" i="10"/>
  <c r="R840" i="10"/>
  <c r="Q841" i="10" a="1"/>
  <c r="Q841" i="10"/>
  <c r="T841" i="10"/>
  <c r="S841" i="10"/>
  <c r="R841" i="10"/>
  <c r="Q842" i="10" a="1"/>
  <c r="Q842" i="10"/>
  <c r="R842" i="10"/>
  <c r="S842" i="10"/>
  <c r="T842" i="10"/>
  <c r="Q843" i="10" a="1"/>
  <c r="Q843" i="10"/>
  <c r="T843" i="10"/>
  <c r="S843" i="10"/>
  <c r="R843" i="10"/>
  <c r="Q844" i="10" a="1"/>
  <c r="Q844" i="10"/>
  <c r="T844" i="10"/>
  <c r="R844" i="10"/>
  <c r="S844" i="10"/>
  <c r="Q845" i="10" a="1"/>
  <c r="Q845" i="10"/>
  <c r="T845" i="10"/>
  <c r="S845" i="10"/>
  <c r="R845" i="10"/>
  <c r="Q846" i="10" a="1"/>
  <c r="Q846" i="10"/>
  <c r="S846" i="10"/>
  <c r="T846" i="10"/>
  <c r="R846" i="10"/>
  <c r="Q847" i="10" a="1"/>
  <c r="Q847" i="10"/>
  <c r="T847" i="10"/>
  <c r="S847" i="10"/>
  <c r="R847" i="10"/>
  <c r="Q848" i="10" a="1"/>
  <c r="Q848" i="10"/>
  <c r="T848" i="10"/>
  <c r="S848" i="10"/>
  <c r="R848" i="10"/>
  <c r="Q849" i="10" a="1"/>
  <c r="Q849" i="10"/>
  <c r="S849" i="10"/>
  <c r="R849" i="10"/>
  <c r="T849" i="10"/>
  <c r="Q850" i="10" a="1"/>
  <c r="Q850" i="10"/>
  <c r="T850" i="10"/>
  <c r="S850" i="10"/>
  <c r="R850" i="10"/>
  <c r="Q851" i="10" a="1"/>
  <c r="Q851" i="10"/>
  <c r="R851" i="10"/>
  <c r="T851" i="10"/>
  <c r="S851" i="10"/>
  <c r="Q852" i="10" a="1"/>
  <c r="Q852" i="10"/>
  <c r="T852" i="10"/>
  <c r="S852" i="10"/>
  <c r="R852" i="10"/>
  <c r="Q853" i="10" a="1"/>
  <c r="Q853" i="10"/>
  <c r="T853" i="10"/>
  <c r="S853" i="10"/>
  <c r="R853" i="10"/>
  <c r="Q854" i="10" a="1"/>
  <c r="Q854" i="10"/>
  <c r="T854" i="10"/>
  <c r="S854" i="10"/>
  <c r="R854" i="10"/>
  <c r="Q855" i="10" a="1"/>
  <c r="Q855" i="10"/>
  <c r="R855" i="10"/>
  <c r="T855" i="10"/>
  <c r="S855" i="10"/>
  <c r="Q856" i="10" a="1"/>
  <c r="Q856" i="10"/>
  <c r="T856" i="10"/>
  <c r="S856" i="10"/>
  <c r="R856" i="10"/>
  <c r="Q857" i="10" a="1"/>
  <c r="Q857" i="10"/>
  <c r="T857" i="10"/>
  <c r="S857" i="10"/>
  <c r="R857" i="10"/>
  <c r="Q858" i="10" a="1"/>
  <c r="Q858" i="10"/>
  <c r="S858" i="10"/>
  <c r="T858" i="10"/>
  <c r="R858" i="10"/>
  <c r="Q859" i="10" a="1"/>
  <c r="Q859" i="10"/>
  <c r="T859" i="10"/>
  <c r="S859" i="10"/>
  <c r="R859" i="10"/>
  <c r="Q860" i="10" a="1"/>
  <c r="Q860" i="10"/>
  <c r="T860" i="10"/>
  <c r="S860" i="10"/>
  <c r="R860" i="10"/>
  <c r="Q861" i="10" a="1"/>
  <c r="Q861" i="10"/>
  <c r="S861" i="10"/>
  <c r="T861" i="10"/>
  <c r="R861" i="10"/>
  <c r="Q862" i="10" a="1"/>
  <c r="Q862" i="10"/>
  <c r="S862" i="10"/>
  <c r="T862" i="10"/>
  <c r="R862" i="10"/>
  <c r="Q863" i="10" a="1"/>
  <c r="Q863" i="10"/>
  <c r="S863" i="10"/>
  <c r="T863" i="10"/>
  <c r="R863" i="10"/>
  <c r="Q864" i="10" a="1"/>
  <c r="Q864" i="10"/>
  <c r="T864" i="10"/>
  <c r="S864" i="10"/>
  <c r="R864" i="10"/>
  <c r="Q865" i="10" a="1"/>
  <c r="Q865" i="10"/>
  <c r="T865" i="10"/>
  <c r="R865" i="10"/>
  <c r="S865" i="10"/>
  <c r="Q866" i="10" a="1"/>
  <c r="Q866" i="10"/>
  <c r="T866" i="10"/>
  <c r="S866" i="10"/>
  <c r="R866" i="10"/>
  <c r="Q867" i="10" a="1"/>
  <c r="Q867" i="10"/>
  <c r="R867" i="10"/>
  <c r="S867" i="10"/>
  <c r="T867" i="10"/>
  <c r="Q868" i="10" a="1"/>
  <c r="Q868" i="10"/>
  <c r="T868" i="10"/>
  <c r="S868" i="10"/>
  <c r="R868" i="10"/>
  <c r="Q869" i="10" a="1"/>
  <c r="Q869" i="10"/>
  <c r="T869" i="10"/>
  <c r="R869" i="10"/>
  <c r="S869" i="10"/>
  <c r="Q870" i="10" a="1"/>
  <c r="Q870" i="10"/>
  <c r="T870" i="10"/>
  <c r="S870" i="10"/>
  <c r="R870" i="10"/>
  <c r="Q871" i="10" a="1"/>
  <c r="Q871" i="10"/>
  <c r="R871" i="10"/>
  <c r="S871" i="10"/>
  <c r="T871" i="10"/>
  <c r="Q872" i="10" a="1"/>
  <c r="Q872" i="10"/>
  <c r="T872" i="10"/>
  <c r="S872" i="10"/>
  <c r="R872" i="10"/>
  <c r="Q873" i="10" a="1"/>
  <c r="Q873" i="10"/>
  <c r="R873" i="10"/>
  <c r="T873" i="10"/>
  <c r="S873" i="10"/>
  <c r="Q874" i="10" a="1"/>
  <c r="Q874" i="10"/>
  <c r="S874" i="10"/>
  <c r="T874" i="10"/>
  <c r="R874" i="10"/>
  <c r="Q875" i="10" a="1"/>
  <c r="Q875" i="10"/>
  <c r="R875" i="10"/>
  <c r="T875" i="10"/>
  <c r="S875" i="10"/>
  <c r="Q876" i="10" a="1"/>
  <c r="Q876" i="10"/>
  <c r="T876" i="10"/>
  <c r="S876" i="10"/>
  <c r="R876" i="10"/>
  <c r="Q877" i="10" a="1"/>
  <c r="Q877" i="10"/>
  <c r="T877" i="10"/>
  <c r="S877" i="10"/>
  <c r="R877" i="10"/>
  <c r="Q878" i="10" a="1"/>
  <c r="Q878" i="10"/>
  <c r="S878" i="10"/>
  <c r="T878" i="10"/>
  <c r="R878" i="10"/>
  <c r="Q879" i="10" a="1"/>
  <c r="Q879" i="10"/>
  <c r="T879" i="10"/>
  <c r="S879" i="10"/>
  <c r="R879" i="10"/>
  <c r="Q880" i="10" a="1"/>
  <c r="Q880" i="10"/>
  <c r="T880" i="10"/>
  <c r="S880" i="10"/>
  <c r="R880" i="10"/>
  <c r="Q881" i="10" a="1"/>
  <c r="Q881" i="10"/>
  <c r="T881" i="10"/>
  <c r="S881" i="10"/>
  <c r="R881" i="10"/>
  <c r="Q882" i="10" a="1"/>
  <c r="Q882" i="10"/>
  <c r="T882" i="10"/>
  <c r="S882" i="10"/>
  <c r="R882" i="10"/>
  <c r="Q883" i="10" a="1"/>
  <c r="Q883" i="10"/>
  <c r="R883" i="10"/>
  <c r="T883" i="10"/>
  <c r="S883" i="10"/>
  <c r="Q884" i="10" a="1"/>
  <c r="Q884" i="10"/>
  <c r="T884" i="10"/>
  <c r="S884" i="10"/>
  <c r="R884" i="10"/>
  <c r="Q885" i="10" a="1"/>
  <c r="Q885" i="10"/>
  <c r="T885" i="10"/>
  <c r="S885" i="10"/>
  <c r="R885" i="10"/>
  <c r="Q886" i="10" a="1"/>
  <c r="Q886" i="10"/>
  <c r="T886" i="10"/>
  <c r="S886" i="10"/>
  <c r="R886" i="10"/>
  <c r="Q887" i="10" a="1"/>
  <c r="Q887" i="10"/>
  <c r="R887" i="10"/>
  <c r="T887" i="10"/>
  <c r="S887" i="10"/>
  <c r="Q888" i="10" a="1"/>
  <c r="Q888" i="10"/>
  <c r="S888" i="10"/>
  <c r="T888" i="10"/>
  <c r="R888" i="10"/>
  <c r="Q889" i="10" a="1"/>
  <c r="Q889" i="10"/>
  <c r="T889" i="10"/>
  <c r="S889" i="10"/>
  <c r="R889" i="10"/>
  <c r="Q890" i="10" a="1"/>
  <c r="Q890" i="10"/>
  <c r="S890" i="10"/>
  <c r="T890" i="10"/>
  <c r="R890" i="10"/>
  <c r="Q891" i="10" a="1"/>
  <c r="Q891" i="10"/>
  <c r="R891" i="10"/>
  <c r="T891" i="10"/>
  <c r="S891" i="10"/>
  <c r="Q892" i="10" a="1"/>
  <c r="Q892" i="10"/>
  <c r="T892" i="10"/>
  <c r="S892" i="10"/>
  <c r="R892" i="10"/>
  <c r="Q893" i="10" a="1"/>
  <c r="Q893" i="10"/>
  <c r="S893" i="10"/>
  <c r="T893" i="10"/>
  <c r="R893" i="10"/>
  <c r="Q894" i="10" a="1"/>
  <c r="Q894" i="10"/>
  <c r="S894" i="10"/>
  <c r="T894" i="10"/>
  <c r="R894" i="10"/>
  <c r="Q895" i="10" a="1"/>
  <c r="Q895" i="10"/>
  <c r="T895" i="10"/>
  <c r="S895" i="10"/>
  <c r="R895" i="10"/>
  <c r="Q896" i="10" a="1"/>
  <c r="Q896" i="10"/>
  <c r="T896" i="10"/>
  <c r="S896" i="10"/>
  <c r="R896" i="10"/>
  <c r="Q897" i="10" a="1"/>
  <c r="Q897" i="10"/>
  <c r="R897" i="10"/>
  <c r="T897" i="10"/>
  <c r="S897" i="10"/>
  <c r="Q898" i="10" a="1"/>
  <c r="Q898" i="10"/>
  <c r="S898" i="10"/>
  <c r="T898" i="10"/>
  <c r="R898" i="10"/>
  <c r="Q899" i="10" a="1"/>
  <c r="Q899" i="10"/>
  <c r="R899" i="10"/>
  <c r="T899" i="10"/>
  <c r="S899" i="10"/>
  <c r="Q900" i="10" a="1"/>
  <c r="Q900" i="10"/>
  <c r="T900" i="10"/>
  <c r="S900" i="10"/>
  <c r="R900" i="10"/>
  <c r="Q901" i="10" a="1"/>
  <c r="Q901" i="10"/>
  <c r="T901" i="10"/>
  <c r="S901" i="10"/>
  <c r="R901" i="10"/>
  <c r="Q902" i="10" a="1"/>
  <c r="Q902" i="10"/>
  <c r="R902" i="10"/>
  <c r="T902" i="10"/>
  <c r="S902" i="10"/>
  <c r="Q903" i="10" a="1"/>
  <c r="Q903" i="10"/>
  <c r="S903" i="10"/>
  <c r="R903" i="10"/>
  <c r="T903" i="10"/>
  <c r="Q904" i="10" a="1"/>
  <c r="Q904" i="10"/>
  <c r="S904" i="10"/>
  <c r="T904" i="10"/>
  <c r="R904" i="10"/>
  <c r="Q905" i="10" a="1"/>
  <c r="Q905" i="10"/>
  <c r="T905" i="10"/>
  <c r="S905" i="10"/>
  <c r="R905" i="10"/>
  <c r="Q906" i="10" a="1"/>
  <c r="Q906" i="10"/>
  <c r="S906" i="10"/>
  <c r="T906" i="10"/>
  <c r="R906" i="10"/>
  <c r="Q907" i="10" a="1"/>
  <c r="Q907" i="10"/>
  <c r="R907" i="10"/>
  <c r="S907" i="10"/>
  <c r="T907" i="10"/>
  <c r="Q908" i="10" a="1"/>
  <c r="Q908" i="10"/>
  <c r="T908" i="10"/>
  <c r="S908" i="10"/>
  <c r="R908" i="10"/>
  <c r="Q909" i="10" a="1"/>
  <c r="Q909" i="10"/>
  <c r="S909" i="10"/>
  <c r="T909" i="10"/>
  <c r="R909" i="10"/>
  <c r="Q910" i="10" a="1"/>
  <c r="Q910" i="10"/>
  <c r="T910" i="10"/>
  <c r="S910" i="10"/>
  <c r="R910" i="10"/>
  <c r="Q911" i="10" a="1"/>
  <c r="Q911" i="10"/>
  <c r="T911" i="10"/>
  <c r="S911" i="10"/>
  <c r="R911" i="10"/>
  <c r="Q912" i="10" a="1"/>
  <c r="Q912" i="10"/>
  <c r="R912" i="10"/>
  <c r="S912" i="10"/>
  <c r="T912" i="10"/>
  <c r="Q913" i="10" a="1"/>
  <c r="Q913" i="10"/>
  <c r="R913" i="10"/>
  <c r="T913" i="10"/>
  <c r="S913" i="10"/>
  <c r="Q914" i="10" a="1"/>
  <c r="Q914" i="10"/>
  <c r="S914" i="10"/>
  <c r="T914" i="10"/>
  <c r="R914" i="10"/>
  <c r="Q915" i="10" a="1"/>
  <c r="Q915" i="10"/>
  <c r="S915" i="10"/>
  <c r="R915" i="10"/>
  <c r="T915" i="10"/>
  <c r="Q916" i="10" a="1"/>
  <c r="Q916" i="10"/>
  <c r="T916" i="10"/>
  <c r="S916" i="10"/>
  <c r="R916" i="10"/>
  <c r="Q917" i="10" a="1"/>
  <c r="Q917" i="10"/>
  <c r="T917" i="10"/>
  <c r="S917" i="10"/>
  <c r="R917" i="10"/>
  <c r="Q918" i="10" a="1"/>
  <c r="Q918" i="10"/>
  <c r="R918" i="10"/>
  <c r="T918" i="10"/>
  <c r="S918" i="10"/>
  <c r="Q919" i="10" a="1"/>
  <c r="Q919" i="10"/>
  <c r="S919" i="10"/>
  <c r="R919" i="10"/>
  <c r="T919" i="10"/>
  <c r="Q920" i="10" a="1"/>
  <c r="Q920" i="10"/>
  <c r="S920" i="10"/>
  <c r="T920" i="10"/>
  <c r="R920" i="10"/>
  <c r="Q921" i="10" a="1"/>
  <c r="Q921" i="10"/>
  <c r="T921" i="10"/>
  <c r="S921" i="10"/>
  <c r="R921" i="10"/>
  <c r="Q922" i="10" a="1"/>
  <c r="Q922" i="10"/>
  <c r="T922" i="10"/>
  <c r="S922" i="10"/>
  <c r="R922" i="10"/>
  <c r="Q923" i="10" a="1"/>
  <c r="Q923" i="10"/>
  <c r="R923" i="10"/>
  <c r="T923" i="10"/>
  <c r="S923" i="10"/>
  <c r="Q924" i="10" a="1"/>
  <c r="Q924" i="10"/>
  <c r="S924" i="10"/>
  <c r="R924" i="10"/>
  <c r="T924" i="10"/>
  <c r="Q925" i="10" a="1"/>
  <c r="Q925" i="10"/>
  <c r="S925" i="10"/>
  <c r="T925" i="10"/>
  <c r="R925" i="10"/>
  <c r="Q926" i="10" a="1"/>
  <c r="Q926" i="10"/>
  <c r="T926" i="10"/>
  <c r="S926" i="10"/>
  <c r="R926" i="10"/>
  <c r="Q927" i="10" a="1"/>
  <c r="Q927" i="10"/>
  <c r="T927" i="10"/>
  <c r="R927" i="10"/>
  <c r="S927" i="10"/>
  <c r="Q928" i="10" a="1"/>
  <c r="Q928" i="10"/>
  <c r="R928" i="10"/>
  <c r="T928" i="10"/>
  <c r="S928" i="10"/>
  <c r="Q929" i="10" a="1"/>
  <c r="Q929" i="10"/>
  <c r="R929" i="10"/>
  <c r="T929" i="10"/>
  <c r="S929" i="10"/>
  <c r="Q930" i="10" a="1"/>
  <c r="Q930" i="10"/>
  <c r="S930" i="10"/>
  <c r="T930" i="10"/>
  <c r="R930" i="10"/>
  <c r="Q931" i="10" a="1"/>
  <c r="Q931" i="10"/>
  <c r="T931" i="10"/>
  <c r="S931" i="10"/>
  <c r="R931" i="10"/>
  <c r="Q932" i="10" a="1"/>
  <c r="Q932" i="10"/>
  <c r="T932" i="10"/>
  <c r="S932" i="10"/>
  <c r="R932" i="10"/>
  <c r="Q933" i="10" a="1"/>
  <c r="Q933" i="10"/>
  <c r="T933" i="10"/>
  <c r="R933" i="10"/>
  <c r="S933" i="10"/>
  <c r="Q934" i="10" a="1"/>
  <c r="Q934" i="10"/>
  <c r="R934" i="10"/>
  <c r="T934" i="10"/>
  <c r="S934" i="10"/>
  <c r="Q935" i="10" a="1"/>
  <c r="Q935" i="10"/>
  <c r="S935" i="10"/>
  <c r="R935" i="10"/>
  <c r="T935" i="10"/>
  <c r="Q936" i="10" a="1"/>
  <c r="Q936" i="10"/>
  <c r="S936" i="10"/>
  <c r="T936" i="10"/>
  <c r="R936" i="10"/>
  <c r="Q937" i="10" a="1"/>
  <c r="Q937" i="10"/>
  <c r="T937" i="10"/>
  <c r="S937" i="10"/>
  <c r="R937" i="10"/>
  <c r="Q938" i="10" a="1"/>
  <c r="Q938" i="10"/>
  <c r="T938" i="10"/>
  <c r="S938" i="10"/>
  <c r="R938" i="10"/>
  <c r="Q939" i="10" a="1"/>
  <c r="Q939" i="10"/>
  <c r="T939" i="10"/>
  <c r="S939" i="10"/>
  <c r="R939" i="10"/>
  <c r="Q940" i="10" a="1"/>
  <c r="Q940" i="10"/>
  <c r="S940" i="10"/>
  <c r="R940" i="10"/>
  <c r="T940" i="10"/>
  <c r="Q941" i="10" a="1"/>
  <c r="Q941" i="10"/>
  <c r="S941" i="10"/>
  <c r="R941" i="10"/>
  <c r="T941" i="10"/>
  <c r="Q942" i="10" a="1"/>
  <c r="Q942" i="10"/>
  <c r="T942" i="10"/>
  <c r="S942" i="10"/>
  <c r="R942" i="10"/>
  <c r="Q943" i="10" a="1"/>
  <c r="Q943" i="10"/>
  <c r="T943" i="10"/>
  <c r="S943" i="10"/>
  <c r="R943" i="10"/>
  <c r="Q944" i="10" a="1"/>
  <c r="Q944" i="10"/>
  <c r="S944" i="10"/>
  <c r="R944" i="10"/>
  <c r="T944" i="10"/>
  <c r="Q945" i="10" a="1"/>
  <c r="Q945" i="10"/>
  <c r="R945" i="10"/>
  <c r="T945" i="10"/>
  <c r="S945" i="10"/>
  <c r="Q946" i="10" a="1"/>
  <c r="Q946" i="10"/>
  <c r="T946" i="10"/>
  <c r="S946" i="10"/>
  <c r="R946" i="10"/>
  <c r="Q947" i="10" a="1"/>
  <c r="Q947" i="10"/>
  <c r="T947" i="10"/>
  <c r="S947" i="10"/>
  <c r="R947" i="10"/>
  <c r="Q948" i="10" a="1"/>
  <c r="Q948" i="10"/>
  <c r="T948" i="10"/>
  <c r="S948" i="10"/>
  <c r="R948" i="10"/>
  <c r="Q949" i="10" a="1"/>
  <c r="Q949" i="10"/>
  <c r="T949" i="10"/>
  <c r="R949" i="10"/>
  <c r="S949" i="10"/>
  <c r="Q950" i="10" a="1"/>
  <c r="Q950" i="10"/>
  <c r="R950" i="10"/>
  <c r="T950" i="10"/>
  <c r="S950" i="10"/>
  <c r="Q951" i="10" a="1"/>
  <c r="Q951" i="10"/>
  <c r="T951" i="10"/>
  <c r="S951" i="10"/>
  <c r="R951" i="10"/>
  <c r="Q952" i="10" a="1"/>
  <c r="Q952" i="10"/>
  <c r="S952" i="10"/>
  <c r="T952" i="10"/>
  <c r="R952" i="10"/>
  <c r="Q953" i="10" a="1"/>
  <c r="Q953" i="10"/>
  <c r="T953" i="10"/>
  <c r="S953" i="10"/>
  <c r="R953" i="10"/>
  <c r="Q954" i="10" a="1"/>
  <c r="Q954" i="10"/>
  <c r="T954" i="10"/>
  <c r="S954" i="10"/>
  <c r="R954" i="10"/>
  <c r="Q955" i="10" a="1"/>
  <c r="Q955" i="10"/>
  <c r="T955" i="10"/>
  <c r="S955" i="10"/>
  <c r="R955" i="10"/>
  <c r="Q956" i="10" a="1"/>
  <c r="Q956" i="10"/>
  <c r="S956" i="10"/>
  <c r="R956" i="10"/>
  <c r="T956" i="10"/>
  <c r="Q957" i="10" a="1"/>
  <c r="Q957" i="10"/>
  <c r="S957" i="10"/>
  <c r="R957" i="10"/>
  <c r="T957" i="10"/>
  <c r="Q958" i="10" a="1"/>
  <c r="Q958" i="10"/>
  <c r="T958" i="10"/>
  <c r="S958" i="10"/>
  <c r="R958" i="10"/>
  <c r="Q959" i="10" a="1"/>
  <c r="Q959" i="10"/>
  <c r="T959" i="10"/>
  <c r="R959" i="10"/>
  <c r="S959" i="10"/>
  <c r="Q960" i="10" a="1"/>
  <c r="Q960" i="10"/>
  <c r="T960" i="10"/>
  <c r="S960" i="10"/>
  <c r="R960" i="10"/>
  <c r="Q961" i="10" a="1"/>
  <c r="Q961" i="10"/>
  <c r="R961" i="10"/>
  <c r="T961" i="10"/>
  <c r="S961" i="10"/>
  <c r="Q962" i="10" a="1"/>
  <c r="Q962" i="10"/>
  <c r="T962" i="10"/>
  <c r="S962" i="10"/>
  <c r="R962" i="10"/>
  <c r="Q963" i="10" a="1"/>
  <c r="Q963" i="10"/>
  <c r="T963" i="10"/>
  <c r="S963" i="10"/>
  <c r="R963" i="10"/>
  <c r="Q964" i="10" a="1"/>
  <c r="Q964" i="10"/>
  <c r="T964" i="10"/>
  <c r="S964" i="10"/>
  <c r="R964" i="10"/>
  <c r="Q965" i="10" a="1"/>
  <c r="Q965" i="10"/>
  <c r="T965" i="10"/>
  <c r="R965" i="10"/>
  <c r="S965" i="10"/>
  <c r="Q966" i="10" a="1"/>
  <c r="Q966" i="10"/>
  <c r="R966" i="10"/>
  <c r="T966" i="10"/>
  <c r="S966" i="10"/>
  <c r="Q967" i="10" a="1"/>
  <c r="Q967" i="10"/>
  <c r="T967" i="10"/>
  <c r="S967" i="10"/>
  <c r="R967" i="10"/>
  <c r="Q968" i="10" a="1"/>
  <c r="Q968" i="10"/>
  <c r="S968" i="10"/>
  <c r="T968" i="10"/>
  <c r="R968" i="10"/>
  <c r="Q969" i="10" a="1"/>
  <c r="Q969" i="10"/>
  <c r="T969" i="10"/>
  <c r="S969" i="10"/>
  <c r="R969" i="10"/>
  <c r="Q970" i="10" a="1"/>
  <c r="Q970" i="10"/>
  <c r="T970" i="10"/>
  <c r="S970" i="10"/>
  <c r="R970" i="10"/>
  <c r="Q971" i="10" a="1"/>
  <c r="Q971" i="10"/>
  <c r="T971" i="10"/>
  <c r="S971" i="10"/>
  <c r="R971" i="10"/>
  <c r="Q972" i="10" a="1"/>
  <c r="Q972" i="10"/>
  <c r="S972" i="10"/>
  <c r="R972" i="10"/>
  <c r="T972" i="10"/>
  <c r="Q973" i="10" a="1"/>
  <c r="Q973" i="10"/>
  <c r="S973" i="10"/>
  <c r="R973" i="10"/>
  <c r="T973" i="10"/>
  <c r="Q974" i="10" a="1"/>
  <c r="Q974" i="10"/>
  <c r="T974" i="10"/>
  <c r="S974" i="10"/>
  <c r="R974" i="10"/>
  <c r="Q975" i="10" a="1"/>
  <c r="Q975" i="10"/>
  <c r="T975" i="10"/>
  <c r="S975" i="10"/>
  <c r="R975" i="10"/>
  <c r="Q976" i="10" a="1"/>
  <c r="Q976" i="10"/>
  <c r="T976" i="10"/>
  <c r="S976" i="10"/>
  <c r="R976" i="10"/>
  <c r="Q977" i="10" a="1"/>
  <c r="Q977" i="10"/>
  <c r="R977" i="10"/>
  <c r="T977" i="10"/>
  <c r="S977" i="10"/>
  <c r="Q978" i="10" a="1"/>
  <c r="Q978" i="10"/>
  <c r="T978" i="10"/>
  <c r="S978" i="10"/>
  <c r="R978" i="10"/>
  <c r="Q979" i="10" a="1"/>
  <c r="Q979" i="10"/>
  <c r="T979" i="10"/>
  <c r="S979" i="10"/>
  <c r="R979" i="10"/>
  <c r="Q980" i="10" a="1"/>
  <c r="Q980" i="10"/>
  <c r="T980" i="10"/>
  <c r="S980" i="10"/>
  <c r="R980" i="10"/>
  <c r="Q981" i="10" a="1"/>
  <c r="Q981" i="10"/>
  <c r="T981" i="10"/>
  <c r="R981" i="10"/>
  <c r="S981" i="10"/>
  <c r="Q982" i="10" a="1"/>
  <c r="Q982" i="10"/>
  <c r="R982" i="10"/>
  <c r="T982" i="10"/>
  <c r="S982" i="10"/>
  <c r="Q983" i="10" a="1"/>
  <c r="Q983" i="10"/>
  <c r="T983" i="10"/>
  <c r="S983" i="10"/>
  <c r="R983" i="10"/>
  <c r="Q984" i="10" a="1"/>
  <c r="Q984" i="10"/>
  <c r="S984" i="10"/>
  <c r="T984" i="10"/>
  <c r="R984" i="10"/>
  <c r="Q985" i="10" a="1"/>
  <c r="Q985" i="10"/>
  <c r="T985" i="10"/>
  <c r="S985" i="10"/>
  <c r="R985" i="10"/>
  <c r="Q986" i="10" a="1"/>
  <c r="Q986" i="10"/>
  <c r="T986" i="10"/>
  <c r="S986" i="10"/>
  <c r="R986" i="10"/>
  <c r="Q987" i="10" a="1"/>
  <c r="Q987" i="10"/>
  <c r="T987" i="10"/>
  <c r="S987" i="10"/>
  <c r="R987" i="10"/>
  <c r="Q988" i="10" a="1"/>
  <c r="Q988" i="10"/>
  <c r="S988" i="10"/>
  <c r="R988" i="10"/>
  <c r="T988" i="10"/>
  <c r="Q989" i="10" a="1"/>
  <c r="Q989" i="10"/>
  <c r="S989" i="10"/>
  <c r="R989" i="10"/>
  <c r="T989" i="10"/>
  <c r="Q990" i="10" a="1"/>
  <c r="Q990" i="10"/>
  <c r="T990" i="10"/>
  <c r="S990" i="10"/>
  <c r="R990" i="10"/>
  <c r="Q991" i="10" a="1"/>
  <c r="Q991" i="10"/>
  <c r="T991" i="10"/>
  <c r="S991" i="10"/>
  <c r="R991" i="10"/>
  <c r="Q992" i="10" a="1"/>
  <c r="Q992" i="10"/>
  <c r="T992" i="10"/>
  <c r="S992" i="10"/>
  <c r="R992" i="10"/>
  <c r="Q993" i="10" a="1"/>
  <c r="Q993" i="10"/>
  <c r="R993" i="10"/>
  <c r="T993" i="10"/>
  <c r="S993" i="10"/>
  <c r="Q994" i="10" a="1"/>
  <c r="Q994" i="10"/>
  <c r="T994" i="10"/>
  <c r="S994" i="10"/>
  <c r="R994" i="10"/>
  <c r="Q995" i="10" a="1"/>
  <c r="Q995" i="10"/>
  <c r="T995" i="10"/>
  <c r="S995" i="10"/>
  <c r="R995" i="10"/>
  <c r="Q996" i="10" a="1"/>
  <c r="Q996" i="10"/>
  <c r="T996" i="10"/>
  <c r="S996" i="10"/>
  <c r="R996" i="10"/>
  <c r="Q997" i="10" a="1"/>
  <c r="Q997" i="10"/>
  <c r="T997" i="10"/>
  <c r="S997" i="10"/>
  <c r="R997" i="10"/>
  <c r="Q998" i="10" a="1"/>
  <c r="Q998" i="10"/>
  <c r="T998" i="10"/>
  <c r="S998" i="10"/>
  <c r="R998" i="10"/>
  <c r="Q999" i="10" a="1"/>
  <c r="Q999" i="10"/>
  <c r="T999" i="10"/>
  <c r="S999" i="10"/>
  <c r="R999" i="10"/>
  <c r="Q1000" i="10" a="1"/>
  <c r="Q1000" i="10"/>
  <c r="S1000" i="10"/>
  <c r="R1000" i="10"/>
  <c r="T1000" i="10"/>
  <c r="M23" i="29" l="1" a="1"/>
  <c r="M23" i="29" s="1"/>
  <c r="P23" i="29" s="1"/>
  <c r="M62" i="29" a="1"/>
  <c r="M62" i="29" s="1"/>
  <c r="P62" i="29" s="1"/>
  <c r="M21" i="29" a="1"/>
  <c r="M21" i="29" s="1"/>
  <c r="P21" i="29" s="1"/>
  <c r="M30" i="29" a="1"/>
  <c r="M30" i="29" s="1"/>
  <c r="P30" i="29" s="1"/>
  <c r="M20" i="29" a="1"/>
  <c r="M20" i="29" s="1"/>
  <c r="P20" i="29" s="1"/>
  <c r="M26" i="29" a="1"/>
  <c r="M26" i="29" s="1"/>
  <c r="P26" i="29" s="1"/>
  <c r="M40" i="29" a="1"/>
  <c r="M40" i="29" s="1"/>
  <c r="P40" i="29" s="1"/>
  <c r="M57" i="29" a="1"/>
  <c r="M57" i="29" s="1"/>
  <c r="P57" i="29" s="1"/>
  <c r="M33" i="29" a="1"/>
  <c r="M33" i="29" s="1"/>
  <c r="P33" i="29" s="1"/>
  <c r="M67" i="29" a="1"/>
  <c r="M67" i="29" s="1"/>
  <c r="P67" i="29" s="1"/>
  <c r="M43" i="29" a="1"/>
  <c r="M43" i="29" s="1"/>
  <c r="P43" i="29" s="1"/>
  <c r="M63" i="29" a="1"/>
  <c r="M63" i="29" s="1"/>
  <c r="P63" i="29" s="1"/>
  <c r="M24" i="29" a="1"/>
  <c r="M24" i="29" s="1"/>
  <c r="P24" i="29" s="1"/>
  <c r="M38" i="29" a="1"/>
  <c r="M38" i="29" s="1"/>
  <c r="P38" i="29" s="1"/>
  <c r="M13" i="29" a="1"/>
  <c r="M13" i="29" s="1"/>
  <c r="P13" i="29" s="1"/>
  <c r="M47" i="29" a="1"/>
  <c r="M47" i="29" s="1"/>
  <c r="P47" i="29" s="1"/>
  <c r="M69" i="29" a="1"/>
  <c r="M69" i="29" s="1"/>
  <c r="P69" i="29" s="1"/>
  <c r="M56" i="29" a="1"/>
  <c r="M56" i="29" s="1"/>
  <c r="P56" i="29" s="1"/>
  <c r="M73" i="29" a="1"/>
  <c r="M73" i="29" s="1"/>
  <c r="P73" i="29" s="1"/>
  <c r="M32" i="29" a="1"/>
  <c r="M32" i="29" s="1"/>
  <c r="P32" i="29" s="1"/>
  <c r="M64" i="29" a="1"/>
  <c r="M64" i="29" s="1"/>
  <c r="P64" i="29" s="1"/>
  <c r="M28" i="29" a="1"/>
  <c r="M28" i="29" s="1"/>
  <c r="P28" i="29" s="1"/>
  <c r="M59" i="29" a="1"/>
  <c r="M59" i="29" s="1"/>
  <c r="P59" i="29" s="1"/>
  <c r="M52" i="29" a="1"/>
  <c r="M52" i="29" s="1"/>
  <c r="P52" i="29" s="1"/>
  <c r="M65" i="29" a="1"/>
  <c r="M65" i="29" s="1"/>
  <c r="P65" i="29" s="1"/>
  <c r="M45" i="29" a="1"/>
  <c r="M45" i="29" s="1"/>
  <c r="P45" i="29" s="1"/>
  <c r="M70" i="29" a="1"/>
  <c r="M70" i="29" s="1"/>
  <c r="P70" i="29" s="1"/>
  <c r="M46" i="29" a="1"/>
  <c r="M46" i="29" s="1"/>
  <c r="P46" i="29" s="1"/>
  <c r="M61" i="29" a="1"/>
  <c r="M61" i="29" s="1"/>
  <c r="P61" i="29" s="1"/>
  <c r="M31" i="29" a="1"/>
  <c r="M31" i="29" s="1"/>
  <c r="P31" i="29" s="1"/>
  <c r="M19" i="29" a="1"/>
  <c r="M19" i="29" s="1"/>
  <c r="P19" i="29" s="1"/>
  <c r="M42" i="29" a="1"/>
  <c r="M42" i="29" s="1"/>
  <c r="P42" i="29" s="1"/>
  <c r="M17" i="29" a="1"/>
  <c r="M17" i="29" s="1"/>
  <c r="P17" i="29" s="1"/>
  <c r="M37" i="29" a="1"/>
  <c r="M37" i="29" s="1"/>
  <c r="P37" i="29" s="1"/>
  <c r="M29" i="29" a="1"/>
  <c r="M29" i="29" s="1"/>
  <c r="P29" i="29" s="1"/>
  <c r="M51" i="29" a="1"/>
  <c r="M51" i="29" s="1"/>
  <c r="P51" i="29" s="1"/>
  <c r="M54" i="29" a="1"/>
  <c r="M54" i="29" s="1"/>
  <c r="P54" i="29" s="1"/>
  <c r="M55" i="29" a="1"/>
  <c r="M55" i="29" s="1"/>
  <c r="P55" i="29" s="1"/>
  <c r="M36" i="29" a="1"/>
  <c r="M36" i="29" s="1"/>
  <c r="P36" i="29" s="1"/>
  <c r="M58" i="29" a="1"/>
  <c r="M58" i="29" s="1"/>
  <c r="P58" i="29" s="1"/>
  <c r="M18" i="29" a="1"/>
  <c r="M18" i="29" s="1"/>
  <c r="P18" i="29" s="1"/>
  <c r="M39" i="29" a="1"/>
  <c r="M39" i="29" s="1"/>
  <c r="P39" i="29" s="1"/>
  <c r="M25" i="29" a="1"/>
  <c r="M25" i="29" s="1"/>
  <c r="P25" i="29" s="1"/>
  <c r="M71" i="29" a="1"/>
  <c r="M71" i="29" s="1"/>
  <c r="P71" i="29" s="1"/>
  <c r="M15" i="29" a="1"/>
  <c r="M15" i="29" s="1"/>
  <c r="P15" i="29" s="1"/>
  <c r="M14" i="29" a="1"/>
  <c r="M14" i="29" s="1"/>
  <c r="P14" i="29" s="1"/>
  <c r="M60" i="29" a="1"/>
  <c r="M60" i="29" s="1"/>
  <c r="P60" i="29" s="1"/>
  <c r="M34" i="29" a="1"/>
  <c r="M34" i="29" s="1"/>
  <c r="P34" i="29" s="1"/>
  <c r="M44" i="29" a="1"/>
  <c r="M44" i="29" s="1"/>
  <c r="P44" i="29" s="1"/>
  <c r="M27" i="29" a="1"/>
  <c r="M27" i="29" s="1"/>
  <c r="P27" i="29" s="1"/>
  <c r="M41" i="29" a="1"/>
  <c r="M41" i="29" s="1"/>
  <c r="P41" i="29" s="1"/>
  <c r="M66" i="29" a="1"/>
  <c r="M66" i="29" s="1"/>
  <c r="P66" i="29" s="1"/>
  <c r="M35" i="29" a="1"/>
  <c r="M35" i="29" s="1"/>
  <c r="P35" i="29" s="1"/>
  <c r="M72" i="29" a="1"/>
  <c r="M72" i="29" s="1"/>
  <c r="P72" i="29" s="1"/>
  <c r="M22" i="29" a="1"/>
  <c r="M22" i="29" s="1"/>
  <c r="P22" i="29" s="1"/>
  <c r="M53" i="29" a="1"/>
  <c r="M53" i="29" s="1"/>
  <c r="P53" i="29" s="1"/>
  <c r="M68" i="29" a="1"/>
  <c r="M68" i="29" s="1"/>
  <c r="P68" i="29" s="1"/>
  <c r="T11" i="29"/>
  <c r="S166" i="32"/>
  <c r="S100" i="32"/>
  <c r="K30" i="17"/>
  <c r="K32" i="17" s="1"/>
  <c r="D78" i="1"/>
  <c r="I64" i="1"/>
  <c r="L64" i="1" s="1"/>
  <c r="L79" i="1" s="1"/>
  <c r="K79" i="1" s="1"/>
  <c r="J64" i="1"/>
  <c r="E64" i="1"/>
  <c r="E79" i="1" s="1"/>
  <c r="F79" i="1" s="1"/>
  <c r="M79" i="1" s="1"/>
  <c r="N79" i="1" s="1"/>
  <c r="S13" i="32"/>
  <c r="S202" i="32"/>
  <c r="S77" i="32"/>
  <c r="S183" i="32"/>
  <c r="S34" i="32"/>
  <c r="S88" i="32"/>
  <c r="S212" i="32"/>
  <c r="S148" i="32"/>
  <c r="S203" i="32"/>
  <c r="S243" i="32"/>
  <c r="S52" i="32"/>
  <c r="S64" i="32"/>
  <c r="S123" i="32"/>
  <c r="S46" i="32"/>
  <c r="S197" i="32"/>
  <c r="S154" i="32"/>
  <c r="S170" i="32"/>
  <c r="S223" i="32"/>
  <c r="S37" i="32"/>
  <c r="S85" i="32"/>
  <c r="S125" i="32"/>
  <c r="S8" i="32"/>
  <c r="S110" i="32"/>
  <c r="S140" i="32"/>
  <c r="S185" i="32"/>
  <c r="S234" i="32"/>
  <c r="S157" i="32"/>
  <c r="S119" i="32"/>
  <c r="S155" i="32"/>
  <c r="S192" i="32"/>
  <c r="S35" i="32"/>
  <c r="S81" i="32"/>
  <c r="T88" i="32"/>
  <c r="S108" i="32"/>
  <c r="S115" i="32"/>
  <c r="S122" i="32"/>
  <c r="T227" i="32"/>
  <c r="T233" i="32"/>
  <c r="S238" i="32"/>
  <c r="S55" i="32"/>
  <c r="S129" i="32"/>
  <c r="S143" i="32"/>
  <c r="S193" i="32"/>
  <c r="S200" i="32"/>
  <c r="S207" i="32"/>
  <c r="S214" i="32"/>
  <c r="S244" i="32"/>
  <c r="S47" i="32"/>
  <c r="S147" i="32"/>
  <c r="S53" i="32"/>
  <c r="S191" i="32"/>
  <c r="T236" i="32"/>
  <c r="S65" i="32"/>
  <c r="S179" i="32"/>
  <c r="T192" i="32"/>
  <c r="S206" i="32"/>
  <c r="S213" i="32"/>
  <c r="S7" i="32"/>
  <c r="S14" i="32"/>
  <c r="T25" i="32"/>
  <c r="S49" i="32"/>
  <c r="S26" i="32"/>
  <c r="S187" i="32"/>
  <c r="S221" i="32"/>
  <c r="T197" i="32"/>
  <c r="S149" i="32"/>
  <c r="S171" i="32"/>
  <c r="S199" i="32"/>
  <c r="S20" i="32"/>
  <c r="S60" i="32"/>
  <c r="S62" i="32"/>
  <c r="S69" i="32"/>
  <c r="S75" i="32"/>
  <c r="S96" i="32"/>
  <c r="S102" i="32"/>
  <c r="S118" i="32"/>
  <c r="S130" i="32"/>
  <c r="S158" i="32"/>
  <c r="S181" i="32"/>
  <c r="S194" i="32"/>
  <c r="S201" i="32"/>
  <c r="S176" i="32"/>
  <c r="S29" i="32"/>
  <c r="S126" i="32"/>
  <c r="S184" i="32"/>
  <c r="S211" i="32"/>
  <c r="S12" i="32"/>
  <c r="S41" i="32"/>
  <c r="S5" i="32"/>
  <c r="S19" i="32"/>
  <c r="S24" i="32"/>
  <c r="S106" i="32"/>
  <c r="S141" i="32"/>
  <c r="S198" i="32"/>
  <c r="S135" i="32"/>
  <c r="S178" i="32"/>
  <c r="S205" i="32"/>
  <c r="S219" i="32"/>
  <c r="S6" i="32"/>
  <c r="S54" i="32"/>
  <c r="S67" i="32"/>
  <c r="S80" i="32"/>
  <c r="S107" i="32"/>
  <c r="S121" i="32"/>
  <c r="S21" i="32"/>
  <c r="S27" i="32"/>
  <c r="S51" i="32"/>
  <c r="S56" i="32"/>
  <c r="S90" i="32"/>
  <c r="S188" i="32"/>
  <c r="S210" i="32"/>
  <c r="S222" i="32"/>
  <c r="T239" i="32"/>
  <c r="T92" i="32"/>
  <c r="S58" i="32"/>
  <c r="S50" i="32"/>
  <c r="S82" i="32"/>
  <c r="S89" i="32"/>
  <c r="S109" i="32"/>
  <c r="S151" i="32"/>
  <c r="S15" i="32"/>
  <c r="S9" i="32"/>
  <c r="S16" i="32"/>
  <c r="S33" i="32"/>
  <c r="S40" i="32"/>
  <c r="S76" i="32"/>
  <c r="S103" i="32"/>
  <c r="S117" i="32"/>
  <c r="S145" i="32"/>
  <c r="S167" i="32"/>
  <c r="S195" i="32"/>
  <c r="S248" i="32"/>
  <c r="S28" i="32"/>
  <c r="S45" i="32"/>
  <c r="S70" i="32"/>
  <c r="S84" i="32"/>
  <c r="S91" i="32"/>
  <c r="S127" i="32"/>
  <c r="S182" i="32"/>
  <c r="S189" i="32"/>
  <c r="S209" i="32"/>
  <c r="S216" i="32"/>
  <c r="S134" i="32"/>
  <c r="S218" i="32"/>
  <c r="S83" i="32"/>
  <c r="S30" i="32"/>
  <c r="S42" i="32"/>
  <c r="S48" i="32"/>
  <c r="S61" i="32"/>
  <c r="S73" i="32"/>
  <c r="S94" i="32"/>
  <c r="S10" i="32"/>
  <c r="S57" i="32"/>
  <c r="S104" i="32"/>
  <c r="S111" i="32"/>
  <c r="S136" i="32"/>
  <c r="S153" i="32"/>
  <c r="S168" i="32"/>
  <c r="S196" i="32"/>
  <c r="S250" i="32"/>
  <c r="S246" i="32"/>
  <c r="S173" i="32"/>
  <c r="S174" i="32"/>
  <c r="S247" i="32"/>
  <c r="S245" i="32"/>
  <c r="T245" i="32"/>
  <c r="S161" i="32"/>
  <c r="T230" i="32"/>
  <c r="S231" i="32"/>
  <c r="S249" i="32"/>
  <c r="S160" i="32"/>
  <c r="S114" i="32"/>
  <c r="S163" i="32"/>
  <c r="S175" i="32"/>
  <c r="S172" i="32"/>
  <c r="S252" i="32"/>
  <c r="S66" i="32"/>
  <c r="S93" i="32"/>
  <c r="S224" i="32"/>
  <c r="S4" i="32"/>
  <c r="S128" i="32"/>
  <c r="S133" i="32"/>
  <c r="S150" i="32"/>
  <c r="T97" i="32"/>
  <c r="S124" i="32"/>
  <c r="T128" i="32"/>
  <c r="T38" i="32"/>
  <c r="T75" i="32"/>
  <c r="S112" i="32"/>
  <c r="S120" i="32"/>
  <c r="T116" i="32"/>
  <c r="S142" i="32"/>
  <c r="T146" i="32"/>
  <c r="S159" i="32"/>
  <c r="S164" i="32"/>
  <c r="T182" i="32"/>
  <c r="S113" i="32"/>
  <c r="S165" i="32"/>
  <c r="T169" i="32"/>
  <c r="T200" i="32"/>
  <c r="T226" i="32"/>
  <c r="T229" i="32"/>
  <c r="S132" i="32"/>
  <c r="S71" i="32"/>
  <c r="S79" i="32"/>
  <c r="S101" i="32"/>
  <c r="T234" i="32"/>
  <c r="S237" i="32"/>
  <c r="S31" i="32"/>
  <c r="T124" i="32"/>
  <c r="S138" i="32"/>
  <c r="S177" i="32"/>
  <c r="T190" i="32"/>
  <c r="T220" i="32"/>
  <c r="S228" i="32"/>
  <c r="S208" i="32"/>
  <c r="T212" i="32"/>
  <c r="S232" i="32"/>
  <c r="T241" i="32"/>
  <c r="S11" i="32"/>
  <c r="T15" i="32"/>
  <c r="S23" i="32"/>
  <c r="S39" i="32"/>
  <c r="T208" i="32"/>
  <c r="S87" i="32"/>
  <c r="S139" i="32"/>
  <c r="S156" i="32"/>
  <c r="S63" i="32"/>
  <c r="S68" i="32"/>
  <c r="S116" i="32"/>
  <c r="S146" i="32"/>
  <c r="T186" i="32"/>
  <c r="T225" i="32"/>
  <c r="S86" i="32"/>
  <c r="S95" i="32"/>
  <c r="S169" i="32"/>
  <c r="T173" i="32"/>
  <c r="T20" i="32"/>
  <c r="S32" i="32"/>
  <c r="S36" i="32"/>
  <c r="S152" i="32"/>
  <c r="S242" i="32"/>
  <c r="S220" i="32"/>
  <c r="S59" i="32"/>
  <c r="S72" i="32"/>
  <c r="T142" i="32"/>
  <c r="T159" i="32"/>
  <c r="S204" i="32"/>
  <c r="S217" i="32"/>
  <c r="S43" i="32"/>
  <c r="S78" i="32"/>
  <c r="S112" i="30"/>
  <c r="S83" i="30"/>
  <c r="S73" i="30"/>
  <c r="S58" i="30"/>
  <c r="S27" i="30"/>
  <c r="S8" i="30"/>
  <c r="S71" i="30"/>
  <c r="S34" i="30"/>
  <c r="S13" i="30"/>
  <c r="S82" i="30"/>
  <c r="S202" i="30"/>
  <c r="S29" i="30"/>
  <c r="S37" i="30"/>
  <c r="S62" i="30"/>
  <c r="S61" i="30"/>
  <c r="S23" i="30"/>
  <c r="S80" i="30"/>
  <c r="S39" i="30"/>
  <c r="S169" i="30"/>
  <c r="S41" i="30"/>
  <c r="S24" i="30"/>
  <c r="S57" i="30"/>
  <c r="S101" i="30"/>
  <c r="S15" i="30"/>
  <c r="S238" i="30"/>
  <c r="S54" i="30"/>
  <c r="S69" i="30"/>
  <c r="S93" i="30"/>
  <c r="S224" i="30"/>
  <c r="S72" i="30"/>
  <c r="S91" i="30"/>
  <c r="S67" i="30"/>
  <c r="S49" i="30"/>
  <c r="S22" i="30"/>
  <c r="S208" i="30"/>
  <c r="S225" i="30"/>
  <c r="S96" i="30"/>
  <c r="S90" i="30"/>
  <c r="S47" i="30"/>
  <c r="S131" i="30"/>
  <c r="S175" i="30"/>
  <c r="S56" i="30"/>
  <c r="S26" i="30"/>
  <c r="S9" i="30"/>
  <c r="S237" i="30"/>
  <c r="S43" i="30"/>
  <c r="S19" i="30"/>
  <c r="S89" i="30"/>
  <c r="S18" i="30"/>
  <c r="S137" i="30"/>
  <c r="S198" i="30"/>
  <c r="T88" i="30"/>
  <c r="S244" i="30"/>
  <c r="S212" i="30"/>
  <c r="S130" i="30"/>
  <c r="S206" i="30"/>
  <c r="S219" i="30"/>
  <c r="S234" i="30"/>
  <c r="S118" i="30"/>
  <c r="S171" i="30"/>
  <c r="S176" i="30"/>
  <c r="S220" i="30"/>
  <c r="S146" i="30"/>
  <c r="S161" i="30"/>
  <c r="S194" i="30"/>
  <c r="S221" i="30"/>
  <c r="S242" i="30"/>
  <c r="S167" i="30"/>
  <c r="S165" i="30"/>
  <c r="S168" i="30"/>
  <c r="S113" i="30"/>
  <c r="S125" i="30"/>
  <c r="S185" i="30"/>
  <c r="S214" i="30"/>
  <c r="S114" i="30"/>
  <c r="S127" i="30"/>
  <c r="S201" i="30"/>
  <c r="S122" i="30"/>
  <c r="S135" i="30"/>
  <c r="S160" i="30"/>
  <c r="S182" i="30"/>
  <c r="S147" i="30"/>
  <c r="S178" i="30"/>
  <c r="S104" i="30"/>
  <c r="S149" i="30"/>
  <c r="S179" i="30"/>
  <c r="S204" i="30"/>
  <c r="S233" i="30"/>
  <c r="S243" i="30"/>
  <c r="S140" i="30"/>
  <c r="S119" i="30"/>
  <c r="S166" i="30"/>
  <c r="S193" i="30"/>
  <c r="T241" i="30"/>
  <c r="T228" i="30"/>
  <c r="S115" i="30"/>
  <c r="S183" i="30"/>
  <c r="S195" i="30"/>
  <c r="S170" i="30"/>
  <c r="S117" i="30"/>
  <c r="S109" i="30"/>
  <c r="S184" i="30"/>
  <c r="S196" i="30"/>
  <c r="S222" i="30"/>
  <c r="T227" i="30"/>
  <c r="S203" i="30"/>
  <c r="S102" i="30"/>
  <c r="S116" i="30"/>
  <c r="S141" i="30"/>
  <c r="S210" i="30"/>
  <c r="S223" i="30"/>
  <c r="T226" i="30"/>
  <c r="S199" i="30"/>
  <c r="S108" i="30"/>
  <c r="S188" i="30"/>
  <c r="T236" i="30"/>
  <c r="S107" i="30"/>
  <c r="S123" i="30"/>
  <c r="S120" i="30"/>
  <c r="S144" i="30"/>
  <c r="T234" i="30"/>
  <c r="S105" i="30"/>
  <c r="S121" i="30"/>
  <c r="S145" i="30"/>
  <c r="S231" i="30"/>
  <c r="S186" i="30"/>
  <c r="S111" i="30"/>
  <c r="S172" i="30"/>
  <c r="S240" i="30"/>
  <c r="T182" i="30"/>
  <c r="T146" i="30"/>
  <c r="S143" i="30"/>
  <c r="S239" i="30"/>
  <c r="S59" i="30"/>
  <c r="S213" i="30"/>
  <c r="S136" i="30"/>
  <c r="S76" i="30"/>
  <c r="S187" i="30"/>
  <c r="S163" i="30"/>
  <c r="S51" i="30"/>
  <c r="S50" i="30"/>
  <c r="S138" i="30"/>
  <c r="S181" i="30"/>
  <c r="S78" i="30"/>
  <c r="S46" i="30"/>
  <c r="S4" i="30"/>
  <c r="S85" i="30"/>
  <c r="S84" i="30"/>
  <c r="S100" i="30"/>
  <c r="S55" i="30"/>
  <c r="S148" i="30"/>
  <c r="S217" i="30"/>
  <c r="S35" i="30"/>
  <c r="S139" i="30"/>
  <c r="S218" i="30"/>
  <c r="S155" i="30"/>
  <c r="S28" i="30"/>
  <c r="S216" i="30"/>
  <c r="S45" i="30"/>
  <c r="S200" i="30"/>
  <c r="S81" i="30"/>
  <c r="S3" i="30"/>
  <c r="S110" i="30"/>
  <c r="S132" i="30"/>
  <c r="S159" i="30"/>
  <c r="S11" i="30"/>
  <c r="S16" i="30"/>
  <c r="S5" i="30"/>
  <c r="S124" i="30"/>
  <c r="S133" i="30"/>
  <c r="S209" i="30"/>
  <c r="T186" i="30"/>
  <c r="T75" i="30"/>
  <c r="T40" i="30"/>
  <c r="S103" i="30"/>
  <c r="S215" i="30"/>
  <c r="S6" i="30"/>
  <c r="S53" i="30"/>
  <c r="S211" i="30"/>
  <c r="S192" i="30"/>
  <c r="S173" i="30"/>
  <c r="S25" i="30"/>
  <c r="S40" i="30"/>
  <c r="S142" i="30"/>
  <c r="S174" i="30"/>
  <c r="S106" i="30"/>
  <c r="S177" i="30"/>
  <c r="S158" i="30"/>
  <c r="S156" i="30"/>
  <c r="S12" i="30"/>
  <c r="S60" i="30"/>
  <c r="S164" i="30"/>
  <c r="P11" i="29" l="1"/>
  <c r="T253" i="32"/>
  <c r="F9" i="1" s="1"/>
  <c r="G9" i="1" s="1"/>
  <c r="M30" i="17"/>
  <c r="M31" i="17" s="1"/>
  <c r="M32" i="17" s="1"/>
  <c r="M33" i="17" s="1"/>
  <c r="H9" i="1" l="1"/>
  <c r="G39" i="1"/>
  <c r="G43" i="1" s="1"/>
  <c r="H43" i="1" s="1"/>
  <c r="N33" i="17"/>
  <c r="H39" i="1" l="1"/>
  <c r="J83" i="1"/>
  <c r="J84" i="1" s="1"/>
  <c r="I84" i="1" s="1"/>
  <c r="L83" i="1"/>
  <c r="L84" i="1" s="1"/>
  <c r="M84" i="1" s="1"/>
  <c r="L85" i="1" l="1"/>
  <c r="M85" i="1" s="1"/>
  <c r="N85" i="1" s="1"/>
  <c r="O84" i="1" s="1"/>
  <c r="M83" i="1"/>
  <c r="I83" i="1"/>
  <c r="D86" i="1" s="1"/>
  <c r="M86" i="1" s="1"/>
  <c r="L86" i="1" s="1"/>
  <c r="J85" i="1"/>
  <c r="I85" i="1" s="1"/>
  <c r="I86" i="1" l="1"/>
  <c r="J86" i="1" s="1"/>
  <c r="J87" i="1" s="1"/>
  <c r="P85" i="1"/>
  <c r="D85" i="1"/>
  <c r="I87" i="1"/>
  <c r="J88" i="1"/>
  <c r="L87" i="1"/>
  <c r="M87" i="1" s="1"/>
  <c r="L88" i="1" l="1"/>
  <c r="M88" i="1" s="1"/>
  <c r="I88" i="1"/>
  <c r="L91" i="1"/>
  <c r="L94" i="1" l="1"/>
  <c r="M94" i="1" s="1"/>
  <c r="L99" i="1" s="1"/>
  <c r="M91" i="1"/>
  <c r="D89" i="1"/>
  <c r="C95" i="1"/>
  <c r="C97" i="1" s="1"/>
  <c r="D8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Cecilia Wang</author>
    <author>jojo.shen</author>
    <author>jeffrey.huang</author>
  </authors>
  <commentList>
    <comment ref="F10" authorId="0" shapeId="0" xr:uid="{59EB568C-9A5D-46B1-8537-0A9494D6477E}">
      <text>
        <r>
          <rPr>
            <b/>
            <sz val="9"/>
            <color rgb="FF000000"/>
            <rFont val="宋体"/>
            <family val="3"/>
            <charset val="134"/>
          </rPr>
          <t>Cecilia Wang:</t>
        </r>
        <r>
          <rPr>
            <sz val="9"/>
            <color rgb="FF000000"/>
            <rFont val="宋体"/>
            <family val="3"/>
            <charset val="134"/>
          </rPr>
          <t xml:space="preserve">
</t>
        </r>
        <r>
          <rPr>
            <sz val="9"/>
            <color rgb="FF000000"/>
            <rFont val="宋体"/>
            <family val="3"/>
            <charset val="134"/>
          </rPr>
          <t xml:space="preserve">DAP price
</t>
        </r>
      </text>
    </comment>
    <comment ref="H10" authorId="0" shapeId="0" xr:uid="{0DAC0F1E-3723-4606-92E9-22A5B47723FA}">
      <text>
        <r>
          <rPr>
            <b/>
            <sz val="9"/>
            <color indexed="81"/>
            <rFont val="宋体"/>
            <family val="3"/>
            <charset val="134"/>
          </rPr>
          <t>Cecilia Wang:</t>
        </r>
        <r>
          <rPr>
            <sz val="9"/>
            <color indexed="81"/>
            <rFont val="宋体"/>
            <family val="3"/>
            <charset val="134"/>
          </rPr>
          <t xml:space="preserve">
$4.32是空运DAP价格</t>
        </r>
      </text>
    </comment>
    <comment ref="F12" authorId="0" shapeId="0" xr:uid="{C560F144-3088-4E96-8DF3-C0EBD6DC4369}">
      <text>
        <r>
          <rPr>
            <b/>
            <sz val="9"/>
            <color indexed="81"/>
            <rFont val="宋体"/>
            <family val="3"/>
            <charset val="134"/>
          </rPr>
          <t>Cecilia Wang:</t>
        </r>
        <r>
          <rPr>
            <sz val="9"/>
            <color indexed="81"/>
            <rFont val="宋体"/>
            <family val="3"/>
            <charset val="134"/>
          </rPr>
          <t xml:space="preserve">
+20% courier fee
</t>
        </r>
      </text>
    </comment>
    <comment ref="F13" authorId="0" shapeId="0" xr:uid="{2C057789-38A0-401B-9145-4AE4B8336821}">
      <text>
        <r>
          <rPr>
            <b/>
            <sz val="9"/>
            <color indexed="81"/>
            <rFont val="宋体"/>
            <family val="3"/>
            <charset val="134"/>
          </rPr>
          <t>Cecilia Wang:</t>
        </r>
        <r>
          <rPr>
            <sz val="9"/>
            <color indexed="81"/>
            <rFont val="宋体"/>
            <family val="3"/>
            <charset val="134"/>
          </rPr>
          <t xml:space="preserve">
DAP PRICE
</t>
        </r>
      </text>
    </comment>
    <comment ref="F14" authorId="0" shapeId="0" xr:uid="{CE596CB1-F5D0-4125-9790-E702D8A65D39}">
      <text>
        <r>
          <rPr>
            <b/>
            <sz val="9"/>
            <color indexed="81"/>
            <rFont val="宋体"/>
            <family val="3"/>
            <charset val="134"/>
          </rPr>
          <t>Cecilia Wang:</t>
        </r>
        <r>
          <rPr>
            <sz val="9"/>
            <color indexed="81"/>
            <rFont val="宋体"/>
            <family val="3"/>
            <charset val="134"/>
          </rPr>
          <t xml:space="preserve">
+8% Courier fee to 10% courier fee
</t>
        </r>
      </text>
    </comment>
    <comment ref="F15" authorId="0" shapeId="0" xr:uid="{8A0DB49B-9E88-49E3-AC80-51912018F2FA}">
      <text>
        <r>
          <rPr>
            <b/>
            <sz val="9"/>
            <color indexed="81"/>
            <rFont val="宋体"/>
            <family val="3"/>
            <charset val="134"/>
          </rPr>
          <t>Cecilia Wang:</t>
        </r>
        <r>
          <rPr>
            <sz val="9"/>
            <color indexed="81"/>
            <rFont val="宋体"/>
            <family val="3"/>
            <charset val="134"/>
          </rPr>
          <t xml:space="preserve">
+8% courier fee to +10% courier fee
</t>
        </r>
      </text>
    </comment>
    <comment ref="F16" authorId="0" shapeId="0" xr:uid="{E81AE1B5-DD33-4BDB-971C-4C278EE41A4A}">
      <text>
        <r>
          <rPr>
            <b/>
            <sz val="9"/>
            <color indexed="81"/>
            <rFont val="宋体"/>
            <family val="3"/>
            <charset val="134"/>
          </rPr>
          <t xml:space="preserve">Cecilia Wang:+10%courier fee $1.2 non-DAP to $0.74 non-DAP
</t>
        </r>
      </text>
    </comment>
    <comment ref="G48" authorId="1" shapeId="0" xr:uid="{5D687463-FB35-437F-8534-AA8B77AF6823}">
      <text>
        <r>
          <rPr>
            <b/>
            <sz val="10"/>
            <rFont val="Arial"/>
            <family val="2"/>
          </rPr>
          <t xml:space="preserve">winston.zhang:
</t>
        </r>
        <r>
          <rPr>
            <sz val="10"/>
            <rFont val="Arial"/>
            <family val="2"/>
          </rPr>
          <t>Included 5% material incoming scrap</t>
        </r>
      </text>
    </comment>
    <comment ref="C96" authorId="2" shapeId="0" xr:uid="{E14D744F-E91D-4C52-AEBA-31DD67453CA8}">
      <text>
        <r>
          <rPr>
            <b/>
            <sz val="10"/>
            <rFont val="Arial"/>
            <family val="2"/>
          </rPr>
          <t>jeffrey.huang:</t>
        </r>
        <r>
          <rPr>
            <sz val="10"/>
            <rFont val="Arial"/>
            <family val="2"/>
          </rPr>
          <t xml:space="preserve">
Set By Management!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zw</author>
    <author>刘毅</author>
  </authors>
  <commentList>
    <comment ref="A2" authorId="0" shapeId="0" xr:uid="{20530821-133C-416B-BFB4-91D3EBCDA97C}">
      <text>
        <r>
          <rPr>
            <b/>
            <sz val="9"/>
            <rFont val="宋体"/>
            <family val="3"/>
            <charset val="134"/>
          </rPr>
          <t>zw:</t>
        </r>
        <r>
          <rPr>
            <sz val="9"/>
            <rFont val="宋体"/>
            <family val="3"/>
            <charset val="134"/>
          </rPr>
          <t xml:space="preserve">
原来有多列，合并成一列，用数字代表层级号，BOM顶层的值为0</t>
        </r>
      </text>
    </comment>
    <comment ref="B2" authorId="0" shapeId="0" xr:uid="{D0CD5E65-9FB4-444C-AB15-2F23D1095CDE}">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D2" authorId="1" shapeId="0" xr:uid="{AC82671B-7C46-458B-8BA8-D974DCB73030}">
      <text>
        <r>
          <rPr>
            <b/>
            <sz val="9"/>
            <color indexed="81"/>
            <rFont val="宋体"/>
            <family val="3"/>
            <charset val="134"/>
          </rPr>
          <t>刘毅:</t>
        </r>
        <r>
          <rPr>
            <sz val="9"/>
            <color indexed="81"/>
            <rFont val="宋体"/>
            <family val="3"/>
            <charset val="134"/>
          </rPr>
          <t xml:space="preserve">
非中英文字符集会出现英文“?”</t>
        </r>
      </text>
    </comment>
    <comment ref="I2" authorId="1" shapeId="0" xr:uid="{5848AF7F-8339-4BE0-BAAD-2E0477E6D6E7}">
      <text>
        <r>
          <rPr>
            <b/>
            <sz val="9"/>
            <color indexed="81"/>
            <rFont val="宋体"/>
            <family val="3"/>
            <charset val="134"/>
          </rPr>
          <t>刘毅:</t>
        </r>
        <r>
          <rPr>
            <sz val="9"/>
            <color indexed="81"/>
            <rFont val="宋体"/>
            <family val="3"/>
            <charset val="134"/>
          </rPr>
          <t xml:space="preserve">
仅允许填写整数，默认单位为“月”,
RD4单位改为“日”</t>
        </r>
      </text>
    </comment>
    <comment ref="K2" authorId="1" shapeId="0" xr:uid="{4A68A1B7-FACD-4FC0-A670-9C24B50A5F89}">
      <text>
        <r>
          <rPr>
            <b/>
            <sz val="9"/>
            <color indexed="81"/>
            <rFont val="宋体"/>
            <family val="3"/>
            <charset val="134"/>
          </rPr>
          <t>刘毅:</t>
        </r>
        <r>
          <rPr>
            <sz val="9"/>
            <color indexed="81"/>
            <rFont val="宋体"/>
            <family val="3"/>
            <charset val="134"/>
          </rPr>
          <t xml:space="preserve">
通过下拉框选择</t>
        </r>
      </text>
    </comment>
    <comment ref="L2" authorId="1" shapeId="0" xr:uid="{EDB7237E-7597-4B1B-813A-74F778F8A4B9}">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zw</author>
    <author>刘毅</author>
  </authors>
  <commentList>
    <comment ref="A1" authorId="0" shapeId="0" xr:uid="{C764D860-C2D4-4ADB-B752-01FDB023585D}">
      <text>
        <r>
          <rPr>
            <b/>
            <sz val="9"/>
            <rFont val="宋体"/>
            <family val="3"/>
            <charset val="134"/>
          </rPr>
          <t>zw:</t>
        </r>
        <r>
          <rPr>
            <sz val="9"/>
            <rFont val="宋体"/>
            <family val="3"/>
            <charset val="134"/>
          </rPr>
          <t xml:space="preserve">
原来有多列，合并成一列，用数字代表层级号，BOM顶层的值为0</t>
        </r>
      </text>
    </comment>
    <comment ref="B1" authorId="0" shapeId="0" xr:uid="{6473B399-CA7E-4363-B6FF-FC2481EC825B}">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D1" authorId="1" shapeId="0" xr:uid="{606C4039-A0F7-44D3-B0E8-46F4B614833D}">
      <text>
        <r>
          <rPr>
            <b/>
            <sz val="9"/>
            <color indexed="81"/>
            <rFont val="宋体"/>
            <family val="3"/>
            <charset val="134"/>
          </rPr>
          <t>刘毅:</t>
        </r>
        <r>
          <rPr>
            <sz val="9"/>
            <color indexed="81"/>
            <rFont val="宋体"/>
            <family val="3"/>
            <charset val="134"/>
          </rPr>
          <t xml:space="preserve">
非中英文字符集会出现英文“?”</t>
        </r>
      </text>
    </comment>
    <comment ref="G1" authorId="0" shapeId="0" xr:uid="{AA696FC4-2E60-401E-8B3F-53555BBCB450}">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J1" authorId="1" shapeId="0" xr:uid="{825A733E-18BD-4BDE-A43B-4FC89840E759}">
      <text>
        <r>
          <rPr>
            <b/>
            <sz val="9"/>
            <color indexed="81"/>
            <rFont val="宋体"/>
            <family val="3"/>
            <charset val="134"/>
          </rPr>
          <t>刘毅:</t>
        </r>
        <r>
          <rPr>
            <sz val="9"/>
            <color indexed="81"/>
            <rFont val="宋体"/>
            <family val="3"/>
            <charset val="134"/>
          </rPr>
          <t xml:space="preserve">
仅允许填写整数，默认单位为“月”,
RD4单位改为“日”</t>
        </r>
      </text>
    </comment>
    <comment ref="K1" authorId="1" shapeId="0" xr:uid="{D7C12D6E-7E80-4484-A010-CD28A707A703}">
      <text>
        <r>
          <rPr>
            <b/>
            <sz val="9"/>
            <color indexed="81"/>
            <rFont val="宋体"/>
            <family val="3"/>
            <charset val="134"/>
          </rPr>
          <t>刘毅:</t>
        </r>
        <r>
          <rPr>
            <sz val="9"/>
            <color indexed="81"/>
            <rFont val="宋体"/>
            <family val="3"/>
            <charset val="134"/>
          </rPr>
          <t xml:space="preserve">
通过下拉框选择</t>
        </r>
      </text>
    </comment>
    <comment ref="L1" authorId="1" shapeId="0" xr:uid="{4BE309DB-2F79-4708-B5EF-2FBC27AA40FA}">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AD1" authorId="0" shapeId="0" xr:uid="{EA40AD93-440A-449B-A8FB-C9C45DF33718}">
      <text>
        <r>
          <rPr>
            <b/>
            <sz val="9"/>
            <rFont val="宋体"/>
            <family val="3"/>
            <charset val="134"/>
          </rPr>
          <t>zw:</t>
        </r>
        <r>
          <rPr>
            <sz val="9"/>
            <rFont val="宋体"/>
            <family val="3"/>
            <charset val="134"/>
          </rPr>
          <t xml:space="preserve">
原来有多列，合并成一列，用数字代表层级号，BOM顶层的值为0</t>
        </r>
      </text>
    </comment>
    <comment ref="AE1" authorId="0" shapeId="0" xr:uid="{133D963B-781E-4FBE-94E6-5AB63DE86375}">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AG1" authorId="1" shapeId="0" xr:uid="{8E750BB0-EEEF-4900-AE80-37B5A39EFE28}">
      <text>
        <r>
          <rPr>
            <b/>
            <sz val="9"/>
            <color indexed="81"/>
            <rFont val="宋体"/>
            <family val="3"/>
            <charset val="134"/>
          </rPr>
          <t>刘毅:</t>
        </r>
        <r>
          <rPr>
            <sz val="9"/>
            <color indexed="81"/>
            <rFont val="宋体"/>
            <family val="3"/>
            <charset val="134"/>
          </rPr>
          <t xml:space="preserve">
非中英文字符集会出现英文“?”</t>
        </r>
      </text>
    </comment>
    <comment ref="AH1" authorId="0" shapeId="0" xr:uid="{1ECB047C-146C-4B2A-9DE1-336FFF52E9BF}">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AI1" authorId="0" shapeId="0" xr:uid="{1E9DB19B-8B99-4CD9-B8A5-7DF0001A8E06}">
      <text>
        <r>
          <rPr>
            <b/>
            <sz val="9"/>
            <rFont val="宋体"/>
            <family val="3"/>
            <charset val="134"/>
          </rPr>
          <t xml:space="preserve">zw:
</t>
        </r>
        <r>
          <rPr>
            <sz val="9"/>
            <rFont val="宋体"/>
            <family val="3"/>
            <charset val="134"/>
          </rPr>
          <t>O表示供应商提供，C表示客户提供</t>
        </r>
      </text>
    </comment>
    <comment ref="AL1" authorId="1" shapeId="0" xr:uid="{C2AC392D-5807-4827-B294-613747FEF4EB}">
      <text>
        <r>
          <rPr>
            <b/>
            <sz val="9"/>
            <color indexed="81"/>
            <rFont val="宋体"/>
            <family val="3"/>
            <charset val="134"/>
          </rPr>
          <t>刘毅:</t>
        </r>
        <r>
          <rPr>
            <sz val="9"/>
            <color indexed="81"/>
            <rFont val="宋体"/>
            <family val="3"/>
            <charset val="134"/>
          </rPr>
          <t xml:space="preserve">
仅允许填写整数，默认单位为“月”,
RD4单位改为“日”</t>
        </r>
      </text>
    </comment>
    <comment ref="AM1" authorId="1" shapeId="0" xr:uid="{3C7311CD-D4B1-45B8-A5E9-BF3B1EB76413}">
      <text>
        <r>
          <rPr>
            <b/>
            <sz val="9"/>
            <color indexed="81"/>
            <rFont val="宋体"/>
            <family val="3"/>
            <charset val="134"/>
          </rPr>
          <t>刘毅:</t>
        </r>
        <r>
          <rPr>
            <sz val="9"/>
            <color indexed="81"/>
            <rFont val="宋体"/>
            <family val="3"/>
            <charset val="134"/>
          </rPr>
          <t xml:space="preserve">
通过下拉框选择</t>
        </r>
      </text>
    </comment>
    <comment ref="AN1" authorId="1" shapeId="0" xr:uid="{3B90C67F-A81D-403C-A573-27BC07ED1F8B}">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AT1" authorId="0" shapeId="0" xr:uid="{AD244B99-9734-4D62-91E8-0A52B5ACF01B}">
      <text>
        <r>
          <rPr>
            <b/>
            <sz val="9"/>
            <rFont val="宋体"/>
            <family val="3"/>
            <charset val="134"/>
          </rPr>
          <t>zw:</t>
        </r>
        <r>
          <rPr>
            <sz val="9"/>
            <rFont val="宋体"/>
            <family val="3"/>
            <charset val="134"/>
          </rPr>
          <t xml:space="preserve">
原来有多列，合并成一列，用数字代表层级号，BOM顶层的值为0</t>
        </r>
      </text>
    </comment>
    <comment ref="AU1" authorId="0" shapeId="0" xr:uid="{C8DA0532-4287-4936-98B4-260E221CD76B}">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AW1" authorId="1" shapeId="0" xr:uid="{452FDA7B-AAF5-4477-A4EF-07C4A1CD8E3B}">
      <text>
        <r>
          <rPr>
            <b/>
            <sz val="9"/>
            <color indexed="81"/>
            <rFont val="宋体"/>
            <family val="3"/>
            <charset val="134"/>
          </rPr>
          <t>刘毅:</t>
        </r>
        <r>
          <rPr>
            <sz val="9"/>
            <color indexed="81"/>
            <rFont val="宋体"/>
            <family val="3"/>
            <charset val="134"/>
          </rPr>
          <t xml:space="preserve">
非中英文字符集会出现英文“?”</t>
        </r>
      </text>
    </comment>
    <comment ref="AX1" authorId="0" shapeId="0" xr:uid="{7B17F38D-64E9-4B2B-98E1-A573E9E3F75E}">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AY1" authorId="0" shapeId="0" xr:uid="{2634F9BA-173F-4157-A179-29329C3D8260}">
      <text>
        <r>
          <rPr>
            <b/>
            <sz val="9"/>
            <rFont val="宋体"/>
            <family val="3"/>
            <charset val="134"/>
          </rPr>
          <t xml:space="preserve">zw:
</t>
        </r>
        <r>
          <rPr>
            <sz val="9"/>
            <rFont val="宋体"/>
            <family val="3"/>
            <charset val="134"/>
          </rPr>
          <t>O表示供应商提供，C表示客户提供</t>
        </r>
      </text>
    </comment>
    <comment ref="BB1" authorId="1" shapeId="0" xr:uid="{570FBAFE-675E-4F14-AA80-A27323D40F38}">
      <text>
        <r>
          <rPr>
            <b/>
            <sz val="9"/>
            <color indexed="81"/>
            <rFont val="宋体"/>
            <family val="3"/>
            <charset val="134"/>
          </rPr>
          <t>刘毅:</t>
        </r>
        <r>
          <rPr>
            <sz val="9"/>
            <color indexed="81"/>
            <rFont val="宋体"/>
            <family val="3"/>
            <charset val="134"/>
          </rPr>
          <t xml:space="preserve">
仅允许填写整数，默认单位为“月”,
RD4单位改为“日”</t>
        </r>
      </text>
    </comment>
    <comment ref="BC1" authorId="1" shapeId="0" xr:uid="{11604985-4557-4A43-AF35-B10FCE217D16}">
      <text>
        <r>
          <rPr>
            <b/>
            <sz val="9"/>
            <color indexed="81"/>
            <rFont val="宋体"/>
            <family val="3"/>
            <charset val="134"/>
          </rPr>
          <t>刘毅:</t>
        </r>
        <r>
          <rPr>
            <sz val="9"/>
            <color indexed="81"/>
            <rFont val="宋体"/>
            <family val="3"/>
            <charset val="134"/>
          </rPr>
          <t xml:space="preserve">
通过下拉框选择</t>
        </r>
      </text>
    </comment>
    <comment ref="BD1" authorId="1" shapeId="0" xr:uid="{2843823C-D178-4E63-B77A-F9E64CF601D9}">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BJ1" authorId="0" shapeId="0" xr:uid="{77A3853B-0588-4252-8726-FB65592BE045}">
      <text>
        <r>
          <rPr>
            <b/>
            <sz val="9"/>
            <rFont val="宋体"/>
            <family val="3"/>
            <charset val="134"/>
          </rPr>
          <t>zw:</t>
        </r>
        <r>
          <rPr>
            <sz val="9"/>
            <rFont val="宋体"/>
            <family val="3"/>
            <charset val="134"/>
          </rPr>
          <t xml:space="preserve">
原来有多列，合并成一列，用数字代表层级号，BOM顶层的值为0</t>
        </r>
      </text>
    </comment>
    <comment ref="BK1" authorId="0" shapeId="0" xr:uid="{E100FF9D-6968-4FF9-B71E-A8D302EC96CD}">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BM1" authorId="1" shapeId="0" xr:uid="{479D61D9-368A-4F20-857F-65F22C3256DF}">
      <text>
        <r>
          <rPr>
            <b/>
            <sz val="9"/>
            <color indexed="81"/>
            <rFont val="宋体"/>
            <family val="3"/>
            <charset val="134"/>
          </rPr>
          <t>刘毅:</t>
        </r>
        <r>
          <rPr>
            <sz val="9"/>
            <color indexed="81"/>
            <rFont val="宋体"/>
            <family val="3"/>
            <charset val="134"/>
          </rPr>
          <t xml:space="preserve">
非中英文字符集会出现英文“?”</t>
        </r>
      </text>
    </comment>
    <comment ref="BN1" authorId="0" shapeId="0" xr:uid="{DAFAC874-E85E-4B24-9626-AC7980AF7CB7}">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BO1" authorId="0" shapeId="0" xr:uid="{69B19B4D-B3B9-4EE5-B279-16AB62E73CE8}">
      <text>
        <r>
          <rPr>
            <b/>
            <sz val="9"/>
            <rFont val="宋体"/>
            <family val="3"/>
            <charset val="134"/>
          </rPr>
          <t xml:space="preserve">zw:
</t>
        </r>
        <r>
          <rPr>
            <sz val="9"/>
            <rFont val="宋体"/>
            <family val="3"/>
            <charset val="134"/>
          </rPr>
          <t>O表示供应商提供，C表示客户提供</t>
        </r>
      </text>
    </comment>
    <comment ref="BR1" authorId="1" shapeId="0" xr:uid="{E4984705-8333-4A30-B437-6F4A24B3E616}">
      <text>
        <r>
          <rPr>
            <b/>
            <sz val="9"/>
            <color indexed="81"/>
            <rFont val="宋体"/>
            <family val="3"/>
            <charset val="134"/>
          </rPr>
          <t>刘毅:</t>
        </r>
        <r>
          <rPr>
            <sz val="9"/>
            <color indexed="81"/>
            <rFont val="宋体"/>
            <family val="3"/>
            <charset val="134"/>
          </rPr>
          <t xml:space="preserve">
仅允许填写整数，默认单位为“月”,
RD4单位改为“日”</t>
        </r>
      </text>
    </comment>
    <comment ref="BS1" authorId="1" shapeId="0" xr:uid="{DAF741DE-B775-49E6-B953-AC1D65E26469}">
      <text>
        <r>
          <rPr>
            <b/>
            <sz val="9"/>
            <color indexed="81"/>
            <rFont val="宋体"/>
            <family val="3"/>
            <charset val="134"/>
          </rPr>
          <t>刘毅:</t>
        </r>
        <r>
          <rPr>
            <sz val="9"/>
            <color indexed="81"/>
            <rFont val="宋体"/>
            <family val="3"/>
            <charset val="134"/>
          </rPr>
          <t xml:space="preserve">
通过下拉框选择</t>
        </r>
      </text>
    </comment>
    <comment ref="BT1" authorId="1" shapeId="0" xr:uid="{2E152B38-EB69-4B09-8932-3931EDFB72C3}">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BZ1" authorId="0" shapeId="0" xr:uid="{BB1E05DD-AF4C-474B-820F-A5CAA008A4B6}">
      <text>
        <r>
          <rPr>
            <b/>
            <sz val="9"/>
            <rFont val="宋体"/>
            <family val="3"/>
            <charset val="134"/>
          </rPr>
          <t>zw:</t>
        </r>
        <r>
          <rPr>
            <sz val="9"/>
            <rFont val="宋体"/>
            <family val="3"/>
            <charset val="134"/>
          </rPr>
          <t xml:space="preserve">
原来有多列，合并成一列，用数字代表层级号，BOM顶层的值为0</t>
        </r>
      </text>
    </comment>
    <comment ref="CA1" authorId="0" shapeId="0" xr:uid="{3F7E9E5A-A9B0-477D-B25B-169DD1961138}">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CC1" authorId="1" shapeId="0" xr:uid="{14B121A8-386E-41A9-BD50-AD34566BD7FC}">
      <text>
        <r>
          <rPr>
            <b/>
            <sz val="9"/>
            <color indexed="81"/>
            <rFont val="宋体"/>
            <family val="3"/>
            <charset val="134"/>
          </rPr>
          <t>刘毅:</t>
        </r>
        <r>
          <rPr>
            <sz val="9"/>
            <color indexed="81"/>
            <rFont val="宋体"/>
            <family val="3"/>
            <charset val="134"/>
          </rPr>
          <t xml:space="preserve">
非中英文字符集会出现英文“?”</t>
        </r>
      </text>
    </comment>
    <comment ref="CD1" authorId="0" shapeId="0" xr:uid="{715AE344-FC73-49E8-A7F9-6CF765DAFADC}">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CE1" authorId="0" shapeId="0" xr:uid="{BB38025E-C978-4E1C-B4BD-40921D3D1D3C}">
      <text>
        <r>
          <rPr>
            <b/>
            <sz val="9"/>
            <rFont val="宋体"/>
            <family val="3"/>
            <charset val="134"/>
          </rPr>
          <t xml:space="preserve">zw:
</t>
        </r>
        <r>
          <rPr>
            <sz val="9"/>
            <rFont val="宋体"/>
            <family val="3"/>
            <charset val="134"/>
          </rPr>
          <t>O表示供应商提供，C表示客户提供</t>
        </r>
      </text>
    </comment>
    <comment ref="CH1" authorId="1" shapeId="0" xr:uid="{2844D439-785A-4EE2-B5A6-1038352221C9}">
      <text>
        <r>
          <rPr>
            <b/>
            <sz val="9"/>
            <color indexed="81"/>
            <rFont val="宋体"/>
            <family val="3"/>
            <charset val="134"/>
          </rPr>
          <t>刘毅:</t>
        </r>
        <r>
          <rPr>
            <sz val="9"/>
            <color indexed="81"/>
            <rFont val="宋体"/>
            <family val="3"/>
            <charset val="134"/>
          </rPr>
          <t xml:space="preserve">
仅允许填写整数，默认单位为“月”,
RD4单位改为“日”</t>
        </r>
      </text>
    </comment>
    <comment ref="CI1" authorId="1" shapeId="0" xr:uid="{7944C97C-961F-4733-99DA-71B6570956FB}">
      <text>
        <r>
          <rPr>
            <b/>
            <sz val="9"/>
            <color indexed="81"/>
            <rFont val="宋体"/>
            <family val="3"/>
            <charset val="134"/>
          </rPr>
          <t>刘毅:</t>
        </r>
        <r>
          <rPr>
            <sz val="9"/>
            <color indexed="81"/>
            <rFont val="宋体"/>
            <family val="3"/>
            <charset val="134"/>
          </rPr>
          <t xml:space="preserve">
通过下拉框选择</t>
        </r>
      </text>
    </comment>
    <comment ref="CJ1" authorId="1" shapeId="0" xr:uid="{1BFD8534-2881-4B5B-99E9-959FFD318924}">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CP1" authorId="0" shapeId="0" xr:uid="{E9A9C9E2-C720-4E7A-8BAB-A2903A307E08}">
      <text>
        <r>
          <rPr>
            <b/>
            <sz val="9"/>
            <rFont val="宋体"/>
            <family val="3"/>
            <charset val="134"/>
          </rPr>
          <t>zw:</t>
        </r>
        <r>
          <rPr>
            <sz val="9"/>
            <rFont val="宋体"/>
            <family val="3"/>
            <charset val="134"/>
          </rPr>
          <t xml:space="preserve">
原来有多列，合并成一列，用数字代表层级号，BOM顶层的值为0</t>
        </r>
      </text>
    </comment>
    <comment ref="CQ1" authorId="0" shapeId="0" xr:uid="{542AE0D8-5AF2-43B7-A999-B770C63F4294}">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CS1" authorId="1" shapeId="0" xr:uid="{22552FEF-C068-4277-AD82-F61545CDA6A5}">
      <text>
        <r>
          <rPr>
            <b/>
            <sz val="9"/>
            <color indexed="81"/>
            <rFont val="宋体"/>
            <family val="3"/>
            <charset val="134"/>
          </rPr>
          <t>刘毅:</t>
        </r>
        <r>
          <rPr>
            <sz val="9"/>
            <color indexed="81"/>
            <rFont val="宋体"/>
            <family val="3"/>
            <charset val="134"/>
          </rPr>
          <t xml:space="preserve">
非中英文字符集会出现英文“?”</t>
        </r>
      </text>
    </comment>
    <comment ref="CT1" authorId="0" shapeId="0" xr:uid="{37B95F2B-D558-431C-A7C1-2EC0930F89E2}">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CU1" authorId="0" shapeId="0" xr:uid="{F80DD8F0-FA29-4E5A-B12A-593F8E0712BB}">
      <text>
        <r>
          <rPr>
            <b/>
            <sz val="9"/>
            <rFont val="宋体"/>
            <family val="3"/>
            <charset val="134"/>
          </rPr>
          <t xml:space="preserve">zw:
</t>
        </r>
        <r>
          <rPr>
            <sz val="9"/>
            <rFont val="宋体"/>
            <family val="3"/>
            <charset val="134"/>
          </rPr>
          <t>O表示供应商提供，C表示客户提供</t>
        </r>
      </text>
    </comment>
    <comment ref="CX1" authorId="1" shapeId="0" xr:uid="{8C21432E-534F-49AA-9C32-257FD8BC8F66}">
      <text>
        <r>
          <rPr>
            <b/>
            <sz val="9"/>
            <color indexed="81"/>
            <rFont val="宋体"/>
            <family val="3"/>
            <charset val="134"/>
          </rPr>
          <t>刘毅:</t>
        </r>
        <r>
          <rPr>
            <sz val="9"/>
            <color indexed="81"/>
            <rFont val="宋体"/>
            <family val="3"/>
            <charset val="134"/>
          </rPr>
          <t xml:space="preserve">
仅允许填写整数，默认单位为“月”,
RD4单位改为“日”</t>
        </r>
      </text>
    </comment>
    <comment ref="CY1" authorId="1" shapeId="0" xr:uid="{AD673BDB-BCB7-4BAF-A43D-CDFBB3718B60}">
      <text>
        <r>
          <rPr>
            <b/>
            <sz val="9"/>
            <color indexed="81"/>
            <rFont val="宋体"/>
            <family val="3"/>
            <charset val="134"/>
          </rPr>
          <t>刘毅:</t>
        </r>
        <r>
          <rPr>
            <sz val="9"/>
            <color indexed="81"/>
            <rFont val="宋体"/>
            <family val="3"/>
            <charset val="134"/>
          </rPr>
          <t xml:space="preserve">
通过下拉框选择</t>
        </r>
      </text>
    </comment>
    <comment ref="CZ1" authorId="1" shapeId="0" xr:uid="{29A06085-310D-4F68-9B53-3B46315E707E}">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DF1" authorId="0" shapeId="0" xr:uid="{82C0BCCD-5054-4C38-A31A-FA51C7788121}">
      <text>
        <r>
          <rPr>
            <b/>
            <sz val="9"/>
            <rFont val="宋体"/>
            <family val="3"/>
            <charset val="134"/>
          </rPr>
          <t>zw:</t>
        </r>
        <r>
          <rPr>
            <sz val="9"/>
            <rFont val="宋体"/>
            <family val="3"/>
            <charset val="134"/>
          </rPr>
          <t xml:space="preserve">
原来有多列，合并成一列，用数字代表层级号，BOM顶层的值为0</t>
        </r>
      </text>
    </comment>
    <comment ref="DG1" authorId="0" shapeId="0" xr:uid="{00834FA4-32E8-4596-BF65-AF87C515ABE5}">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DI1" authorId="1" shapeId="0" xr:uid="{D79B2A7B-88EA-4F1A-B17D-B67DB2720ACA}">
      <text>
        <r>
          <rPr>
            <b/>
            <sz val="9"/>
            <color indexed="81"/>
            <rFont val="宋体"/>
            <family val="3"/>
            <charset val="134"/>
          </rPr>
          <t>刘毅:</t>
        </r>
        <r>
          <rPr>
            <sz val="9"/>
            <color indexed="81"/>
            <rFont val="宋体"/>
            <family val="3"/>
            <charset val="134"/>
          </rPr>
          <t xml:space="preserve">
非中英文字符集会出现英文“?”</t>
        </r>
      </text>
    </comment>
    <comment ref="DJ1" authorId="0" shapeId="0" xr:uid="{5EF86042-074A-4447-84F1-BD528A8E17E5}">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DK1" authorId="0" shapeId="0" xr:uid="{D3E65ADC-0CD1-4B00-916E-488DF79D84FC}">
      <text>
        <r>
          <rPr>
            <b/>
            <sz val="9"/>
            <rFont val="宋体"/>
            <family val="3"/>
            <charset val="134"/>
          </rPr>
          <t xml:space="preserve">zw:
</t>
        </r>
        <r>
          <rPr>
            <sz val="9"/>
            <rFont val="宋体"/>
            <family val="3"/>
            <charset val="134"/>
          </rPr>
          <t>O表示供应商提供，C表示客户提供</t>
        </r>
      </text>
    </comment>
    <comment ref="DN1" authorId="1" shapeId="0" xr:uid="{2C78A701-EA6D-453C-9803-4B0A7957FF71}">
      <text>
        <r>
          <rPr>
            <b/>
            <sz val="9"/>
            <color indexed="81"/>
            <rFont val="宋体"/>
            <family val="3"/>
            <charset val="134"/>
          </rPr>
          <t>刘毅:</t>
        </r>
        <r>
          <rPr>
            <sz val="9"/>
            <color indexed="81"/>
            <rFont val="宋体"/>
            <family val="3"/>
            <charset val="134"/>
          </rPr>
          <t xml:space="preserve">
仅允许填写整数，默认单位为“月”,
RD4单位改为“日”</t>
        </r>
      </text>
    </comment>
    <comment ref="DO1" authorId="1" shapeId="0" xr:uid="{CDB0F465-8965-43DC-AC09-7B6F4E8B2502}">
      <text>
        <r>
          <rPr>
            <b/>
            <sz val="9"/>
            <color indexed="81"/>
            <rFont val="宋体"/>
            <family val="3"/>
            <charset val="134"/>
          </rPr>
          <t>刘毅:</t>
        </r>
        <r>
          <rPr>
            <sz val="9"/>
            <color indexed="81"/>
            <rFont val="宋体"/>
            <family val="3"/>
            <charset val="134"/>
          </rPr>
          <t xml:space="preserve">
通过下拉框选择</t>
        </r>
      </text>
    </comment>
    <comment ref="DP1" authorId="1" shapeId="0" xr:uid="{53CFF76C-8916-450D-88A6-8CC716E67EC3}">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DV1" authorId="0" shapeId="0" xr:uid="{748B4A9B-06C2-438A-AFCB-6EAC329BD1AC}">
      <text>
        <r>
          <rPr>
            <b/>
            <sz val="9"/>
            <rFont val="宋体"/>
            <family val="3"/>
            <charset val="134"/>
          </rPr>
          <t>zw:</t>
        </r>
        <r>
          <rPr>
            <sz val="9"/>
            <rFont val="宋体"/>
            <family val="3"/>
            <charset val="134"/>
          </rPr>
          <t xml:space="preserve">
原来有多列，合并成一列，用数字代表层级号，BOM顶层的值为0</t>
        </r>
      </text>
    </comment>
    <comment ref="DW1" authorId="0" shapeId="0" xr:uid="{900E2F50-DC0E-46BB-87DB-8F929B86B07B}">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DY1" authorId="1" shapeId="0" xr:uid="{42EDCC1E-2450-46D9-A4A4-F38E30F505AE}">
      <text>
        <r>
          <rPr>
            <b/>
            <sz val="9"/>
            <color indexed="81"/>
            <rFont val="宋体"/>
            <family val="3"/>
            <charset val="134"/>
          </rPr>
          <t>刘毅:</t>
        </r>
        <r>
          <rPr>
            <sz val="9"/>
            <color indexed="81"/>
            <rFont val="宋体"/>
            <family val="3"/>
            <charset val="134"/>
          </rPr>
          <t xml:space="preserve">
非中英文字符集会出现英文“?”</t>
        </r>
      </text>
    </comment>
    <comment ref="DZ1" authorId="0" shapeId="0" xr:uid="{50780E60-07F7-4222-B877-DF3951A99396}">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EA1" authorId="0" shapeId="0" xr:uid="{972C8E92-45E6-4517-8D00-2D34724592D1}">
      <text>
        <r>
          <rPr>
            <b/>
            <sz val="9"/>
            <rFont val="宋体"/>
            <family val="3"/>
            <charset val="134"/>
          </rPr>
          <t xml:space="preserve">zw:
</t>
        </r>
        <r>
          <rPr>
            <sz val="9"/>
            <rFont val="宋体"/>
            <family val="3"/>
            <charset val="134"/>
          </rPr>
          <t>O表示供应商提供，C表示客户提供</t>
        </r>
      </text>
    </comment>
    <comment ref="ED1" authorId="1" shapeId="0" xr:uid="{2F7F2D8D-9409-479B-980A-1108F48B6C08}">
      <text>
        <r>
          <rPr>
            <b/>
            <sz val="9"/>
            <color indexed="81"/>
            <rFont val="宋体"/>
            <family val="3"/>
            <charset val="134"/>
          </rPr>
          <t>刘毅:</t>
        </r>
        <r>
          <rPr>
            <sz val="9"/>
            <color indexed="81"/>
            <rFont val="宋体"/>
            <family val="3"/>
            <charset val="134"/>
          </rPr>
          <t xml:space="preserve">
仅允许填写整数，默认单位为“月”,
RD4单位改为“日”</t>
        </r>
      </text>
    </comment>
    <comment ref="EE1" authorId="1" shapeId="0" xr:uid="{B57465AC-AE66-4244-A29A-6C0D1EE75820}">
      <text>
        <r>
          <rPr>
            <b/>
            <sz val="9"/>
            <color indexed="81"/>
            <rFont val="宋体"/>
            <family val="3"/>
            <charset val="134"/>
          </rPr>
          <t>刘毅:</t>
        </r>
        <r>
          <rPr>
            <sz val="9"/>
            <color indexed="81"/>
            <rFont val="宋体"/>
            <family val="3"/>
            <charset val="134"/>
          </rPr>
          <t xml:space="preserve">
通过下拉框选择</t>
        </r>
      </text>
    </comment>
    <comment ref="EF1" authorId="1" shapeId="0" xr:uid="{83F64454-8A5C-468A-879C-887F2AB7672B}">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EL1" authorId="0" shapeId="0" xr:uid="{24A184A9-3C9A-4423-80B6-457798914713}">
      <text>
        <r>
          <rPr>
            <b/>
            <sz val="9"/>
            <rFont val="宋体"/>
            <family val="3"/>
            <charset val="134"/>
          </rPr>
          <t>zw:</t>
        </r>
        <r>
          <rPr>
            <sz val="9"/>
            <rFont val="宋体"/>
            <family val="3"/>
            <charset val="134"/>
          </rPr>
          <t xml:space="preserve">
原来有多列，合并成一列，用数字代表层级号，BOM顶层的值为0</t>
        </r>
      </text>
    </comment>
    <comment ref="EM1" authorId="0" shapeId="0" xr:uid="{249DF7D8-B6AA-4A2A-AE04-2469B101707D}">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EO1" authorId="1" shapeId="0" xr:uid="{43B774FA-E11C-4BD2-8141-34EDD58BD8ED}">
      <text>
        <r>
          <rPr>
            <b/>
            <sz val="9"/>
            <color indexed="81"/>
            <rFont val="宋体"/>
            <family val="3"/>
            <charset val="134"/>
          </rPr>
          <t>刘毅:</t>
        </r>
        <r>
          <rPr>
            <sz val="9"/>
            <color indexed="81"/>
            <rFont val="宋体"/>
            <family val="3"/>
            <charset val="134"/>
          </rPr>
          <t xml:space="preserve">
非中英文字符集会出现英文“?”</t>
        </r>
      </text>
    </comment>
    <comment ref="EP1" authorId="0" shapeId="0" xr:uid="{86F3ABF7-5FD3-4218-9AF3-AB45BDCB2CA2}">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EQ1" authorId="0" shapeId="0" xr:uid="{6F960216-5BBD-49B5-ABD0-B719A9DF6DB6}">
      <text>
        <r>
          <rPr>
            <b/>
            <sz val="9"/>
            <rFont val="宋体"/>
            <family val="3"/>
            <charset val="134"/>
          </rPr>
          <t xml:space="preserve">zw:
</t>
        </r>
        <r>
          <rPr>
            <sz val="9"/>
            <rFont val="宋体"/>
            <family val="3"/>
            <charset val="134"/>
          </rPr>
          <t>O表示供应商提供，C表示客户提供</t>
        </r>
      </text>
    </comment>
    <comment ref="ET1" authorId="1" shapeId="0" xr:uid="{57A8D6D5-1697-443F-94F3-E474A4DA0032}">
      <text>
        <r>
          <rPr>
            <b/>
            <sz val="9"/>
            <color indexed="81"/>
            <rFont val="宋体"/>
            <family val="3"/>
            <charset val="134"/>
          </rPr>
          <t>刘毅:</t>
        </r>
        <r>
          <rPr>
            <sz val="9"/>
            <color indexed="81"/>
            <rFont val="宋体"/>
            <family val="3"/>
            <charset val="134"/>
          </rPr>
          <t xml:space="preserve">
仅允许填写整数，默认单位为“月”,
RD4单位改为“日”</t>
        </r>
      </text>
    </comment>
    <comment ref="EU1" authorId="1" shapeId="0" xr:uid="{650F3162-37D8-4596-8AA7-4008E9F3AFAE}">
      <text>
        <r>
          <rPr>
            <b/>
            <sz val="9"/>
            <color indexed="81"/>
            <rFont val="宋体"/>
            <family val="3"/>
            <charset val="134"/>
          </rPr>
          <t>刘毅:</t>
        </r>
        <r>
          <rPr>
            <sz val="9"/>
            <color indexed="81"/>
            <rFont val="宋体"/>
            <family val="3"/>
            <charset val="134"/>
          </rPr>
          <t xml:space="preserve">
通过下拉框选择</t>
        </r>
      </text>
    </comment>
    <comment ref="EV1" authorId="1" shapeId="0" xr:uid="{3598FE4B-BCE4-4341-BF47-A95DA0D35C36}">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FB1" authorId="0" shapeId="0" xr:uid="{101DA5F4-2ACB-495C-82EE-A5CD90430403}">
      <text>
        <r>
          <rPr>
            <b/>
            <sz val="9"/>
            <rFont val="宋体"/>
            <family val="3"/>
            <charset val="134"/>
          </rPr>
          <t>zw:</t>
        </r>
        <r>
          <rPr>
            <sz val="9"/>
            <rFont val="宋体"/>
            <family val="3"/>
            <charset val="134"/>
          </rPr>
          <t xml:space="preserve">
原来有多列，合并成一列，用数字代表层级号，BOM顶层的值为0</t>
        </r>
      </text>
    </comment>
    <comment ref="FC1" authorId="0" shapeId="0" xr:uid="{2F3E0DEB-8A03-4082-9586-627CD2B6E5C9}">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FE1" authorId="1" shapeId="0" xr:uid="{9D7F41B1-EF2E-4E54-9DFB-3F25B4C18246}">
      <text>
        <r>
          <rPr>
            <b/>
            <sz val="9"/>
            <color indexed="81"/>
            <rFont val="宋体"/>
            <family val="3"/>
            <charset val="134"/>
          </rPr>
          <t>刘毅:</t>
        </r>
        <r>
          <rPr>
            <sz val="9"/>
            <color indexed="81"/>
            <rFont val="宋体"/>
            <family val="3"/>
            <charset val="134"/>
          </rPr>
          <t xml:space="preserve">
非中英文字符集会出现英文“?”</t>
        </r>
      </text>
    </comment>
    <comment ref="FF1" authorId="0" shapeId="0" xr:uid="{4E2BEE1C-F677-4E5D-8C9F-9A7C51C872E9}">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FG1" authorId="0" shapeId="0" xr:uid="{A6A578CD-0A84-411D-BBA1-89F83F515981}">
      <text>
        <r>
          <rPr>
            <b/>
            <sz val="9"/>
            <rFont val="宋体"/>
            <family val="3"/>
            <charset val="134"/>
          </rPr>
          <t xml:space="preserve">zw:
</t>
        </r>
        <r>
          <rPr>
            <sz val="9"/>
            <rFont val="宋体"/>
            <family val="3"/>
            <charset val="134"/>
          </rPr>
          <t>O表示供应商提供，C表示客户提供</t>
        </r>
      </text>
    </comment>
    <comment ref="FJ1" authorId="1" shapeId="0" xr:uid="{2C18FF9C-0C05-47BB-9625-59EE68810C71}">
      <text>
        <r>
          <rPr>
            <b/>
            <sz val="9"/>
            <color indexed="81"/>
            <rFont val="宋体"/>
            <family val="3"/>
            <charset val="134"/>
          </rPr>
          <t>刘毅:</t>
        </r>
        <r>
          <rPr>
            <sz val="9"/>
            <color indexed="81"/>
            <rFont val="宋体"/>
            <family val="3"/>
            <charset val="134"/>
          </rPr>
          <t xml:space="preserve">
仅允许填写整数，默认单位为“月”,
RD4单位改为“日”</t>
        </r>
      </text>
    </comment>
    <comment ref="FK1" authorId="1" shapeId="0" xr:uid="{2B28B143-A54C-40A5-9F3E-8E711065BC9B}">
      <text>
        <r>
          <rPr>
            <b/>
            <sz val="9"/>
            <color indexed="81"/>
            <rFont val="宋体"/>
            <family val="3"/>
            <charset val="134"/>
          </rPr>
          <t>刘毅:</t>
        </r>
        <r>
          <rPr>
            <sz val="9"/>
            <color indexed="81"/>
            <rFont val="宋体"/>
            <family val="3"/>
            <charset val="134"/>
          </rPr>
          <t xml:space="preserve">
通过下拉框选择</t>
        </r>
      </text>
    </comment>
    <comment ref="FL1" authorId="1" shapeId="0" xr:uid="{0F90FA3E-E857-4350-9826-91435AD8C70B}">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FR1" authorId="0" shapeId="0" xr:uid="{55863673-EAD6-4B86-9D71-96AF60F2EE60}">
      <text>
        <r>
          <rPr>
            <b/>
            <sz val="9"/>
            <rFont val="宋体"/>
            <family val="3"/>
            <charset val="134"/>
          </rPr>
          <t>zw:</t>
        </r>
        <r>
          <rPr>
            <sz val="9"/>
            <rFont val="宋体"/>
            <family val="3"/>
            <charset val="134"/>
          </rPr>
          <t xml:space="preserve">
原来有多列，合并成一列，用数字代表层级号，BOM顶层的值为0</t>
        </r>
      </text>
    </comment>
    <comment ref="FS1" authorId="0" shapeId="0" xr:uid="{27EEF5C2-B54F-4BBE-9F97-657426784292}">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FU1" authorId="1" shapeId="0" xr:uid="{97368684-BB26-411B-A51E-4D7085A576AB}">
      <text>
        <r>
          <rPr>
            <b/>
            <sz val="9"/>
            <color indexed="81"/>
            <rFont val="宋体"/>
            <family val="3"/>
            <charset val="134"/>
          </rPr>
          <t>刘毅:</t>
        </r>
        <r>
          <rPr>
            <sz val="9"/>
            <color indexed="81"/>
            <rFont val="宋体"/>
            <family val="3"/>
            <charset val="134"/>
          </rPr>
          <t xml:space="preserve">
非中英文字符集会出现英文“?”</t>
        </r>
      </text>
    </comment>
    <comment ref="FV1" authorId="0" shapeId="0" xr:uid="{D4280871-1CE0-4A47-92F8-E7076BEE0330}">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FW1" authorId="0" shapeId="0" xr:uid="{75D7CE52-D4E9-4804-B3BF-CEAE7FFABFDC}">
      <text>
        <r>
          <rPr>
            <b/>
            <sz val="9"/>
            <rFont val="宋体"/>
            <family val="3"/>
            <charset val="134"/>
          </rPr>
          <t xml:space="preserve">zw:
</t>
        </r>
        <r>
          <rPr>
            <sz val="9"/>
            <rFont val="宋体"/>
            <family val="3"/>
            <charset val="134"/>
          </rPr>
          <t>O表示供应商提供，C表示客户提供</t>
        </r>
      </text>
    </comment>
    <comment ref="FZ1" authorId="1" shapeId="0" xr:uid="{9B64BAE8-BCB9-4E2E-8E2D-DEA4DE398301}">
      <text>
        <r>
          <rPr>
            <b/>
            <sz val="9"/>
            <color indexed="81"/>
            <rFont val="宋体"/>
            <family val="3"/>
            <charset val="134"/>
          </rPr>
          <t>刘毅:</t>
        </r>
        <r>
          <rPr>
            <sz val="9"/>
            <color indexed="81"/>
            <rFont val="宋体"/>
            <family val="3"/>
            <charset val="134"/>
          </rPr>
          <t xml:space="preserve">
仅允许填写整数，默认单位为“月”,
RD4单位改为“日”</t>
        </r>
      </text>
    </comment>
    <comment ref="GA1" authorId="1" shapeId="0" xr:uid="{B8FB8650-76A6-4A56-A136-9EEBDA3E5B2C}">
      <text>
        <r>
          <rPr>
            <b/>
            <sz val="9"/>
            <color indexed="81"/>
            <rFont val="宋体"/>
            <family val="3"/>
            <charset val="134"/>
          </rPr>
          <t>刘毅:</t>
        </r>
        <r>
          <rPr>
            <sz val="9"/>
            <color indexed="81"/>
            <rFont val="宋体"/>
            <family val="3"/>
            <charset val="134"/>
          </rPr>
          <t xml:space="preserve">
通过下拉框选择</t>
        </r>
      </text>
    </comment>
    <comment ref="GB1" authorId="1" shapeId="0" xr:uid="{19D4F49E-ED2D-4791-BB1B-6BD3E9408AB3}">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GH1" authorId="0" shapeId="0" xr:uid="{AD08F887-885A-4F52-922B-B62F7CA5B272}">
      <text>
        <r>
          <rPr>
            <b/>
            <sz val="9"/>
            <rFont val="宋体"/>
            <family val="3"/>
            <charset val="134"/>
          </rPr>
          <t>zw:</t>
        </r>
        <r>
          <rPr>
            <sz val="9"/>
            <rFont val="宋体"/>
            <family val="3"/>
            <charset val="134"/>
          </rPr>
          <t xml:space="preserve">
原来有多列，合并成一列，用数字代表层级号，BOM顶层的值为0</t>
        </r>
      </text>
    </comment>
    <comment ref="GI1" authorId="0" shapeId="0" xr:uid="{EE9E467F-A89A-430C-B89E-A99248FB9867}">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GK1" authorId="1" shapeId="0" xr:uid="{2D9B6A47-0962-40F0-8FB8-6805759253AB}">
      <text>
        <r>
          <rPr>
            <b/>
            <sz val="9"/>
            <color indexed="81"/>
            <rFont val="宋体"/>
            <family val="3"/>
            <charset val="134"/>
          </rPr>
          <t>刘毅:</t>
        </r>
        <r>
          <rPr>
            <sz val="9"/>
            <color indexed="81"/>
            <rFont val="宋体"/>
            <family val="3"/>
            <charset val="134"/>
          </rPr>
          <t xml:space="preserve">
非中英文字符集会出现英文“?”</t>
        </r>
      </text>
    </comment>
    <comment ref="GL1" authorId="0" shapeId="0" xr:uid="{2734E13A-BACD-4B54-B701-4A82A27C0DEA}">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GM1" authorId="0" shapeId="0" xr:uid="{C3ED3ACC-E4A0-4CE9-80A5-0318B89F9977}">
      <text>
        <r>
          <rPr>
            <b/>
            <sz val="9"/>
            <rFont val="宋体"/>
            <family val="3"/>
            <charset val="134"/>
          </rPr>
          <t xml:space="preserve">zw:
</t>
        </r>
        <r>
          <rPr>
            <sz val="9"/>
            <rFont val="宋体"/>
            <family val="3"/>
            <charset val="134"/>
          </rPr>
          <t>O表示供应商提供，C表示客户提供</t>
        </r>
      </text>
    </comment>
    <comment ref="GP1" authorId="1" shapeId="0" xr:uid="{8AD0318D-3C56-4316-A745-1B66FADB71DF}">
      <text>
        <r>
          <rPr>
            <b/>
            <sz val="9"/>
            <color indexed="81"/>
            <rFont val="宋体"/>
            <family val="3"/>
            <charset val="134"/>
          </rPr>
          <t>刘毅:</t>
        </r>
        <r>
          <rPr>
            <sz val="9"/>
            <color indexed="81"/>
            <rFont val="宋体"/>
            <family val="3"/>
            <charset val="134"/>
          </rPr>
          <t xml:space="preserve">
仅允许填写整数，默认单位为“月”,
RD4单位改为“日”</t>
        </r>
      </text>
    </comment>
    <comment ref="GQ1" authorId="1" shapeId="0" xr:uid="{18D9288E-9D1E-4CAA-861D-4BD033A7C788}">
      <text>
        <r>
          <rPr>
            <b/>
            <sz val="9"/>
            <color indexed="81"/>
            <rFont val="宋体"/>
            <family val="3"/>
            <charset val="134"/>
          </rPr>
          <t>刘毅:</t>
        </r>
        <r>
          <rPr>
            <sz val="9"/>
            <color indexed="81"/>
            <rFont val="宋体"/>
            <family val="3"/>
            <charset val="134"/>
          </rPr>
          <t xml:space="preserve">
通过下拉框选择</t>
        </r>
      </text>
    </comment>
    <comment ref="GR1" authorId="1" shapeId="0" xr:uid="{8502515B-7434-4D50-9E66-890158DF3ED0}">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GX1" authorId="0" shapeId="0" xr:uid="{380CCE2C-D28A-478B-A8FC-6FD187D17989}">
      <text>
        <r>
          <rPr>
            <b/>
            <sz val="9"/>
            <rFont val="宋体"/>
            <family val="3"/>
            <charset val="134"/>
          </rPr>
          <t>zw:</t>
        </r>
        <r>
          <rPr>
            <sz val="9"/>
            <rFont val="宋体"/>
            <family val="3"/>
            <charset val="134"/>
          </rPr>
          <t xml:space="preserve">
原来有多列，合并成一列，用数字代表层级号，BOM顶层的值为0</t>
        </r>
      </text>
    </comment>
    <comment ref="GY1" authorId="0" shapeId="0" xr:uid="{98793FD4-0EFA-496F-B0C5-6E81A12BE3E6}">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HA1" authorId="1" shapeId="0" xr:uid="{E44262B9-F1F4-4260-ADE6-9F7DE0AB64CB}">
      <text>
        <r>
          <rPr>
            <b/>
            <sz val="9"/>
            <color indexed="81"/>
            <rFont val="宋体"/>
            <family val="3"/>
            <charset val="134"/>
          </rPr>
          <t>刘毅:</t>
        </r>
        <r>
          <rPr>
            <sz val="9"/>
            <color indexed="81"/>
            <rFont val="宋体"/>
            <family val="3"/>
            <charset val="134"/>
          </rPr>
          <t xml:space="preserve">
非中英文字符集会出现英文“?”</t>
        </r>
      </text>
    </comment>
    <comment ref="HB1" authorId="0" shapeId="0" xr:uid="{FA67C5FB-3A5D-4A39-8E10-E60932F190AA}">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HC1" authorId="0" shapeId="0" xr:uid="{AD98ED57-888E-4556-9E74-11D58DA0B961}">
      <text>
        <r>
          <rPr>
            <b/>
            <sz val="9"/>
            <rFont val="宋体"/>
            <family val="3"/>
            <charset val="134"/>
          </rPr>
          <t xml:space="preserve">zw:
</t>
        </r>
        <r>
          <rPr>
            <sz val="9"/>
            <rFont val="宋体"/>
            <family val="3"/>
            <charset val="134"/>
          </rPr>
          <t>O表示供应商提供，C表示客户提供</t>
        </r>
      </text>
    </comment>
    <comment ref="HF1" authorId="1" shapeId="0" xr:uid="{E22DCDC3-06C8-403B-8793-A2FF6FEF9432}">
      <text>
        <r>
          <rPr>
            <b/>
            <sz val="9"/>
            <color indexed="81"/>
            <rFont val="宋体"/>
            <family val="3"/>
            <charset val="134"/>
          </rPr>
          <t>刘毅:</t>
        </r>
        <r>
          <rPr>
            <sz val="9"/>
            <color indexed="81"/>
            <rFont val="宋体"/>
            <family val="3"/>
            <charset val="134"/>
          </rPr>
          <t xml:space="preserve">
仅允许填写整数，默认单位为“月”,
RD4单位改为“日”</t>
        </r>
      </text>
    </comment>
    <comment ref="HG1" authorId="1" shapeId="0" xr:uid="{49EED236-E9F9-4F9B-AAD2-42AC3605A3F7}">
      <text>
        <r>
          <rPr>
            <b/>
            <sz val="9"/>
            <color indexed="81"/>
            <rFont val="宋体"/>
            <family val="3"/>
            <charset val="134"/>
          </rPr>
          <t>刘毅:</t>
        </r>
        <r>
          <rPr>
            <sz val="9"/>
            <color indexed="81"/>
            <rFont val="宋体"/>
            <family val="3"/>
            <charset val="134"/>
          </rPr>
          <t xml:space="preserve">
通过下拉框选择</t>
        </r>
      </text>
    </comment>
    <comment ref="HH1" authorId="1" shapeId="0" xr:uid="{2AEE9DEE-B0E3-450F-8B7F-E04DE566F069}">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 ref="HN1" authorId="0" shapeId="0" xr:uid="{5FD20110-D18D-433B-8C2F-596A60D27AD9}">
      <text>
        <r>
          <rPr>
            <b/>
            <sz val="9"/>
            <rFont val="宋体"/>
            <family val="3"/>
            <charset val="134"/>
          </rPr>
          <t>zw:</t>
        </r>
        <r>
          <rPr>
            <sz val="9"/>
            <rFont val="宋体"/>
            <family val="3"/>
            <charset val="134"/>
          </rPr>
          <t xml:space="preserve">
原来有多列，合并成一列，用数字代表层级号，BOM顶层的值为0</t>
        </r>
      </text>
    </comment>
    <comment ref="HO1" authorId="0" shapeId="0" xr:uid="{A12F8B63-E00A-43C1-BC4F-910E475D7CE2}">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HQ1" authorId="1" shapeId="0" xr:uid="{6CC1DBAB-78FF-445B-BCCF-BF2A0E39F3F0}">
      <text>
        <r>
          <rPr>
            <b/>
            <sz val="9"/>
            <color indexed="81"/>
            <rFont val="宋体"/>
            <family val="3"/>
            <charset val="134"/>
          </rPr>
          <t>刘毅:</t>
        </r>
        <r>
          <rPr>
            <sz val="9"/>
            <color indexed="81"/>
            <rFont val="宋体"/>
            <family val="3"/>
            <charset val="134"/>
          </rPr>
          <t xml:space="preserve">
非中英文字符集会出现英文“?”</t>
        </r>
      </text>
    </comment>
    <comment ref="HR1" authorId="0" shapeId="0" xr:uid="{AAB30846-D271-4B6C-B9A6-EC2DC8B6E150}">
      <text>
        <r>
          <rPr>
            <b/>
            <sz val="9"/>
            <rFont val="宋体"/>
            <family val="3"/>
            <charset val="134"/>
          </rPr>
          <t>zw:</t>
        </r>
        <r>
          <rPr>
            <sz val="9"/>
            <rFont val="宋体"/>
            <family val="3"/>
            <charset val="134"/>
          </rPr>
          <t xml:space="preserve">
如果通过BOM导入要生成新物料，此属性必填，可选项为：成品、结构件、电子物料、树脂原料、包装材料、化学品及其他</t>
        </r>
      </text>
    </comment>
    <comment ref="HS1" authorId="0" shapeId="0" xr:uid="{1DCC865B-FB56-4ECF-A6CE-8795EA15A924}">
      <text>
        <r>
          <rPr>
            <b/>
            <sz val="9"/>
            <rFont val="宋体"/>
            <family val="3"/>
            <charset val="134"/>
          </rPr>
          <t xml:space="preserve">zw:
</t>
        </r>
        <r>
          <rPr>
            <sz val="9"/>
            <rFont val="宋体"/>
            <family val="3"/>
            <charset val="134"/>
          </rPr>
          <t>O表示供应商提供，C表示客户提供</t>
        </r>
      </text>
    </comment>
    <comment ref="HV1" authorId="1" shapeId="0" xr:uid="{9826E157-F784-4B42-A9D5-948D19E9395A}">
      <text>
        <r>
          <rPr>
            <b/>
            <sz val="9"/>
            <color indexed="81"/>
            <rFont val="宋体"/>
            <family val="3"/>
            <charset val="134"/>
          </rPr>
          <t>刘毅:</t>
        </r>
        <r>
          <rPr>
            <sz val="9"/>
            <color indexed="81"/>
            <rFont val="宋体"/>
            <family val="3"/>
            <charset val="134"/>
          </rPr>
          <t xml:space="preserve">
仅允许填写整数，默认单位为“月”,
RD4单位改为“日”</t>
        </r>
      </text>
    </comment>
    <comment ref="HW1" authorId="1" shapeId="0" xr:uid="{3189C983-DC2F-408E-9B29-73C23239014A}">
      <text>
        <r>
          <rPr>
            <b/>
            <sz val="9"/>
            <color indexed="81"/>
            <rFont val="宋体"/>
            <family val="3"/>
            <charset val="134"/>
          </rPr>
          <t>刘毅:</t>
        </r>
        <r>
          <rPr>
            <sz val="9"/>
            <color indexed="81"/>
            <rFont val="宋体"/>
            <family val="3"/>
            <charset val="134"/>
          </rPr>
          <t xml:space="preserve">
通过下拉框选择</t>
        </r>
      </text>
    </comment>
    <comment ref="HX1" authorId="1" shapeId="0" xr:uid="{84FCD642-AC2C-4010-AD19-8B766E36E2DB}">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zw</author>
    <author>刘毅</author>
  </authors>
  <commentList>
    <comment ref="A2" authorId="0" shapeId="0" xr:uid="{D7EB4E09-1085-402A-8659-ED8FF643196D}">
      <text>
        <r>
          <rPr>
            <b/>
            <sz val="9"/>
            <rFont val="宋体"/>
            <family val="3"/>
            <charset val="134"/>
          </rPr>
          <t>zw:</t>
        </r>
        <r>
          <rPr>
            <sz val="9"/>
            <rFont val="宋体"/>
            <family val="3"/>
            <charset val="134"/>
          </rPr>
          <t xml:space="preserve">
原来有多列，合并成一列，用数字代表层级号，BOM顶层的值为0</t>
        </r>
      </text>
    </comment>
    <comment ref="B2" authorId="0" shapeId="0" xr:uid="{B591B65F-199A-4E0E-8847-B6A5551247F5}">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D2" authorId="1" shapeId="0" xr:uid="{E08FFD63-3A4A-44A3-9E0E-5538D66B8CE7}">
      <text>
        <r>
          <rPr>
            <b/>
            <sz val="9"/>
            <color rgb="FF000000"/>
            <rFont val="宋体"/>
            <family val="3"/>
            <charset val="134"/>
          </rPr>
          <t>刘毅</t>
        </r>
        <r>
          <rPr>
            <b/>
            <sz val="9"/>
            <color rgb="FF000000"/>
            <rFont val="宋体"/>
            <family val="3"/>
            <charset val="134"/>
          </rPr>
          <t>:</t>
        </r>
        <r>
          <rPr>
            <sz val="9"/>
            <color rgb="FF000000"/>
            <rFont val="宋体"/>
            <family val="3"/>
            <charset val="134"/>
          </rPr>
          <t xml:space="preserve">
</t>
        </r>
        <r>
          <rPr>
            <sz val="9"/>
            <color rgb="FF000000"/>
            <rFont val="宋体"/>
            <family val="3"/>
            <charset val="134"/>
          </rPr>
          <t>非中英文字符集会出现英文“</t>
        </r>
        <r>
          <rPr>
            <sz val="9"/>
            <color rgb="FF000000"/>
            <rFont val="宋体"/>
            <family val="3"/>
            <charset val="134"/>
          </rPr>
          <t>?</t>
        </r>
        <r>
          <rPr>
            <sz val="9"/>
            <color rgb="FF000000"/>
            <rFont val="宋体"/>
            <family val="3"/>
            <charset val="134"/>
          </rPr>
          <t>”</t>
        </r>
      </text>
    </comment>
    <comment ref="F2" authorId="1" shapeId="0" xr:uid="{EB468E6D-1BE6-4AE8-931E-BE796932D321}">
      <text>
        <r>
          <rPr>
            <b/>
            <sz val="9"/>
            <color indexed="81"/>
            <rFont val="宋体"/>
            <family val="3"/>
            <charset val="134"/>
          </rPr>
          <t>刘毅:</t>
        </r>
        <r>
          <rPr>
            <sz val="9"/>
            <color indexed="81"/>
            <rFont val="宋体"/>
            <family val="3"/>
            <charset val="134"/>
          </rPr>
          <t xml:space="preserve">
通过下拉框选择</t>
        </r>
      </text>
    </comment>
    <comment ref="G2" authorId="1" shapeId="0" xr:uid="{ED355D1E-D676-483A-A6E5-1BD3C230088E}">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zw</author>
    <author>刘毅</author>
  </authors>
  <commentList>
    <comment ref="A2" authorId="0" shapeId="0" xr:uid="{E2F32128-83DB-4662-B05F-5258FED39ADA}">
      <text>
        <r>
          <rPr>
            <b/>
            <sz val="9"/>
            <rFont val="宋体"/>
            <family val="3"/>
            <charset val="134"/>
          </rPr>
          <t>zw:</t>
        </r>
        <r>
          <rPr>
            <sz val="9"/>
            <rFont val="宋体"/>
            <family val="3"/>
            <charset val="134"/>
          </rPr>
          <t xml:space="preserve">
原来有多列，合并成一列，用数字代表层级号，BOM顶层的值为0</t>
        </r>
      </text>
    </comment>
    <comment ref="B2" authorId="0" shapeId="0" xr:uid="{BE4100CA-5DF4-4DD7-BA77-244B5C38D3EF}">
      <text>
        <r>
          <rPr>
            <b/>
            <sz val="9"/>
            <rFont val="宋体"/>
            <family val="3"/>
            <charset val="134"/>
          </rPr>
          <t>zw:</t>
        </r>
        <r>
          <rPr>
            <sz val="9"/>
            <rFont val="宋体"/>
            <family val="3"/>
            <charset val="134"/>
          </rPr>
          <t xml:space="preserve">
建议，BOM导入程序仅导入BOM，而不生成新物料编码，降低数据错误风险。注意结尾处是否有空格</t>
        </r>
      </text>
    </comment>
    <comment ref="D2" authorId="1" shapeId="0" xr:uid="{071B18BC-AF2D-4C1B-AB8D-3534BE75B614}">
      <text>
        <r>
          <rPr>
            <b/>
            <sz val="9"/>
            <color indexed="81"/>
            <rFont val="宋体"/>
            <family val="3"/>
            <charset val="134"/>
          </rPr>
          <t>刘毅:</t>
        </r>
        <r>
          <rPr>
            <sz val="9"/>
            <color indexed="81"/>
            <rFont val="宋体"/>
            <family val="3"/>
            <charset val="134"/>
          </rPr>
          <t xml:space="preserve">
非中英文字符集会出现英文“?”</t>
        </r>
      </text>
    </comment>
    <comment ref="I2" authorId="1" shapeId="0" xr:uid="{DD39F547-798F-4B2B-8430-DF5AD6A407F4}">
      <text>
        <r>
          <rPr>
            <b/>
            <sz val="9"/>
            <color indexed="81"/>
            <rFont val="宋体"/>
            <family val="3"/>
            <charset val="134"/>
          </rPr>
          <t>刘毅:</t>
        </r>
        <r>
          <rPr>
            <sz val="9"/>
            <color indexed="81"/>
            <rFont val="宋体"/>
            <family val="3"/>
            <charset val="134"/>
          </rPr>
          <t xml:space="preserve">
仅允许填写整数，默认单位为“月”,
RD4单位改为“日”</t>
        </r>
      </text>
    </comment>
    <comment ref="K2" authorId="1" shapeId="0" xr:uid="{C628DC7B-4198-4DF6-9D65-9530A26ED990}">
      <text>
        <r>
          <rPr>
            <b/>
            <sz val="9"/>
            <color indexed="81"/>
            <rFont val="宋体"/>
            <family val="3"/>
            <charset val="134"/>
          </rPr>
          <t>刘毅:</t>
        </r>
        <r>
          <rPr>
            <sz val="9"/>
            <color indexed="81"/>
            <rFont val="宋体"/>
            <family val="3"/>
            <charset val="134"/>
          </rPr>
          <t xml:space="preserve">
通过下拉框选择</t>
        </r>
      </text>
    </comment>
    <comment ref="L2" authorId="1" shapeId="0" xr:uid="{17D1EE26-10E2-46C0-B302-CE2B46BDDCCE}">
      <text>
        <r>
          <rPr>
            <b/>
            <sz val="9"/>
            <color indexed="81"/>
            <rFont val="宋体"/>
            <family val="3"/>
            <charset val="134"/>
          </rPr>
          <t>刘毅:</t>
        </r>
        <r>
          <rPr>
            <sz val="9"/>
            <color indexed="81"/>
            <rFont val="宋体"/>
            <family val="3"/>
            <charset val="134"/>
          </rPr>
          <t xml:space="preserve">
整数、小数均可；如果为小数，程序保留小数点后第6位，对第7位四舍五入；如果为0，则表示该行物料是上一行物料的替代件；如果在T阶段不确定具体用量，则留空</t>
        </r>
      </text>
    </comment>
  </commentList>
</comments>
</file>

<file path=xl/sharedStrings.xml><?xml version="1.0" encoding="utf-8"?>
<sst xmlns="http://schemas.openxmlformats.org/spreadsheetml/2006/main" count="11430" uniqueCount="1583">
  <si>
    <r>
      <t xml:space="preserve">2023 Shanghai Amphenol Airwave Cost Analysis Sheet - </t>
    </r>
    <r>
      <rPr>
        <b/>
        <i/>
        <sz val="22"/>
        <color rgb="FFFFFF00"/>
        <rFont val="Arial"/>
        <family val="2"/>
      </rPr>
      <t>Automotive</t>
    </r>
    <phoneticPr fontId="3" type="noConversion"/>
  </si>
  <si>
    <t xml:space="preserve"> </t>
  </si>
  <si>
    <t>Project Name</t>
    <phoneticPr fontId="3" type="noConversion"/>
  </si>
  <si>
    <t xml:space="preserve">P035 Windshield Controller </t>
  </si>
  <si>
    <t>Annual Volume Quoted</t>
  </si>
  <si>
    <t>Part/Ver #</t>
    <phoneticPr fontId="3" type="noConversion"/>
  </si>
  <si>
    <t>2102664-10-A</t>
  </si>
  <si>
    <r>
      <t>D</t>
    </r>
    <r>
      <rPr>
        <sz val="10"/>
        <rFont val="Arial"/>
        <family val="2"/>
      </rPr>
      <t>ate:</t>
    </r>
    <phoneticPr fontId="3" type="noConversion"/>
  </si>
  <si>
    <t>Pls.only input in Gree Cells.</t>
  </si>
  <si>
    <t>2026 SOP</t>
    <phoneticPr fontId="3" type="noConversion"/>
  </si>
  <si>
    <t>SMT</t>
    <phoneticPr fontId="3" type="noConversion"/>
  </si>
  <si>
    <t>Raw Materials &amp; Purchased Components</t>
  </si>
  <si>
    <t>Material Specification</t>
    <phoneticPr fontId="3" type="noConversion"/>
  </si>
  <si>
    <t>Customer Part Number</t>
  </si>
  <si>
    <t>Quantity</t>
  </si>
  <si>
    <r>
      <t xml:space="preserve">Unit/Cost (RMB) </t>
    </r>
    <r>
      <rPr>
        <b/>
        <u/>
        <sz val="10"/>
        <color indexed="10"/>
        <rFont val="Times New Roman"/>
        <family val="1"/>
      </rPr>
      <t>No VAT</t>
    </r>
  </si>
  <si>
    <t>2025 Cost rate</t>
    <phoneticPr fontId="3" type="noConversion"/>
  </si>
  <si>
    <t>semi-automatic TLA rate</t>
    <phoneticPr fontId="3" type="noConversion"/>
  </si>
  <si>
    <t>Variable cost</t>
  </si>
  <si>
    <t>Do No Input Here</t>
  </si>
  <si>
    <t>USD</t>
  </si>
  <si>
    <t>Fixed Cost</t>
  </si>
  <si>
    <t>Antenna Related parts</t>
  </si>
  <si>
    <t>P035-1</t>
  </si>
  <si>
    <t>EBOM</t>
    <phoneticPr fontId="3" type="noConversion"/>
  </si>
  <si>
    <t>Allocated Overhead</t>
    <phoneticPr fontId="3" type="noConversion"/>
  </si>
  <si>
    <t>P035-1-1</t>
  </si>
  <si>
    <t>PCB, 4 Layers</t>
    <phoneticPr fontId="3" type="noConversion"/>
  </si>
  <si>
    <t>PCS</t>
  </si>
  <si>
    <t>Labor</t>
  </si>
  <si>
    <t>P0354-4</t>
  </si>
  <si>
    <t>3M GT6008+75um蓝 色离型膜</t>
  </si>
  <si>
    <t>MOQ:10k</t>
  </si>
  <si>
    <t>P035-1-2</t>
  </si>
  <si>
    <t>P035-1-3</t>
  </si>
  <si>
    <t>Pogo pin,Mill-Max, 0981-0-15-20-75-14-11-0 (G-link TAVL)</t>
    <phoneticPr fontId="3" type="noConversion"/>
  </si>
  <si>
    <t>2025902-00-A</t>
  </si>
  <si>
    <t>P035-1-4</t>
  </si>
  <si>
    <t>Connector 1 (J1),Amphenol FCI, AU10182015-001LF(FCA Cochin  TAVL)</t>
    <phoneticPr fontId="3" type="noConversion"/>
  </si>
  <si>
    <t>2163105-00-A</t>
    <phoneticPr fontId="3" type="noConversion"/>
  </si>
  <si>
    <t xml:space="preserve">8%→10% courier fee </t>
    <phoneticPr fontId="3" type="noConversion"/>
  </si>
  <si>
    <t>P035-1-5</t>
  </si>
  <si>
    <t>1867744-00-A</t>
    <phoneticPr fontId="3" type="noConversion"/>
  </si>
  <si>
    <t>P035-1-6</t>
  </si>
  <si>
    <t>Connector 3 (J7),Samtec, SIB-104-02-F-S-LC(Samtec TAVL)</t>
    <phoneticPr fontId="3" type="noConversion"/>
  </si>
  <si>
    <t>/</t>
  </si>
  <si>
    <t>G</t>
  </si>
  <si>
    <t>P035-2</t>
  </si>
  <si>
    <t>pCS</t>
    <phoneticPr fontId="3" type="noConversion"/>
  </si>
  <si>
    <t xml:space="preserve">Steel </t>
  </si>
  <si>
    <t>2171525-00-A</t>
  </si>
  <si>
    <t>P035-2-2</t>
  </si>
  <si>
    <t>PSM PSM017360-CU</t>
  </si>
  <si>
    <t>1622123-00-A</t>
  </si>
  <si>
    <t>P035-2-3</t>
  </si>
  <si>
    <t>Brass C3604</t>
  </si>
  <si>
    <t>2165941-00-A</t>
  </si>
  <si>
    <t>1541656-00-A</t>
  </si>
  <si>
    <t>Foam tape 3M GT6008+75um蓝 色离型膜 SAAControl</t>
  </si>
  <si>
    <t>2181900-00-A</t>
  </si>
  <si>
    <t>Adhesion Promoter description: 3M 4298; SAA control</t>
  </si>
  <si>
    <t>Camera Fan - TAVL Nidec</t>
  </si>
  <si>
    <t>2048452-00-D</t>
  </si>
  <si>
    <t>place holder</t>
    <phoneticPr fontId="3" type="noConversion"/>
  </si>
  <si>
    <t>N-G325-04-001-85</t>
  </si>
  <si>
    <t>Screw- SAA control</t>
  </si>
  <si>
    <t>1867092-00-A</t>
  </si>
  <si>
    <t>C-8279-04-000-95</t>
  </si>
  <si>
    <t>Label - SAA control</t>
  </si>
  <si>
    <r>
      <t xml:space="preserve">Subtotal Raw Materials ( </t>
    </r>
    <r>
      <rPr>
        <b/>
        <u/>
        <sz val="10"/>
        <color indexed="10"/>
        <rFont val="Times New Roman"/>
        <family val="1"/>
      </rPr>
      <t xml:space="preserve">no VAT </t>
    </r>
    <r>
      <rPr>
        <b/>
        <sz val="10"/>
        <rFont val="Times New Roman"/>
        <family val="1"/>
      </rPr>
      <t>) --&gt;</t>
    </r>
    <phoneticPr fontId="3" type="noConversion"/>
  </si>
  <si>
    <t>Subtotal Packaging &amp; Outside Services --&gt;</t>
  </si>
  <si>
    <r>
      <t xml:space="preserve">Subtotal Antenna Parts cost( </t>
    </r>
    <r>
      <rPr>
        <b/>
        <u/>
        <sz val="10"/>
        <color indexed="10"/>
        <rFont val="Times New Roman"/>
        <family val="1"/>
      </rPr>
      <t>no VAT</t>
    </r>
    <r>
      <rPr>
        <sz val="10"/>
        <color indexed="10"/>
        <rFont val="Times New Roman"/>
        <family val="1"/>
      </rPr>
      <t xml:space="preserve"> </t>
    </r>
    <r>
      <rPr>
        <b/>
        <sz val="10"/>
        <rFont val="Times New Roman"/>
        <family val="1"/>
      </rPr>
      <t>) --&gt;</t>
    </r>
    <phoneticPr fontId="3" type="noConversion"/>
  </si>
  <si>
    <t>Cusotmer Assigned supplier parts</t>
  </si>
  <si>
    <t>Material Specification</t>
  </si>
  <si>
    <t>Customer Consigned Parts</t>
    <phoneticPr fontId="3" type="noConversion"/>
  </si>
  <si>
    <r>
      <t xml:space="preserve">Consgined Parts Cost ( </t>
    </r>
    <r>
      <rPr>
        <b/>
        <u/>
        <sz val="10"/>
        <color indexed="10"/>
        <rFont val="Times New Roman"/>
        <family val="1"/>
      </rPr>
      <t>no VAT</t>
    </r>
    <r>
      <rPr>
        <b/>
        <sz val="10"/>
        <rFont val="Times New Roman"/>
        <family val="1"/>
      </rPr>
      <t xml:space="preserve"> )  --&gt;</t>
    </r>
  </si>
  <si>
    <t>Consgined parts handling charge --&gt;</t>
    <phoneticPr fontId="3" type="noConversion"/>
  </si>
  <si>
    <r>
      <t xml:space="preserve">Subtotal Consigned parts cost ( </t>
    </r>
    <r>
      <rPr>
        <b/>
        <u/>
        <sz val="10"/>
        <color indexed="10"/>
        <rFont val="Times New Roman"/>
        <family val="1"/>
      </rPr>
      <t xml:space="preserve">no VAT </t>
    </r>
    <r>
      <rPr>
        <b/>
        <sz val="10"/>
        <rFont val="Times New Roman"/>
        <family val="1"/>
      </rPr>
      <t>) --&gt;</t>
    </r>
    <phoneticPr fontId="3" type="noConversion"/>
  </si>
  <si>
    <t>Labor &amp; Burden</t>
  </si>
  <si>
    <t>Labor Detail</t>
  </si>
  <si>
    <t>Machine Detail</t>
  </si>
  <si>
    <t>Burden Detail</t>
  </si>
  <si>
    <t>Labor Rate &amp; Burden Details have been updated on 1/1/06 based on latest cost structure info</t>
  </si>
  <si>
    <t>Task Description</t>
    <phoneticPr fontId="3" type="noConversion"/>
  </si>
  <si>
    <t>Labor Rate</t>
    <phoneticPr fontId="3" type="noConversion"/>
  </si>
  <si>
    <t>Standard</t>
  </si>
  <si>
    <t>Number</t>
  </si>
  <si>
    <t>Seconds</t>
  </si>
  <si>
    <t>Pieces per</t>
  </si>
  <si>
    <t>Variable</t>
  </si>
  <si>
    <t>Fixed</t>
  </si>
  <si>
    <t xml:space="preserve">Allocated </t>
  </si>
  <si>
    <t>Total</t>
  </si>
  <si>
    <t>Hours</t>
  </si>
  <si>
    <t>Cost</t>
  </si>
  <si>
    <t>Opers</t>
  </si>
  <si>
    <t>Cycle</t>
  </si>
  <si>
    <t>Overhead</t>
  </si>
  <si>
    <t>Burden</t>
  </si>
  <si>
    <t>建议销售CT</t>
    <phoneticPr fontId="3" type="noConversion"/>
  </si>
  <si>
    <t>Position</t>
    <phoneticPr fontId="3" type="noConversion"/>
  </si>
  <si>
    <t>SMT(B)</t>
    <phoneticPr fontId="3" type="noConversion"/>
  </si>
  <si>
    <r>
      <t>PICK AND PLACEMENT-B</t>
    </r>
    <r>
      <rPr>
        <sz val="14"/>
        <rFont val="宋体"/>
        <family val="3"/>
        <charset val="134"/>
      </rPr>
      <t/>
    </r>
    <phoneticPr fontId="3" type="noConversion"/>
  </si>
  <si>
    <t>SMT(T)</t>
    <phoneticPr fontId="3" type="noConversion"/>
  </si>
  <si>
    <t>PICK AND PLACEMENT-T</t>
    <phoneticPr fontId="3" type="noConversion"/>
  </si>
  <si>
    <t>AXI</t>
    <phoneticPr fontId="3" type="noConversion"/>
  </si>
  <si>
    <t>ICT</t>
    <phoneticPr fontId="3" type="noConversion"/>
  </si>
  <si>
    <t>Depanel</t>
    <phoneticPr fontId="3" type="noConversion"/>
  </si>
  <si>
    <t xml:space="preserve">FVT </t>
    <phoneticPr fontId="3" type="noConversion"/>
  </si>
  <si>
    <t>Total Labor</t>
  </si>
  <si>
    <t>Total Burden</t>
  </si>
  <si>
    <t>SAA sourced  &gt;= 20% Value</t>
    <phoneticPr fontId="3" type="noConversion"/>
  </si>
  <si>
    <t>SAA sourced &lt;20% value</t>
    <phoneticPr fontId="3" type="noConversion"/>
  </si>
  <si>
    <t>Cost ( material + labor + burden )</t>
    <phoneticPr fontId="3" type="noConversion"/>
  </si>
  <si>
    <t>Scrap @</t>
  </si>
  <si>
    <t>Scrap</t>
    <phoneticPr fontId="3" type="noConversion"/>
  </si>
  <si>
    <t>( Antenna Manufacturing )</t>
  </si>
  <si>
    <t>SG&amp;A</t>
  </si>
  <si>
    <t>SG&amp;A</t>
    <phoneticPr fontId="3" type="noConversion"/>
  </si>
  <si>
    <t>Mark Up</t>
    <phoneticPr fontId="3" type="noConversion"/>
  </si>
  <si>
    <t>Net Profit</t>
    <phoneticPr fontId="3" type="noConversion"/>
  </si>
  <si>
    <t>( Antenna total price)</t>
  </si>
  <si>
    <t>Modified Net Profit</t>
    <phoneticPr fontId="3" type="noConversion"/>
  </si>
  <si>
    <t>Description</t>
  </si>
  <si>
    <t>RMB</t>
  </si>
  <si>
    <t>Commission</t>
  </si>
  <si>
    <t>No VAT</t>
  </si>
  <si>
    <t>Unit Price w/o VAT</t>
    <phoneticPr fontId="3" type="noConversion"/>
  </si>
  <si>
    <t>Delivery Cost</t>
    <phoneticPr fontId="3" type="noConversion"/>
  </si>
  <si>
    <t xml:space="preserve">Per Piece Tooling Amortization (without VAT) </t>
    <phoneticPr fontId="3" type="noConversion"/>
  </si>
  <si>
    <t>Date Created: 10/15/2006</t>
    <phoneticPr fontId="3" type="noConversion"/>
  </si>
  <si>
    <t>Rev.1.0</t>
    <phoneticPr fontId="3" type="noConversion"/>
  </si>
  <si>
    <t>Price with Tooling Amortization (without VAT)</t>
    <phoneticPr fontId="3" type="noConversion"/>
  </si>
  <si>
    <t>Gross Margin</t>
    <phoneticPr fontId="3" type="noConversion"/>
  </si>
  <si>
    <t>Shipping to Oversea (quote in USD)</t>
    <phoneticPr fontId="3" type="noConversion"/>
  </si>
  <si>
    <t>Company Gross Margin Goal</t>
    <phoneticPr fontId="3" type="noConversion"/>
  </si>
  <si>
    <t>Freight Costs</t>
    <phoneticPr fontId="3" type="noConversion"/>
  </si>
  <si>
    <t>SPA Needed?</t>
    <phoneticPr fontId="3" type="noConversion"/>
  </si>
  <si>
    <t>Door-to-Door Fee</t>
    <phoneticPr fontId="3" type="noConversion"/>
  </si>
  <si>
    <t>Other Fees</t>
  </si>
  <si>
    <t>Total Selling Price DDP (tax excluded)</t>
  </si>
  <si>
    <t>SAA/S-04-03 Rev:A</t>
  </si>
  <si>
    <t>Shanghai Amphenol Request for Quotation(SMT)</t>
    <phoneticPr fontId="0" type="noConversion"/>
  </si>
  <si>
    <r>
      <t>RFQ Rev:</t>
    </r>
    <r>
      <rPr>
        <u/>
        <sz val="16"/>
        <rFont val="Arial"/>
        <family val="2"/>
      </rPr>
      <t>01</t>
    </r>
    <r>
      <rPr>
        <sz val="16"/>
        <rFont val="Arial"/>
        <family val="2"/>
      </rPr>
      <t xml:space="preserve">                                               Date:</t>
    </r>
    <r>
      <rPr>
        <u/>
        <sz val="16"/>
        <rFont val="Arial"/>
        <family val="2"/>
      </rPr>
      <t>2025.02.18</t>
    </r>
    <r>
      <rPr>
        <sz val="16"/>
        <rFont val="Arial"/>
        <family val="2"/>
      </rPr>
      <t xml:space="preserve">     Prepared by: </t>
    </r>
    <r>
      <rPr>
        <u/>
        <sz val="16"/>
        <rFont val="Arial"/>
        <family val="2"/>
      </rPr>
      <t xml:space="preserve"> Raul.Liu</t>
    </r>
    <r>
      <rPr>
        <sz val="16"/>
        <rFont val="Arial"/>
        <family val="2"/>
      </rPr>
      <t xml:space="preserve">                                        Checked by: </t>
    </r>
    <r>
      <rPr>
        <u/>
        <sz val="16"/>
        <rFont val="Arial"/>
        <family val="2"/>
      </rPr>
      <t xml:space="preserve"> Baron ye</t>
    </r>
    <phoneticPr fontId="3" type="noConversion"/>
  </si>
  <si>
    <r>
      <t>Information:
SAA PN.and Rev.:--RFQ_SAA
Customer PN.and Rev.: ----</t>
    </r>
    <r>
      <rPr>
        <strike/>
        <sz val="12"/>
        <rFont val="Arial"/>
        <family val="2"/>
      </rPr>
      <t xml:space="preserve">                                      
</t>
    </r>
    <r>
      <rPr>
        <sz val="12"/>
        <rFont val="Arial"/>
        <family val="2"/>
      </rPr>
      <t>Config.:---</t>
    </r>
  </si>
  <si>
    <t>MP</t>
    <phoneticPr fontId="0" type="noConversion"/>
  </si>
  <si>
    <t>Sample</t>
    <phoneticPr fontId="0" type="noConversion"/>
  </si>
  <si>
    <t>√</t>
    <phoneticPr fontId="0" type="noConversion"/>
  </si>
  <si>
    <t>Drawing or Pic:</t>
  </si>
  <si>
    <t>SMT include:Bom</t>
  </si>
  <si>
    <r>
      <t>Material : FR4 ,4layer
L*W*T: 147.19x141.06x1.6mm
DFM
panel pcs</t>
    </r>
    <r>
      <rPr>
        <b/>
        <sz val="12"/>
        <color rgb="FF000000"/>
        <rFont val="微软雅黑"/>
        <family val="2"/>
        <charset val="134"/>
      </rPr>
      <t>：4</t>
    </r>
    <r>
      <rPr>
        <b/>
        <sz val="12"/>
        <color rgb="FF000000"/>
        <rFont val="Arial"/>
        <family val="2"/>
      </rPr>
      <t xml:space="preserve">*2=8
</t>
    </r>
    <phoneticPr fontId="3" type="noConversion"/>
  </si>
  <si>
    <t xml:space="preserve">顶配版（PANA+SPI+P&amp;P+Vacuum+AXI+AOI+Traceability) </t>
  </si>
  <si>
    <t>No</t>
  </si>
  <si>
    <t>Process Description</t>
    <phoneticPr fontId="0" type="noConversion"/>
  </si>
  <si>
    <t>Manpower</t>
  </si>
  <si>
    <t>Cycle Time and Capacity</t>
  </si>
  <si>
    <t xml:space="preserve">Yield Rate/Scrap Rate </t>
  </si>
  <si>
    <t>Line Fixture and Equipment</t>
  </si>
  <si>
    <t>Fixture</t>
  </si>
  <si>
    <t xml:space="preserve">Equipment </t>
  </si>
  <si>
    <t>solder paste</t>
    <phoneticPr fontId="0" type="noConversion"/>
  </si>
  <si>
    <t>Glue</t>
    <phoneticPr fontId="0" type="noConversion"/>
  </si>
  <si>
    <t>Unit Op</t>
  </si>
  <si>
    <t>Unit (sec/panel)</t>
  </si>
  <si>
    <t>Cycle Time
(sec/pcs)</t>
  </si>
  <si>
    <t>Capacity
(pcs/shift)</t>
  </si>
  <si>
    <t xml:space="preserve">Scrap rate </t>
  </si>
  <si>
    <t>Yield rate</t>
  </si>
  <si>
    <t>Fixture or Equipment Descrition</t>
  </si>
  <si>
    <t>Q'ty</t>
  </si>
  <si>
    <t>Unit cost</t>
  </si>
  <si>
    <t>Total cost</t>
  </si>
  <si>
    <t>Total cost/shift</t>
    <phoneticPr fontId="0" type="noConversion"/>
  </si>
  <si>
    <t>Total cost/pcs</t>
    <phoneticPr fontId="0" type="noConversion"/>
  </si>
  <si>
    <t>销售建议单板工时
(sec/pcs)</t>
  </si>
  <si>
    <t>PCB setup to magazine-B</t>
    <phoneticPr fontId="3" type="noConversion"/>
  </si>
  <si>
    <t>SMT carrier</t>
  </si>
  <si>
    <t>Laser marking</t>
  </si>
  <si>
    <t>Laser machine</t>
  </si>
  <si>
    <t>PRINTING SOLDER PASTE-B</t>
  </si>
  <si>
    <t>Printer machine/stencil</t>
    <phoneticPr fontId="0" type="noConversion"/>
  </si>
  <si>
    <t>SPI-B</t>
  </si>
  <si>
    <t>SPI</t>
    <phoneticPr fontId="0" type="noConversion"/>
  </si>
  <si>
    <t>Mounter</t>
  </si>
  <si>
    <t>特殊吸嘴</t>
  </si>
  <si>
    <r>
      <t>P&amp;P4</t>
    </r>
    <r>
      <rPr>
        <sz val="14"/>
        <rFont val="微软雅黑"/>
        <family val="2"/>
        <charset val="134"/>
      </rPr>
      <t>：4.62</t>
    </r>
    <phoneticPr fontId="3" type="noConversion"/>
  </si>
  <si>
    <t>REFOLW(Vacuum)-B</t>
  </si>
  <si>
    <t>Reflow</t>
  </si>
  <si>
    <t xml:space="preserve"> vacuum off</t>
  </si>
  <si>
    <t>AOI-B</t>
  </si>
  <si>
    <t>AOI</t>
    <phoneticPr fontId="0" type="noConversion"/>
  </si>
  <si>
    <t>Sum.</t>
  </si>
  <si>
    <t>Total Cost</t>
    <phoneticPr fontId="0" type="noConversion"/>
  </si>
  <si>
    <t>人工</t>
    <phoneticPr fontId="0" type="noConversion"/>
  </si>
  <si>
    <t>Fixture</t>
    <phoneticPr fontId="0" type="noConversion"/>
  </si>
  <si>
    <t xml:space="preserve">Equipment </t>
    <phoneticPr fontId="0" type="noConversion"/>
  </si>
  <si>
    <t>Other</t>
    <phoneticPr fontId="0" type="noConversion"/>
  </si>
  <si>
    <t>Notes:
1.RFQ cycle time is mass production cycle time based on current design.
2.RFQ is only based on one balanced production line
3.Work time is 10 hours each shift.
4.Cycle time=Balanced time* Manpower.</t>
  </si>
  <si>
    <r>
      <t>Information:
SAA PN.and Rev.:-- RFQ_SAA
Customer PN.and Rev.: ----</t>
    </r>
    <r>
      <rPr>
        <strike/>
        <sz val="12"/>
        <rFont val="Arial"/>
        <family val="2"/>
      </rPr>
      <t xml:space="preserve">                                      
</t>
    </r>
    <r>
      <rPr>
        <sz val="12"/>
        <rFont val="Arial"/>
        <family val="2"/>
      </rPr>
      <t>Config.:---</t>
    </r>
  </si>
  <si>
    <t xml:space="preserve">SMT include:Bom
</t>
  </si>
  <si>
    <t>PCB setup to magazine-T</t>
    <phoneticPr fontId="3" type="noConversion"/>
  </si>
  <si>
    <t>Bypass</t>
  </si>
  <si>
    <t>PRINTING SOLDER PASTE-T</t>
  </si>
  <si>
    <t>SPI-T</t>
  </si>
  <si>
    <t>PICK AND PLACEMENT-T</t>
  </si>
  <si>
    <t>mounter</t>
    <phoneticPr fontId="0" type="noConversion"/>
  </si>
  <si>
    <t>REFOLW(Vacuum)-T</t>
  </si>
  <si>
    <t>reflow oven</t>
    <phoneticPr fontId="0" type="noConversion"/>
  </si>
  <si>
    <t>AOI-T</t>
  </si>
  <si>
    <r>
      <t>Information:
SAA PN.and Rev.:--  RFQ_SAA
Customer PN.and Rev.: ----</t>
    </r>
    <r>
      <rPr>
        <strike/>
        <sz val="12"/>
        <rFont val="Arial"/>
        <family val="2"/>
      </rPr>
      <t xml:space="preserve">                                      
</t>
    </r>
    <r>
      <rPr>
        <sz val="12"/>
        <rFont val="Arial"/>
        <family val="2"/>
      </rPr>
      <t>Config.:---</t>
    </r>
  </si>
  <si>
    <r>
      <t>Material : FR4 ,4layer
L*W*T: 147.19x141.06x1.6mm
DFM
panel pcs</t>
    </r>
    <r>
      <rPr>
        <b/>
        <sz val="12"/>
        <color rgb="FF000000"/>
        <rFont val="微软雅黑"/>
        <family val="2"/>
        <charset val="134"/>
      </rPr>
      <t>：</t>
    </r>
    <r>
      <rPr>
        <b/>
        <sz val="12"/>
        <color rgb="FF000000"/>
        <rFont val="Arial"/>
        <family val="2"/>
      </rPr>
      <t xml:space="preserve">4*2=8
</t>
    </r>
    <phoneticPr fontId="3" type="noConversion"/>
  </si>
  <si>
    <t>AXI</t>
  </si>
  <si>
    <t>ICT- offline</t>
  </si>
  <si>
    <r>
      <t>Information:
SAA PN.and Rev.:-  RFQ_SAA
Customer PN.and Rev.: ----</t>
    </r>
    <r>
      <rPr>
        <strike/>
        <sz val="12"/>
        <rFont val="Arial"/>
        <family val="2"/>
      </rPr>
      <t xml:space="preserve">                                      
</t>
    </r>
    <r>
      <rPr>
        <sz val="12"/>
        <rFont val="Arial"/>
        <family val="2"/>
      </rPr>
      <t>Config.:---</t>
    </r>
  </si>
  <si>
    <t>Depanel-auto load/unload</t>
    <phoneticPr fontId="3" type="noConversion"/>
  </si>
  <si>
    <t>FVT</t>
    <phoneticPr fontId="3" type="noConversion"/>
  </si>
  <si>
    <t>设备客供</t>
    <phoneticPr fontId="3" type="noConversion"/>
  </si>
  <si>
    <t>RFQ-BOM</t>
    <phoneticPr fontId="3" type="noConversion"/>
  </si>
  <si>
    <t>Build up</t>
  </si>
  <si>
    <t>Part no.</t>
  </si>
  <si>
    <t>APN</t>
  </si>
  <si>
    <t>Part name</t>
  </si>
  <si>
    <t>Material/Spec./Size.</t>
  </si>
  <si>
    <t>Unit</t>
  </si>
  <si>
    <t>Usage</t>
  </si>
  <si>
    <t>usage</t>
    <phoneticPr fontId="61" type="noConversion"/>
  </si>
  <si>
    <t>U/P $</t>
    <phoneticPr fontId="61" type="noConversion"/>
  </si>
  <si>
    <t>minifs</t>
    <phoneticPr fontId="61" type="noConversion"/>
  </si>
  <si>
    <t>DAP UP $</t>
    <phoneticPr fontId="61" type="noConversion"/>
  </si>
  <si>
    <t>total price $</t>
    <phoneticPr fontId="61" type="noConversion"/>
  </si>
  <si>
    <t>remark</t>
    <phoneticPr fontId="62" type="noConversion"/>
  </si>
  <si>
    <t>Remarks</t>
  </si>
  <si>
    <t>SMT Position</t>
  </si>
  <si>
    <t>1</t>
  </si>
  <si>
    <t>GCM21BR71E225KA73L</t>
  </si>
  <si>
    <t>2005869</t>
  </si>
  <si>
    <t>Cap,X7R,2.2uF,25V,10%,0805,AEC-Q</t>
  </si>
  <si>
    <t>Murata</t>
  </si>
  <si>
    <t>C10,C11,C307,C416,C417</t>
  </si>
  <si>
    <t>CGA4J3X7R1E225K125AB</t>
  </si>
  <si>
    <t>TDK Corporation Of America</t>
  </si>
  <si>
    <t>PESD1LIN,115</t>
  </si>
  <si>
    <t>2007849</t>
  </si>
  <si>
    <t>TVS,BI-DIR,15V/24V,160W,LIN,SOD323,RoHS,AEC-Q</t>
  </si>
  <si>
    <t>Nexperia</t>
  </si>
  <si>
    <t>D2</t>
  </si>
  <si>
    <t>04-00000191</t>
  </si>
  <si>
    <t>NXP&amp;PESD1LIN,115</t>
  </si>
  <si>
    <t>未找到</t>
  </si>
  <si>
    <t>1479934-00-A</t>
  </si>
  <si>
    <t>CGA3E2X7R2A472K080AA</t>
  </si>
  <si>
    <t>CAP,X7R,4700pF,100V,10%,0603(1608),AEC-Q</t>
  </si>
  <si>
    <t>C404,C414</t>
  </si>
  <si>
    <t>C0603C472K1RACAUTO</t>
  </si>
  <si>
    <t>Kemet</t>
  </si>
  <si>
    <t>GCM188R72A472KA37D</t>
  </si>
  <si>
    <t>HMK107B7472KAHT</t>
  </si>
  <si>
    <t>Taiyo Yuden</t>
  </si>
  <si>
    <t>MCASH168SB7472KTNA01</t>
  </si>
  <si>
    <t>CL10B472KC8WPNC</t>
  </si>
  <si>
    <t>Samsung Electron Mechanics Co Ltd</t>
  </si>
  <si>
    <t>TPS1HC100BQPWPRQ1</t>
  </si>
  <si>
    <t>1904392-00-A</t>
  </si>
  <si>
    <t>IC,POWER SW,TPS1HC100-Q1,HTSSOP14,AEC-Q</t>
  </si>
  <si>
    <t>Texas Instruments</t>
  </si>
  <si>
    <t>U1,U3</t>
  </si>
  <si>
    <t>BAT46WJ-QF</t>
  </si>
  <si>
    <t>1046968-00-A</t>
  </si>
  <si>
    <t>DIODE,SCHOTTKY,100V,0.25A,SOD323F,AEC-Q</t>
  </si>
  <si>
    <t>D402,D403,D404</t>
  </si>
  <si>
    <t>BAT46WJ-QX</t>
  </si>
  <si>
    <t>02-00000556</t>
  </si>
  <si>
    <t>1527538-00-A</t>
  </si>
  <si>
    <t>Samsung&amp;CL05B104KB54PNC</t>
  </si>
  <si>
    <t>CAP,X7R,100nF,50V,10%,0402,AEC-Q</t>
  </si>
  <si>
    <t>Samsung Electro-Mechanics (SEMCO)</t>
  </si>
  <si>
    <t>C2,C3,C13,C16,C308,C311,C412,C415</t>
  </si>
  <si>
    <t>02-00000554</t>
  </si>
  <si>
    <t>GCM155R71H104KE02J</t>
  </si>
  <si>
    <t>02-00000553</t>
  </si>
  <si>
    <t>CGA2B3X7R1H104K050BB</t>
  </si>
  <si>
    <t>02-00000555</t>
  </si>
  <si>
    <t>GCM155R71H104KE02D</t>
  </si>
  <si>
    <t>MCASU105SB7104KFNA01</t>
  </si>
  <si>
    <t>1736449-00-A</t>
  </si>
  <si>
    <t>RCC020147K0FKED</t>
  </si>
  <si>
    <t>RES,47K0,0.05W,1%,0201(0603),AEC-Q</t>
  </si>
  <si>
    <t>位号不变，替代料删除</t>
    <phoneticPr fontId="3" type="noConversion"/>
  </si>
  <si>
    <t>ERJ1GJF4702C</t>
  </si>
  <si>
    <t>Panasonic</t>
  </si>
  <si>
    <t>R6,R15,R17,R27,R28</t>
  </si>
  <si>
    <t>RK73H1HTTC4702F</t>
  </si>
  <si>
    <t>KOA Speer</t>
  </si>
  <si>
    <t>RMCH06-473FPA</t>
  </si>
  <si>
    <t>Kamaya</t>
  </si>
  <si>
    <t>AC0201FR-0747KL</t>
  </si>
  <si>
    <t>Yageo</t>
  </si>
  <si>
    <t>1736895-00-A</t>
  </si>
  <si>
    <t>RCC0201100RFKED</t>
  </si>
  <si>
    <t>RES,100R,0.05W,1%,0201(0603),AEC-Q</t>
  </si>
  <si>
    <t>RK73H1HTTC1000F</t>
  </si>
  <si>
    <t>R7,R26,R29,R703,R704</t>
  </si>
  <si>
    <t>ERJ1GJF1000C</t>
  </si>
  <si>
    <t>RMCH06-101FPA</t>
  </si>
  <si>
    <t>03-00000573</t>
  </si>
  <si>
    <t>AC0201FR-07100RL</t>
  </si>
  <si>
    <t>CGA3E1X7R1E105K080AC</t>
  </si>
  <si>
    <t>1034447-00-A</t>
  </si>
  <si>
    <t>CAP,X7R,1uF,25V,10%,0603(1608),AEC-Q</t>
  </si>
  <si>
    <t>C419,C422</t>
  </si>
  <si>
    <t>GCM188R71E105KA64D</t>
  </si>
  <si>
    <t>CL10B105KA8VPNC</t>
  </si>
  <si>
    <t>1786414-00-B</t>
  </si>
  <si>
    <t>SHT41A-BD1B-R2</t>
  </si>
  <si>
    <t>SENSOR,HUMID/TEMP,DIG,DFN,ADDR0x45,AEC-Q</t>
  </si>
  <si>
    <t>Sensirion</t>
  </si>
  <si>
    <t>U701</t>
  </si>
  <si>
    <t>SHT41A-BD1B-R3</t>
  </si>
  <si>
    <t>2119425-00-A</t>
  </si>
  <si>
    <t>PCA1J470MCL1GS</t>
  </si>
  <si>
    <t>CAP,AE,47uF,63V,20%,SM,8X12.2MM,AEC-Q</t>
  </si>
  <si>
    <t>Nichicon</t>
  </si>
  <si>
    <t>C410,C411</t>
  </si>
  <si>
    <t>EEH-ZT1J470P</t>
  </si>
  <si>
    <t>63FVF47M+P</t>
  </si>
  <si>
    <t>Suncon</t>
  </si>
  <si>
    <t>A771KS476M1JLAS020</t>
  </si>
  <si>
    <t>MCASH21GSB7224KTNA01</t>
  </si>
  <si>
    <t>1762506-00-A</t>
  </si>
  <si>
    <t>CAP,X7R,0.22uF,100V,10%,0805(2012),AEC-Q</t>
  </si>
  <si>
    <t>C409</t>
  </si>
  <si>
    <t>CL21B224KCQVPNE</t>
  </si>
  <si>
    <t>08051C224K4T2A</t>
  </si>
  <si>
    <t>AVX</t>
  </si>
  <si>
    <t>C0805C224K1RACAUTO7210</t>
  </si>
  <si>
    <t>C0805C224K1RACAUTO</t>
  </si>
  <si>
    <t>MAASH21GSB7224KTNA01</t>
  </si>
  <si>
    <t>02-00000839</t>
  </si>
  <si>
    <t>1030110-00-A</t>
  </si>
  <si>
    <t>CL10B103KC8WPNC</t>
  </si>
  <si>
    <t>CAP,X7R,10nF,100V,10%,0603(1608),AEC-Q</t>
  </si>
  <si>
    <t>C1,C4,C7,C9,C15,C406,C420</t>
  </si>
  <si>
    <t>02-00000840</t>
  </si>
  <si>
    <t>HMK107B7103KAHT</t>
  </si>
  <si>
    <t>02-00000837</t>
  </si>
  <si>
    <t>AC0603KRX7R0BB103</t>
  </si>
  <si>
    <t>02-00000838</t>
  </si>
  <si>
    <t>CGA3E2X7R2A103K080AA</t>
  </si>
  <si>
    <t>02-00000820</t>
  </si>
  <si>
    <t>GCM188R72A103KA37D</t>
  </si>
  <si>
    <t>MCASH168SB7103KTNA01</t>
  </si>
  <si>
    <t>MAASH168SB7103KTCA01</t>
  </si>
  <si>
    <t>2139250-00-A</t>
  </si>
  <si>
    <t>GCM32EC72A106KEC2L</t>
  </si>
  <si>
    <t>CAP,X7S,10uF,100V,10%,1210(3225),AEC-Q</t>
  </si>
  <si>
    <t>C401,C402,C604,C608,C609,C610,C611,C612,C613</t>
  </si>
  <si>
    <t>CL32Y106KCV6PNE</t>
  </si>
  <si>
    <t>03-00000616</t>
  </si>
  <si>
    <t>2007992</t>
  </si>
  <si>
    <t>RMCH10JPTH</t>
  </si>
  <si>
    <t>RES,0R0,1/16W,JMP,0402(1005),RoHS,AEC-Q</t>
  </si>
  <si>
    <t>R301,R401,R405,R705,R706,R707,R708,R709</t>
  </si>
  <si>
    <t>03-00000363</t>
  </si>
  <si>
    <t>ERJ2GE0R00X</t>
  </si>
  <si>
    <t>03-00000087</t>
  </si>
  <si>
    <t>RK73Z1ETTP</t>
  </si>
  <si>
    <t>03-00000002</t>
  </si>
  <si>
    <t>CRCW04020000Z0ED</t>
  </si>
  <si>
    <t>Vishay</t>
  </si>
  <si>
    <t>03-00000086</t>
  </si>
  <si>
    <t>AC0402JR-070RL</t>
  </si>
  <si>
    <t>1641036-00-A</t>
  </si>
  <si>
    <t>SMAJ54A-Q</t>
  </si>
  <si>
    <t>DIODE,TVS,54V,400W,SMA,AEC-Q,RoHS</t>
  </si>
  <si>
    <t>Bourns</t>
  </si>
  <si>
    <t>D401</t>
  </si>
  <si>
    <t>1737612-00-A</t>
  </si>
  <si>
    <t>RK73H1HTTC1001D</t>
  </si>
  <si>
    <t>RES,1K00,0.05W,0.5%,0201(0603),AEC-Q</t>
  </si>
  <si>
    <t>R13,R20</t>
  </si>
  <si>
    <t>RMCH06-102DPA</t>
  </si>
  <si>
    <t>RK73H1JTTD49R9F</t>
  </si>
  <si>
    <t>1114067-00-A</t>
  </si>
  <si>
    <t>RES,49R9,1/10W,1%,0603(1608),AEC-Q</t>
  </si>
  <si>
    <t>R304,R305</t>
  </si>
  <si>
    <t>CRCW060349R9FKEA</t>
  </si>
  <si>
    <t>RMCH16K49R9FTP</t>
  </si>
  <si>
    <t>AC0603FR-0749R9L</t>
  </si>
  <si>
    <t>CRCW0603510RFKEA</t>
  </si>
  <si>
    <t>1114182-00-A</t>
  </si>
  <si>
    <t>RES,510R,1/10W,1%,0603(1608),AEC-Q</t>
  </si>
  <si>
    <t>R608,R615</t>
  </si>
  <si>
    <t>RK73H1JTTD5100F</t>
  </si>
  <si>
    <t>RMCH16K511FTP</t>
  </si>
  <si>
    <t>AC0603FR-07510RL</t>
  </si>
  <si>
    <t>GCJ188R72A104KA01D</t>
  </si>
  <si>
    <t>1125327-00-A</t>
  </si>
  <si>
    <t>CAP,X7R,0.1uF,100V,10%,0603S,AEC-Q</t>
  </si>
  <si>
    <t>C309,C310,C403,C405,C601,C602,C605,C606</t>
  </si>
  <si>
    <t>HMJ107BB7104KAHT</t>
  </si>
  <si>
    <t>MCJCH168BB7104KTPA01</t>
  </si>
  <si>
    <t>ESD601DPYRQ1</t>
  </si>
  <si>
    <t>2089966-00-A</t>
  </si>
  <si>
    <t>DIODE,TVS,ESD15kV,18Vr,2.7A,X1SON2,AEC-Q</t>
  </si>
  <si>
    <t>D301,D302</t>
  </si>
  <si>
    <t>1736637-00-A</t>
  </si>
  <si>
    <t>RCC020152K3FKED</t>
  </si>
  <si>
    <t>RES,52K3,0.05W,1%,0201(0603),AEC-Q</t>
  </si>
  <si>
    <t>RK73H1HTTC5232F</t>
  </si>
  <si>
    <t>R410</t>
  </si>
  <si>
    <t>ERJ1GJF5232C</t>
  </si>
  <si>
    <t>RMCH06-5232FPA</t>
  </si>
  <si>
    <t>AC0201FR-0752K3L</t>
  </si>
  <si>
    <t>1968722-00-A</t>
  </si>
  <si>
    <t>BSS123Q-13</t>
  </si>
  <si>
    <t>XSTR,MOSFET,N-CH,100V,170mA,SOT23,AEC-Q</t>
  </si>
  <si>
    <t>Diodes</t>
  </si>
  <si>
    <t>Q2</t>
  </si>
  <si>
    <t>BSS123Q-7</t>
  </si>
  <si>
    <t>BSS123NH6433XTMA1</t>
  </si>
  <si>
    <t>Infineon Technologies</t>
  </si>
  <si>
    <t>BSS123NH6327XTSA1</t>
  </si>
  <si>
    <t>TPS7B4255QDBVRQ1</t>
  </si>
  <si>
    <t>1943253-00-A</t>
  </si>
  <si>
    <t>IC,REG,LDO,ADJ,40V,70mA,SOT23-5(DBV),AEC-Q</t>
  </si>
  <si>
    <t>U2</t>
  </si>
  <si>
    <t>GCJ188C70J475KE02J</t>
  </si>
  <si>
    <t>1483242-00-A</t>
  </si>
  <si>
    <t>CAP,X7S,4.7uF,6.3V,10%,0603(1608),AEC-Q</t>
  </si>
  <si>
    <t>C302,C303</t>
  </si>
  <si>
    <t>02-00000244</t>
  </si>
  <si>
    <t>GCJ188C70J475KE02D</t>
  </si>
  <si>
    <t>1736648-00-A</t>
  </si>
  <si>
    <t>RCC020140K2FKED</t>
  </si>
  <si>
    <t>RES,40K2,0.05W,1%,0201(0603),AEC-Q</t>
  </si>
  <si>
    <t>位号不变，主料删除</t>
    <phoneticPr fontId="3" type="noConversion"/>
  </si>
  <si>
    <t>RK73H1HTTC4022F</t>
  </si>
  <si>
    <t>R406</t>
  </si>
  <si>
    <t>ERJ1GJF4022C</t>
  </si>
  <si>
    <t>RMCH06-4022FPA</t>
  </si>
  <si>
    <t>AC0201FR-0740K2L</t>
  </si>
  <si>
    <t>1736701-00-A</t>
  </si>
  <si>
    <t>RCC020111K0FKED</t>
  </si>
  <si>
    <t>RES,11K0,0.05W,1%,0201(0603),AEC-Q</t>
  </si>
  <si>
    <t>5/12位号不变，主料删除</t>
    <phoneticPr fontId="3" type="noConversion"/>
  </si>
  <si>
    <t>RK73H1HTTC1102F</t>
  </si>
  <si>
    <t>R609,R616</t>
  </si>
  <si>
    <t>ERJ1GJF1102C</t>
  </si>
  <si>
    <t>RMCH06-113FPA</t>
  </si>
  <si>
    <t>AC0201FR-0711KL</t>
  </si>
  <si>
    <t>1736771-00-A</t>
  </si>
  <si>
    <t>RCC02012K00FKED</t>
  </si>
  <si>
    <t>RES,2K00,0.05W,1%,0201(0603),AEC-Q</t>
  </si>
  <si>
    <t>RK73H1HTTC2001F</t>
  </si>
  <si>
    <t>R408</t>
  </si>
  <si>
    <t>ERJ1GJF2001C</t>
  </si>
  <si>
    <t>RMCH06-202FPA</t>
  </si>
  <si>
    <t>03-00000590</t>
  </si>
  <si>
    <t>AC0201FR-072KL</t>
  </si>
  <si>
    <t>1736705-00-A</t>
  </si>
  <si>
    <t>RCC020110K0FKED</t>
  </si>
  <si>
    <t>RES,10K0,0.05W,1%,0201(0603),AEC-Q</t>
  </si>
  <si>
    <t>5.12位号不变，替代料删除</t>
    <phoneticPr fontId="3" type="noConversion"/>
  </si>
  <si>
    <t>RK73H1HTTC1002F</t>
  </si>
  <si>
    <t>R1,R2,R3,R4,R5,R8,R9,R12,R19,R21,R30,R31,R306,R411,R601,R602,R603,R604,R605,R606,R607,R610,R611,R614</t>
  </si>
  <si>
    <t>RMCH06-103FPA</t>
  </si>
  <si>
    <t>ERJ1GJF1002C</t>
  </si>
  <si>
    <t>03-00000568</t>
  </si>
  <si>
    <t>AC0201FR-0710KL</t>
  </si>
  <si>
    <t>2125545-00-A</t>
  </si>
  <si>
    <t>TMP112DQDRLRQ1</t>
  </si>
  <si>
    <t>IC,SENSE,TEMP,TMP112D,SOT563-6,AEC-Q</t>
  </si>
  <si>
    <t>U1</t>
  </si>
  <si>
    <t>1008054-00-A</t>
  </si>
  <si>
    <t>CGA1A2X7R0J103K030BA</t>
  </si>
  <si>
    <t>CAP,X7R,10nF,10%,6.3V,0201(0603),AEC-Q</t>
  </si>
  <si>
    <t>C1</t>
  </si>
  <si>
    <t>GCM033C71A104KE02D</t>
  </si>
  <si>
    <t>1812593-00-A</t>
  </si>
  <si>
    <t>CAP,X7S,100nF,10V,10%,0201(0603),AEC-Q</t>
  </si>
  <si>
    <t>C6,C301,C304,C314,C701,C702,C703</t>
  </si>
  <si>
    <t>GCM033C71A104KE02J</t>
  </si>
  <si>
    <t>1527301-00-A</t>
  </si>
  <si>
    <t>SRN8040TA-100M</t>
  </si>
  <si>
    <t>IND,PWR,10uH,5A,20%,SM,AEC-Q</t>
  </si>
  <si>
    <t>Bourns Inc.</t>
  </si>
  <si>
    <t>L401</t>
  </si>
  <si>
    <t>1762002-00-A</t>
  </si>
  <si>
    <t>C1206C105K1RACAUTO7210</t>
  </si>
  <si>
    <t>CAP,X7R,1.0uF,100V,10%,1206(3216),AEC-Q</t>
  </si>
  <si>
    <t>C407,C408</t>
  </si>
  <si>
    <t>GCM31CR72A105KA03L</t>
  </si>
  <si>
    <t>GCM31CR72A105KA03K</t>
  </si>
  <si>
    <t>CL31B105KCHVPNE</t>
  </si>
  <si>
    <t>Samsung Electro Mechanics Co Ltd</t>
  </si>
  <si>
    <t>12061C105K4T2A</t>
  </si>
  <si>
    <t>C1206C105K1RACAUTO</t>
  </si>
  <si>
    <t>12061C105K4T4A</t>
  </si>
  <si>
    <t>AC1206KKX7R0BB105</t>
  </si>
  <si>
    <t>2039741-00-A</t>
  </si>
  <si>
    <t>LMR38025SQDRRRQ1</t>
  </si>
  <si>
    <t>IC,CONV,SYNC,LMR38025-Q1,WSON12,AEC-Q</t>
  </si>
  <si>
    <t>U401</t>
  </si>
  <si>
    <t>GCM1885C2A221JA16D</t>
  </si>
  <si>
    <t>1004223-00-A</t>
  </si>
  <si>
    <t>CAP,COG,220pF,100V,5%,0603(1608),AEC-Q</t>
  </si>
  <si>
    <t>C29</t>
  </si>
  <si>
    <t>1008031-00-A</t>
  </si>
  <si>
    <t>GCM033R71E331KA03D</t>
  </si>
  <si>
    <t>CAP,X7R,330pF,10%,25V,0201(0603),AEC-Q</t>
  </si>
  <si>
    <t>C413</t>
  </si>
  <si>
    <t>02-00000831</t>
  </si>
  <si>
    <t>GCM033R71E331KA03J</t>
  </si>
  <si>
    <t>CGA1A2X7R1E331K030BA</t>
  </si>
  <si>
    <t>02-00000802</t>
  </si>
  <si>
    <t>1008053-00-A</t>
  </si>
  <si>
    <t>GCM033R71A103KA03D</t>
  </si>
  <si>
    <t>CAP,X7R,10nF,10%,10V,0201(0603),AEC-Q</t>
  </si>
  <si>
    <t>C5,C12,C30,C31,C305,C421,C603,C607,C614</t>
  </si>
  <si>
    <t>02-00000888</t>
  </si>
  <si>
    <t>GCM033R71A103KA03J</t>
  </si>
  <si>
    <t>02-00000889</t>
  </si>
  <si>
    <t>CGA1A2X7R1A103K030BA</t>
  </si>
  <si>
    <t>ACT1210E-241-2P</t>
  </si>
  <si>
    <t>2042830-00-A</t>
  </si>
  <si>
    <t>IND,CHOKE,CM,240uH,70mA,1210(3225),AEC-Q</t>
  </si>
  <si>
    <t>TDK Corporation</t>
  </si>
  <si>
    <t>L301</t>
  </si>
  <si>
    <t>1062260-00-A</t>
  </si>
  <si>
    <t>BAT54CW-QX</t>
  </si>
  <si>
    <t>DIODE,SCHOTTKY,CK,30V,200mA,SC70,AEC-Q</t>
  </si>
  <si>
    <t>D601</t>
  </si>
  <si>
    <t>1736610-00-A</t>
  </si>
  <si>
    <t>RCC0201100KFKED</t>
  </si>
  <si>
    <t>RES,100K,0.05W,1%,0201(0603),AEC-Q</t>
  </si>
  <si>
    <t>5/12位号不变，替代料删除</t>
    <phoneticPr fontId="3" type="noConversion"/>
  </si>
  <si>
    <t>03-00000535</t>
  </si>
  <si>
    <t>RK73H1HTTC1003F</t>
  </si>
  <si>
    <t>R16,R18,R303,R404</t>
  </si>
  <si>
    <t>ERJ1GJF1003C</t>
  </si>
  <si>
    <t>03-00000513</t>
  </si>
  <si>
    <t>AC0201FR-07100KL</t>
  </si>
  <si>
    <t>1736467-00-A</t>
  </si>
  <si>
    <t>RCC02014K70FKED</t>
  </si>
  <si>
    <t>RES,4K70,0.05W,1%,0201(0603),AEC-Q</t>
  </si>
  <si>
    <t>RMCH06-472FPA</t>
  </si>
  <si>
    <t>R10,R11,R23,R617,R701,R702</t>
  </si>
  <si>
    <t>RK73H1HTTC4701F</t>
  </si>
  <si>
    <t>ERJ1GJF4701C</t>
  </si>
  <si>
    <t>03-00000589</t>
  </si>
  <si>
    <t>AC0201FR-074K7L</t>
  </si>
  <si>
    <t>2082289-00-A</t>
  </si>
  <si>
    <t>KAM05CR71A105KH</t>
  </si>
  <si>
    <t>CAP,X7R,1uF,10V,10%,0402(1005),AEC-Q</t>
  </si>
  <si>
    <t>KYOCERA AVX</t>
  </si>
  <si>
    <t>C8,C33,C34,C35,C306</t>
  </si>
  <si>
    <t>1693451-00-A</t>
  </si>
  <si>
    <t>TLV9002QDGKRQ1</t>
  </si>
  <si>
    <t>IC,OPAMP,1MHz,TLV9002-Q1,8VSSOP,AEC-Q</t>
  </si>
  <si>
    <t>U4</t>
  </si>
  <si>
    <t>1939256-00-A</t>
  </si>
  <si>
    <t>SR2512KK-071RL</t>
  </si>
  <si>
    <t>RES,PULSE,1R0,1W,10%,2512(6432),AEC-Q</t>
  </si>
  <si>
    <t>R402,R403</t>
  </si>
  <si>
    <t>CRCW25121R00KNEGIF</t>
  </si>
  <si>
    <t>SG73W3ATTE1R0K</t>
  </si>
  <si>
    <t>RPC2512JT1R00</t>
  </si>
  <si>
    <t>Stackpole Electronics</t>
  </si>
  <si>
    <t>2122361-00-A</t>
  </si>
  <si>
    <t>TMUX1308QBQBRQ1</t>
  </si>
  <si>
    <t>IC,MUX,SGL,8:1,TMUX1308,WQFN16,AEC-Q</t>
  </si>
  <si>
    <t>U302</t>
  </si>
  <si>
    <t>1864161-00-A</t>
  </si>
  <si>
    <t>TPS1HTC30AQPWPRQ1</t>
  </si>
  <si>
    <t>IC,POWER SW,TPS1HTC30-Q1,HTSSOP14,AEC-Q</t>
  </si>
  <si>
    <t>U601,U602</t>
  </si>
  <si>
    <t>2086798-00-A</t>
  </si>
  <si>
    <t>OPT4003DTSRQ1</t>
  </si>
  <si>
    <t>IC,ALS,I2C,OPT4003-Q1,SOT8/DTS0008A,AECQ</t>
  </si>
  <si>
    <t>U702</t>
  </si>
  <si>
    <t>CL31B106KAHVPNE</t>
  </si>
  <si>
    <t>1139274-00-A</t>
  </si>
  <si>
    <t>CAP,X7R,10uF,25V,10%,1206(3216),AEC-Q</t>
  </si>
  <si>
    <t>C14,C17,C18,C19,C20,C21,C22,C23,C24,C25,C26,C27,C28</t>
  </si>
  <si>
    <t>02-00000894</t>
  </si>
  <si>
    <t>CGA5L1X7R1E106K160AC</t>
  </si>
  <si>
    <t>AM25070307</t>
  </si>
  <si>
    <t>1458972-00-A</t>
  </si>
  <si>
    <t>XTAL,25MHz,12pF,20ppm,SM,AECQ</t>
  </si>
  <si>
    <t>TXC</t>
  </si>
  <si>
    <t>X301</t>
  </si>
  <si>
    <t>1C325000BE0A</t>
  </si>
  <si>
    <t>KDS</t>
  </si>
  <si>
    <t>EXS00A-CS14701</t>
  </si>
  <si>
    <t>NDK America</t>
  </si>
  <si>
    <t>NX3225SA 25M EXS00A-CS11395</t>
  </si>
  <si>
    <t>1736457-00-A</t>
  </si>
  <si>
    <t>RCC020122K0FKED</t>
  </si>
  <si>
    <t>RES,22K0,0.05W,1%,0201(0603),AEC-Q</t>
  </si>
  <si>
    <t>RK73H1HTTC2202F</t>
  </si>
  <si>
    <t>R407</t>
  </si>
  <si>
    <t>ERJ1GJF2202C</t>
  </si>
  <si>
    <t>RMCH06-223FPA</t>
  </si>
  <si>
    <t>AC0201FR-0722KL</t>
  </si>
  <si>
    <t>02-00000752</t>
  </si>
  <si>
    <t>1614244-00-A</t>
  </si>
  <si>
    <t>CGA1A2C0G1H180J030BA</t>
  </si>
  <si>
    <t>CAP,C0G,18pF,50V,5%,0201(0603),AEC-Q</t>
  </si>
  <si>
    <t>C312,C313</t>
  </si>
  <si>
    <t>MCASU063SCG180JFNA01</t>
  </si>
  <si>
    <t>GCM0335C1H180JA16D</t>
  </si>
  <si>
    <t>GCM0335C1H180JA16J</t>
  </si>
  <si>
    <t>AD3301WBCPZ</t>
  </si>
  <si>
    <t>2038851-00-A</t>
  </si>
  <si>
    <t>IC,XCVR,10BASE-T1S,AD3301,LFCSP24,AEC-Q</t>
  </si>
  <si>
    <t>Analog Devices (ADI)</t>
  </si>
  <si>
    <t>U301</t>
  </si>
  <si>
    <t>1607488-00-A</t>
  </si>
  <si>
    <t>TLV76701QWDRBRQ1</t>
  </si>
  <si>
    <t>IC,REG,LDO,ADJ,1A,TLV76701,VSON8,AEC-Q</t>
  </si>
  <si>
    <t>U402</t>
  </si>
  <si>
    <t>03-00000082</t>
  </si>
  <si>
    <t>1113645-00-A</t>
  </si>
  <si>
    <t>RK73H1ETTP1003F</t>
  </si>
  <si>
    <t>RES,100K,1/16W,1%,0402(1005),AEC-Q</t>
  </si>
  <si>
    <t>R310,R613</t>
  </si>
  <si>
    <t>03-00000566</t>
  </si>
  <si>
    <t>RMCH10K104FTH</t>
  </si>
  <si>
    <t>03-00000264</t>
  </si>
  <si>
    <t>ERJ-2RKF1003X</t>
  </si>
  <si>
    <t>03-00000001</t>
  </si>
  <si>
    <t>VISHAY&amp;CRCW0402100KFKED</t>
  </si>
  <si>
    <t>03-00000071</t>
  </si>
  <si>
    <t>AC0402FR-07100KL</t>
  </si>
  <si>
    <t>Supplier Information</t>
  </si>
  <si>
    <t>Product Information</t>
  </si>
  <si>
    <t>Consumables</t>
  </si>
  <si>
    <t>Supplier Name</t>
  </si>
  <si>
    <t>Amphenol</t>
  </si>
  <si>
    <t>Tesla PCBA PN</t>
  </si>
  <si>
    <t>Revision</t>
  </si>
  <si>
    <t>A</t>
  </si>
  <si>
    <t>Solder Paste Usage (g)</t>
  </si>
  <si>
    <t>Solder Paste Unit Cost ($/g)</t>
  </si>
  <si>
    <t>OEE</t>
  </si>
  <si>
    <t>Locked - Auto Calculated</t>
  </si>
  <si>
    <t>Location</t>
  </si>
  <si>
    <t>Mexico</t>
  </si>
  <si>
    <t>PCBA Description</t>
  </si>
  <si>
    <t>PCBA, CONTROLLER, WINDSHIELD, GEN 1</t>
  </si>
  <si>
    <t>SMD Component Count TOP</t>
  </si>
  <si>
    <t>Adhesives Usage (mL)</t>
  </si>
  <si>
    <t>Adhesives Unit Cost ($/mL)</t>
  </si>
  <si>
    <t>Takt Time</t>
  </si>
  <si>
    <t>Manual Required</t>
  </si>
  <si>
    <t>PCBA NPI SIE</t>
  </si>
  <si>
    <t>Jeremy Hur</t>
  </si>
  <si>
    <t>Units per Panel</t>
  </si>
  <si>
    <t>SMD Component Count BOT</t>
  </si>
  <si>
    <t>Coating Usage (mL)</t>
  </si>
  <si>
    <t>Coating Unit Cost ($/mL)</t>
  </si>
  <si>
    <t>Max. Utilization %</t>
  </si>
  <si>
    <t>Drop down List</t>
  </si>
  <si>
    <t>Working Days per Week</t>
  </si>
  <si>
    <t>PCBA Dimensions (W)</t>
  </si>
  <si>
    <t>30mm</t>
  </si>
  <si>
    <t>x (L)</t>
  </si>
  <si>
    <t>131.64mm</t>
  </si>
  <si>
    <t>Wash Chemical Usage (mL)</t>
  </si>
  <si>
    <t>Wash Chemical Unit Cost ($/mL)</t>
  </si>
  <si>
    <t>Earliest Line Ready Date</t>
  </si>
  <si>
    <t>Duplicated</t>
  </si>
  <si>
    <t>Working Hours per Day</t>
  </si>
  <si>
    <t>Panel Dimensions (W)</t>
  </si>
  <si>
    <t>245.19mm</t>
    <phoneticPr fontId="61" type="noConversion"/>
  </si>
  <si>
    <t>Labor Rate (USD/hr)</t>
  </si>
  <si>
    <t>Units per Week</t>
  </si>
  <si>
    <t>Production Floor Area (sqm)</t>
  </si>
  <si>
    <t>Assembly Cost</t>
  </si>
  <si>
    <t>Line ID</t>
  </si>
  <si>
    <t>ID</t>
  </si>
  <si>
    <t>Process
Type</t>
  </si>
  <si>
    <t>Machine , Station 
or 
Working Area</t>
  </si>
  <si>
    <t>Line Family</t>
  </si>
  <si>
    <t>Equipment Status</t>
  </si>
  <si>
    <t>Equipment Lead Time (weeks)</t>
  </si>
  <si>
    <t>Equipment
Manufacturer</t>
  </si>
  <si>
    <t>Equipment Model</t>
  </si>
  <si>
    <t>Equipment
Cost (USD)</t>
  </si>
  <si>
    <t>Cycle Time + Load/Unload (sec)</t>
  </si>
  <si>
    <t>Bottleneck Cycle Time (min)</t>
  </si>
  <si>
    <t>Operators Needed</t>
  </si>
  <si>
    <t>Comments</t>
  </si>
  <si>
    <t>Process Type</t>
  </si>
  <si>
    <t>Qty</t>
  </si>
  <si>
    <t>Equipment 
Cost</t>
  </si>
  <si>
    <t>HC</t>
  </si>
  <si>
    <t>Automatic Magazine Loader/Unloader 1</t>
  </si>
  <si>
    <t>SMT Side 1</t>
  </si>
  <si>
    <t>Existing Equipment</t>
  </si>
  <si>
    <t>Conber-single</t>
  </si>
  <si>
    <t>CLD-880A</t>
  </si>
  <si>
    <t>Laser Marking</t>
  </si>
  <si>
    <t>PCB Destacker 1</t>
  </si>
  <si>
    <t>CVP-75</t>
  </si>
  <si>
    <t>Put PCB</t>
  </si>
  <si>
    <t>Conveyor --- Single 1</t>
  </si>
  <si>
    <t>CWT-100A</t>
  </si>
  <si>
    <t>SMT Side 2</t>
  </si>
  <si>
    <t>Laser Marker --- PCB 1</t>
  </si>
  <si>
    <t>Dazu-single</t>
  </si>
  <si>
    <t>CO2-PCB500D</t>
  </si>
  <si>
    <t>Depaneling</t>
  </si>
  <si>
    <t>Conveyor --- Single 2</t>
  </si>
  <si>
    <t>Selective Soldering Side 1</t>
  </si>
  <si>
    <t>Solder Paste Printer 1</t>
  </si>
  <si>
    <t>NM-EJP6A(Add automatic solder paste )</t>
  </si>
  <si>
    <t>Selective Soldering Side 2</t>
  </si>
  <si>
    <t>Conveyor --- Single 3</t>
  </si>
  <si>
    <t>Wave Soldering Side 1</t>
  </si>
  <si>
    <t>Conveyor --- Shuttle 1</t>
  </si>
  <si>
    <t>XYD</t>
  </si>
  <si>
    <t>STC-050ST145</t>
  </si>
  <si>
    <t>Wave Soldering Side 2</t>
  </si>
  <si>
    <t>SPI 3D 1 Dual Lane</t>
  </si>
  <si>
    <t>TRI</t>
  </si>
  <si>
    <t>TR7007D DL</t>
  </si>
  <si>
    <t>FA</t>
  </si>
  <si>
    <t>Conveyor --- Reject 1 Dual Lane</t>
  </si>
  <si>
    <t>S&amp;M</t>
  </si>
  <si>
    <t>OK / NG-reject conveyor</t>
  </si>
  <si>
    <t>PCBA Wash</t>
  </si>
  <si>
    <t>SMT P&amp;P 1 Dual Lane</t>
  </si>
  <si>
    <t>NPM-W2_16+16</t>
  </si>
  <si>
    <t>SMT P&amp;P 2 Dual Lane</t>
  </si>
  <si>
    <t>SMT P&amp;P 3 Dual Lane</t>
  </si>
  <si>
    <t>NPM-W2_8+8</t>
  </si>
  <si>
    <t>SMT P&amp;P 4 Dual Lane</t>
  </si>
  <si>
    <t>NPM-W2_3+3</t>
  </si>
  <si>
    <t>Conveyor --- Dual 1</t>
  </si>
  <si>
    <t>PTB-D350</t>
  </si>
  <si>
    <t>Underfill Side 1</t>
  </si>
  <si>
    <t>Conveyor --- Shuttle 2</t>
  </si>
  <si>
    <t>Underfill Side 2</t>
  </si>
  <si>
    <t>Reflow Oven w/ Vacuum 1 Dual Lane</t>
  </si>
  <si>
    <t>Rehm/Ersa</t>
  </si>
  <si>
    <t>VXP+nitro4200（typ834 vac） /   EXOS10/26</t>
  </si>
  <si>
    <t>RTV Side 1</t>
  </si>
  <si>
    <t>Conveyor --- Shuttle 3</t>
  </si>
  <si>
    <t>RTV Side 2</t>
  </si>
  <si>
    <t>Conveyor --- Dual 2</t>
  </si>
  <si>
    <t>Pin Sitch Side 1</t>
  </si>
  <si>
    <t>PCBA Buffer FIFO 1 Dual Lane</t>
  </si>
  <si>
    <t>ZCL-D300DL</t>
  </si>
  <si>
    <t>Pin Stitch Side 2</t>
  </si>
  <si>
    <t>AOI --- SMD 3D 1 Dual Lane</t>
  </si>
  <si>
    <t>Parmi</t>
  </si>
  <si>
    <t>Xceed-Qdual</t>
  </si>
  <si>
    <t>Press-fit Side 1</t>
  </si>
  <si>
    <t>Conveyor --- Reject 2 Dual Lane</t>
  </si>
  <si>
    <t>Press-fit Side 2</t>
  </si>
  <si>
    <t>Conveyor --- Shuttle 4</t>
  </si>
  <si>
    <t>ICT</t>
  </si>
  <si>
    <t>Conveyor --- Flipper 180˚ 1</t>
  </si>
  <si>
    <t>Conber</t>
  </si>
  <si>
    <t>YXD T460</t>
  </si>
  <si>
    <t>From bottom to top side</t>
  </si>
  <si>
    <t>Programming</t>
  </si>
  <si>
    <t>Automatic Magazine Loader/Unloader 2</t>
  </si>
  <si>
    <t>Unload magazine</t>
  </si>
  <si>
    <t>PCBA FVT</t>
  </si>
  <si>
    <t>Automatic Magazine Loader/Unloader 3</t>
  </si>
  <si>
    <t>Load  magazine</t>
  </si>
  <si>
    <t>Packaging</t>
  </si>
  <si>
    <t>PCB Destacker 2</t>
  </si>
  <si>
    <t>`</t>
  </si>
  <si>
    <t>Other</t>
  </si>
  <si>
    <t>Conveyor --- Single 4</t>
  </si>
  <si>
    <t>Laser Marker --- PCB 2</t>
  </si>
  <si>
    <t>Conveyor --- Single 5</t>
  </si>
  <si>
    <t>Solder Paste Printer 2</t>
  </si>
  <si>
    <t>Conveyor --- Single 6</t>
  </si>
  <si>
    <t>Conveyor --- Shuttle 5</t>
  </si>
  <si>
    <t>SPI 3D 3 Dual Lane</t>
  </si>
  <si>
    <t>Conveyor --- Reject 3 Dual Lane</t>
  </si>
  <si>
    <t>SMT P&amp;P 5 Dual Lane</t>
  </si>
  <si>
    <t>SMT P&amp;P 6 Dual Lane</t>
  </si>
  <si>
    <t>SMT P&amp;P 7 Dual Lane</t>
  </si>
  <si>
    <t>SMT P&amp;P 8 Dual Lane</t>
  </si>
  <si>
    <t>Conveyor --- Dual 3</t>
  </si>
  <si>
    <t>Conveyor --- Shuttle 6</t>
  </si>
  <si>
    <t>Reflow Oven w/ Vacuum 2 Dual Lane</t>
  </si>
  <si>
    <t>Conveyor --- Shuttle 7</t>
  </si>
  <si>
    <t>Conveyor --- Dual 4</t>
  </si>
  <si>
    <t>PCBA Buffer FIFO 2 Dual Lane</t>
  </si>
  <si>
    <t>AOI --- SMD 3D 2 Dual Lane</t>
  </si>
  <si>
    <t>Conveyor --- Reject 4 Dual Lane</t>
  </si>
  <si>
    <t>Conveyor --- Shuttle 8</t>
  </si>
  <si>
    <t>Conveyor --- Flipper 180˚ 2</t>
  </si>
  <si>
    <t>Automatic Magazine Loader/Unloader 4</t>
  </si>
  <si>
    <t>Unloader magazine</t>
  </si>
  <si>
    <t>Automatic Magazine Loader/Unloader 5</t>
  </si>
  <si>
    <t>load magazine</t>
  </si>
  <si>
    <t>Conveyor --- Single 7</t>
  </si>
  <si>
    <t>AXI 1</t>
  </si>
  <si>
    <t>Vitrox-single</t>
  </si>
  <si>
    <t>V810i S2EX</t>
  </si>
  <si>
    <t>B+T check</t>
  </si>
  <si>
    <t>Conveyor --- Reject 1</t>
  </si>
  <si>
    <t>YXD S100SL-5</t>
  </si>
  <si>
    <t>Conveyor --- Flipper 180˚ 3</t>
  </si>
  <si>
    <t>Automatic Magazine Loader/Unloader 6</t>
  </si>
  <si>
    <t>Tester --- In Circuit Test w/manual loading/unloading 1</t>
  </si>
  <si>
    <t>New Equipment</t>
  </si>
  <si>
    <t>Aglint</t>
  </si>
  <si>
    <t>i307x, Series 6</t>
  </si>
  <si>
    <t>0ffline+ Robot Auto load/unload</t>
  </si>
  <si>
    <t>Automatic Magazine Loader/Unloader 7</t>
  </si>
  <si>
    <t>load  magazine</t>
  </si>
  <si>
    <t>Conveyor --- Single 8</t>
  </si>
  <si>
    <t>Router 1</t>
  </si>
  <si>
    <t>Genitec</t>
  </si>
  <si>
    <t>GAM336AT</t>
  </si>
  <si>
    <t>mark+read code  12s;load  pcba 10s; unload pcba 20s; load+unload tray 18s; depanel 1*40s  Unload tray</t>
  </si>
  <si>
    <t>Tester --- Functional Verification w/manual loading/unloading 1</t>
  </si>
  <si>
    <t>Tesla</t>
  </si>
  <si>
    <t>manual</t>
    <phoneticPr fontId="61" type="noConversion"/>
  </si>
  <si>
    <t>Shanghai Amphenol Request for Quotation</t>
  </si>
  <si>
    <t>Information:</t>
    <phoneticPr fontId="3" type="noConversion"/>
  </si>
  <si>
    <t>Forecast (PCS/week) Privided By customer</t>
    <phoneticPr fontId="3" type="noConversion"/>
  </si>
  <si>
    <t>Line utilization</t>
    <phoneticPr fontId="3" type="noConversion"/>
  </si>
  <si>
    <t xml:space="preserve">SAA PN.and Rev.: </t>
    <phoneticPr fontId="3" type="noConversion"/>
  </si>
  <si>
    <t>NA</t>
    <phoneticPr fontId="3" type="noConversion"/>
  </si>
  <si>
    <t>Hrs/Day</t>
  </si>
  <si>
    <t>Line balance rate</t>
    <phoneticPr fontId="3" type="noConversion"/>
  </si>
  <si>
    <t>Production Efficiency (%)</t>
  </si>
  <si>
    <t xml:space="preserve">Capacity (PCS/week) </t>
    <phoneticPr fontId="3" type="noConversion"/>
  </si>
  <si>
    <t xml:space="preserve">Customer PN.and Rev.: </t>
    <phoneticPr fontId="3" type="noConversion"/>
  </si>
  <si>
    <t>Takt Time(Sec/PCS)=Avaliable time/Forecast</t>
  </si>
  <si>
    <t>Line utilization(Sales)</t>
    <phoneticPr fontId="3" type="noConversion"/>
  </si>
  <si>
    <t>Prepared by:</t>
    <phoneticPr fontId="3" type="noConversion"/>
  </si>
  <si>
    <t>Yu.Yu</t>
    <phoneticPr fontId="3" type="noConversion"/>
  </si>
  <si>
    <r>
      <t>Cycle Time (Sec/Pcs)(Bottleneck CT</t>
    </r>
    <r>
      <rPr>
        <sz val="15"/>
        <color theme="1"/>
        <rFont val="宋体"/>
        <family val="3"/>
        <charset val="134"/>
      </rPr>
      <t>）</t>
    </r>
    <r>
      <rPr>
        <sz val="15"/>
        <color theme="1"/>
        <rFont val="Helvetica"/>
        <family val="2"/>
      </rPr>
      <t>(Actual)</t>
    </r>
    <phoneticPr fontId="3" type="noConversion"/>
  </si>
  <si>
    <t>Line balance rate(Sales)</t>
    <phoneticPr fontId="3" type="noConversion"/>
  </si>
  <si>
    <t>Date:</t>
    <phoneticPr fontId="3" type="noConversion"/>
  </si>
  <si>
    <t>Production lines(Actual)</t>
    <phoneticPr fontId="3" type="noConversion"/>
  </si>
  <si>
    <t>Capacity (PCS/week) (Sales)</t>
    <phoneticPr fontId="3" type="noConversion"/>
  </si>
  <si>
    <t>RFQ Rev:</t>
    <phoneticPr fontId="3" type="noConversion"/>
  </si>
  <si>
    <t>Cycle Time (Sec/Pcs)(Bottleneck CT)(Sales)</t>
    <phoneticPr fontId="3" type="noConversion"/>
  </si>
  <si>
    <t>AF</t>
    <phoneticPr fontId="3" type="noConversion"/>
  </si>
  <si>
    <t>Checked by:</t>
    <phoneticPr fontId="3" type="noConversion"/>
  </si>
  <si>
    <t>Johnson.Li</t>
    <phoneticPr fontId="3" type="noConversion"/>
  </si>
  <si>
    <t>Production lines(Sales)</t>
    <phoneticPr fontId="3" type="noConversion"/>
  </si>
  <si>
    <t>PF</t>
    <phoneticPr fontId="3" type="noConversion"/>
  </si>
  <si>
    <t>Process Description</t>
  </si>
  <si>
    <t>Manpower</t>
    <phoneticPr fontId="80" type="noConversion"/>
  </si>
  <si>
    <t>Suggestion for sales</t>
    <phoneticPr fontId="80" type="noConversion"/>
  </si>
  <si>
    <t>Lines
(Reference Sales CT)</t>
    <phoneticPr fontId="3" type="noConversion"/>
  </si>
  <si>
    <t>Unit Op</t>
    <phoneticPr fontId="80" type="noConversion"/>
  </si>
  <si>
    <t>Cycle time</t>
    <phoneticPr fontId="80" type="noConversion"/>
  </si>
  <si>
    <t>Parts per cycle per machine</t>
  </si>
  <si>
    <t>QTY of machine</t>
  </si>
  <si>
    <t>Line # (1,2,3,4,0)</t>
  </si>
  <si>
    <t>Off line</t>
    <phoneticPr fontId="80" type="noConversion"/>
  </si>
  <si>
    <t>Line 1, CT</t>
    <phoneticPr fontId="80" type="noConversion"/>
  </si>
  <si>
    <t>Line 1, op time</t>
    <phoneticPr fontId="80" type="noConversion"/>
  </si>
  <si>
    <t>Line 2, CT</t>
  </si>
  <si>
    <t>Line 2, op time</t>
  </si>
  <si>
    <t>Recommended sales Cycle time</t>
    <phoneticPr fontId="80" type="noConversion"/>
  </si>
  <si>
    <t>Recommended sales equipment quantity</t>
    <phoneticPr fontId="80" type="noConversion"/>
  </si>
  <si>
    <t>Recommended sales balanced cycle time</t>
    <phoneticPr fontId="80" type="noConversion"/>
  </si>
  <si>
    <t xml:space="preserve">Recommended sales Unit Op </t>
    <phoneticPr fontId="80" type="noConversion"/>
  </si>
  <si>
    <t>Recommended sales bottleneck time</t>
    <phoneticPr fontId="80" type="noConversion"/>
  </si>
  <si>
    <r>
      <t>Unit cost</t>
    </r>
    <r>
      <rPr>
        <b/>
        <sz val="15"/>
        <color theme="1"/>
        <rFont val="微软雅黑"/>
        <family val="2"/>
        <charset val="134"/>
      </rPr>
      <t>（</t>
    </r>
    <r>
      <rPr>
        <b/>
        <sz val="15"/>
        <color theme="1"/>
        <rFont val="Helvetica"/>
        <family val="2"/>
      </rPr>
      <t>CNY</t>
    </r>
    <r>
      <rPr>
        <b/>
        <sz val="15"/>
        <color theme="1"/>
        <rFont val="微软雅黑"/>
        <family val="2"/>
        <charset val="134"/>
      </rPr>
      <t>）</t>
    </r>
    <phoneticPr fontId="80" type="noConversion"/>
  </si>
  <si>
    <r>
      <t>Total cost</t>
    </r>
    <r>
      <rPr>
        <b/>
        <sz val="15"/>
        <color theme="1"/>
        <rFont val="微软雅黑"/>
        <family val="2"/>
        <charset val="134"/>
      </rPr>
      <t>（</t>
    </r>
    <r>
      <rPr>
        <b/>
        <sz val="15"/>
        <color theme="1"/>
        <rFont val="Helvetica"/>
        <family val="2"/>
      </rPr>
      <t>CNY</t>
    </r>
    <r>
      <rPr>
        <b/>
        <sz val="15"/>
        <color theme="1"/>
        <rFont val="微软雅黑"/>
        <family val="2"/>
        <charset val="134"/>
      </rPr>
      <t>）</t>
    </r>
    <phoneticPr fontId="80" type="noConversion"/>
  </si>
  <si>
    <t>Paste label on the bracket and assemble the PCBA and camera fan with bracket and fixed by screws</t>
    <phoneticPr fontId="3" type="noConversion"/>
  </si>
  <si>
    <t>Auto-screw machine
(Double Y axis)
PCBA Fixture
Camera fan fixture</t>
    <phoneticPr fontId="80" type="noConversion"/>
  </si>
  <si>
    <t>EOL</t>
    <phoneticPr fontId="80" type="noConversion"/>
  </si>
  <si>
    <r>
      <t>PC/scanner/desk</t>
    </r>
    <r>
      <rPr>
        <sz val="15"/>
        <color rgb="FF000000"/>
        <rFont val="微软雅黑"/>
        <family val="2"/>
        <charset val="134"/>
      </rPr>
      <t>（</t>
    </r>
    <r>
      <rPr>
        <sz val="15"/>
        <color indexed="8"/>
        <rFont val="Helvetica"/>
        <family val="2"/>
      </rPr>
      <t>EOL</t>
    </r>
    <r>
      <rPr>
        <sz val="15"/>
        <color rgb="FF000000"/>
        <rFont val="微软雅黑"/>
        <family val="2"/>
        <charset val="134"/>
      </rPr>
      <t>客供）</t>
    </r>
    <phoneticPr fontId="80" type="noConversion"/>
  </si>
  <si>
    <r>
      <rPr>
        <sz val="12"/>
        <rFont val="微软雅黑"/>
        <family val="2"/>
        <charset val="134"/>
      </rPr>
      <t>未包含</t>
    </r>
    <r>
      <rPr>
        <sz val="12"/>
        <rFont val="Helvetica"/>
        <family val="2"/>
      </rPr>
      <t>EOL</t>
    </r>
    <r>
      <rPr>
        <sz val="12"/>
        <rFont val="微软雅黑"/>
        <family val="2"/>
        <charset val="134"/>
      </rPr>
      <t>设备本身的价格（客供设备）</t>
    </r>
    <phoneticPr fontId="80" type="noConversion"/>
  </si>
  <si>
    <t>FVI</t>
    <phoneticPr fontId="3" type="noConversion"/>
  </si>
  <si>
    <t>PC/scanner/desk</t>
    <phoneticPr fontId="80" type="noConversion"/>
  </si>
  <si>
    <t>Packing</t>
    <phoneticPr fontId="80" type="noConversion"/>
  </si>
  <si>
    <t>PC/scanner/desk/printer</t>
    <phoneticPr fontId="80" type="noConversion"/>
  </si>
  <si>
    <r>
      <t>Facility</t>
    </r>
    <r>
      <rPr>
        <sz val="15"/>
        <color theme="1"/>
        <rFont val="宋体"/>
        <family val="3"/>
        <charset val="134"/>
      </rPr>
      <t>费用</t>
    </r>
    <phoneticPr fontId="80" type="noConversion"/>
  </si>
  <si>
    <t>运输费用</t>
    <phoneticPr fontId="80" type="noConversion"/>
  </si>
  <si>
    <r>
      <t>OSS</t>
    </r>
    <r>
      <rPr>
        <sz val="15"/>
        <color theme="1"/>
        <rFont val="宋体"/>
        <family val="3"/>
        <charset val="134"/>
      </rPr>
      <t xml:space="preserve">费用 </t>
    </r>
    <r>
      <rPr>
        <sz val="15"/>
        <color theme="1"/>
        <rFont val="Helvetica"/>
        <family val="3"/>
      </rPr>
      <t>supplier</t>
    </r>
    <phoneticPr fontId="80" type="noConversion"/>
  </si>
  <si>
    <r>
      <t>OSS</t>
    </r>
    <r>
      <rPr>
        <sz val="15"/>
        <color theme="1"/>
        <rFont val="宋体"/>
        <family val="3"/>
        <charset val="134"/>
      </rPr>
      <t>费用</t>
    </r>
    <r>
      <rPr>
        <sz val="15"/>
        <color theme="1"/>
        <rFont val="Helvetica"/>
        <family val="2"/>
      </rPr>
      <t xml:space="preserve"> SAA</t>
    </r>
    <phoneticPr fontId="80" type="noConversion"/>
  </si>
  <si>
    <t>Cost</t>
    <phoneticPr fontId="3" type="noConversion"/>
  </si>
  <si>
    <t>TOTAL OP TIME</t>
    <phoneticPr fontId="80" type="noConversion"/>
  </si>
  <si>
    <t>Notes:
1. RFQ cycle time is mass production cycle time based on current design.
2. RFQ is only based on one balanced production line
3. Work time is 10 hours each shift.
4. Cycle time=Cycle time
5. Operator (OP) time is the operator time used for lines being balanced
6. Line # should be 0 for off line processes and 1, 2, 3, 4 respectively for sub lines.
7. Part per cycle is the number of parts being done in one cycle, e.g 2 for a 2 cavity tool</t>
    <phoneticPr fontId="3" type="noConversion"/>
  </si>
  <si>
    <t>Tooling Description</t>
  </si>
  <si>
    <t>Tool Life</t>
  </si>
  <si>
    <t>Tool Maker Name</t>
  </si>
  <si>
    <t>Number of cavities</t>
  </si>
  <si>
    <t>Quoted Lead Time for T0</t>
  </si>
  <si>
    <t>Weekly Volume Capacity</t>
  </si>
  <si>
    <t>Lines</t>
  </si>
  <si>
    <t>No. of Tools needed</t>
  </si>
  <si>
    <t>Total Tools</t>
  </si>
  <si>
    <t>Tooling unit price(RMB)</t>
  </si>
  <si>
    <t>RMB Cost (without VAT)</t>
    <phoneticPr fontId="29" type="noConversion"/>
  </si>
  <si>
    <t>USD(without VAT)</t>
    <phoneticPr fontId="3" type="noConversion"/>
  </si>
  <si>
    <r>
      <t>Printer machine/stencil</t>
    </r>
    <r>
      <rPr>
        <sz val="10"/>
        <rFont val="微软雅黑"/>
        <family val="2"/>
        <charset val="134"/>
      </rPr>
      <t>（</t>
    </r>
    <r>
      <rPr>
        <sz val="10"/>
        <rFont val="Arial"/>
        <family val="2"/>
      </rPr>
      <t>B)</t>
    </r>
    <phoneticPr fontId="0" type="noConversion"/>
  </si>
  <si>
    <t>Mounter(B)</t>
    <phoneticPr fontId="3" type="noConversion"/>
  </si>
  <si>
    <t>Printer machine/stencil(T)</t>
    <phoneticPr fontId="3" type="noConversion"/>
  </si>
  <si>
    <t>Mounter(T)</t>
    <phoneticPr fontId="3" type="noConversion"/>
  </si>
  <si>
    <t>depanel</t>
    <phoneticPr fontId="3" type="noConversion"/>
  </si>
  <si>
    <t>braket</t>
  </si>
  <si>
    <t>toolig</t>
  </si>
  <si>
    <t>edge clip</t>
  </si>
  <si>
    <t>tooling</t>
  </si>
  <si>
    <t>Total Tooling Costs</t>
  </si>
  <si>
    <t>Volume of Amortization</t>
  </si>
  <si>
    <t>Added Piece Price Cost</t>
  </si>
  <si>
    <t>QUESTION</t>
  </si>
  <si>
    <t>What is the customer volume requirements ( / month) ---&gt;</t>
  </si>
  <si>
    <t>Is there any peak demand requirements ---&gt;</t>
  </si>
  <si>
    <t>SAA/S-04-03 Rev:D</t>
  </si>
  <si>
    <t>cecilia updated on Jun.12</t>
    <phoneticPr fontId="3" type="noConversion"/>
  </si>
  <si>
    <t>Part no.</t>
  </si>
  <si>
    <t>Part name</t>
  </si>
  <si>
    <r>
      <t>unit price</t>
    </r>
    <r>
      <rPr>
        <sz val="12"/>
        <color rgb="FF000000"/>
        <rFont val="微软雅黑"/>
        <family val="2"/>
        <charset val="134"/>
      </rPr>
      <t>（</t>
    </r>
    <r>
      <rPr>
        <sz val="12"/>
        <color rgb="FF000000"/>
        <rFont val="Arial"/>
        <family val="2"/>
      </rPr>
      <t>USD)</t>
    </r>
    <phoneticPr fontId="3" type="noConversion"/>
  </si>
  <si>
    <t>total Price (usd)</t>
    <phoneticPr fontId="3" type="noConversion"/>
  </si>
  <si>
    <t>P2-505</t>
  </si>
  <si>
    <t>Carton box</t>
  </si>
  <si>
    <t>565*300*315mm</t>
  </si>
  <si>
    <t>PLT</t>
  </si>
  <si>
    <t>P2-505-01</t>
  </si>
  <si>
    <t>Paper board</t>
  </si>
  <si>
    <t>545*280*3mm</t>
  </si>
  <si>
    <t>TRAY</t>
  </si>
  <si>
    <t>545*280*45mm</t>
  </si>
  <si>
    <t>P0-193</t>
  </si>
  <si>
    <t>PE ESD bag</t>
  </si>
  <si>
    <t>P15-01</t>
  </si>
  <si>
    <t>Desiccant </t>
  </si>
  <si>
    <t>Total</t>
    <phoneticPr fontId="3" type="noConversion"/>
  </si>
  <si>
    <t>Exchange Rate need update by monthly.</t>
    <phoneticPr fontId="3" type="noConversion"/>
  </si>
  <si>
    <t>Amount</t>
    <phoneticPr fontId="3" type="noConversion"/>
  </si>
  <si>
    <t>Unit</t>
    <phoneticPr fontId="3" type="noConversion"/>
  </si>
  <si>
    <t>注释</t>
    <phoneticPr fontId="3" type="noConversion"/>
  </si>
  <si>
    <t>SMT Investment</t>
    <phoneticPr fontId="3" type="noConversion"/>
  </si>
  <si>
    <t>CNY</t>
    <phoneticPr fontId="3" type="noConversion"/>
  </si>
  <si>
    <t>TLA Investment Amount</t>
    <phoneticPr fontId="3" type="noConversion"/>
  </si>
  <si>
    <t>输入TLA线投资</t>
    <phoneticPr fontId="3" type="noConversion"/>
  </si>
  <si>
    <t>Total TLA Cost</t>
    <phoneticPr fontId="3" type="noConversion"/>
  </si>
  <si>
    <t>自动计算得出总投资</t>
    <phoneticPr fontId="3" type="noConversion"/>
  </si>
  <si>
    <t>Qty_Full Life Time</t>
    <phoneticPr fontId="3" type="noConversion"/>
  </si>
  <si>
    <t>Pcs</t>
    <phoneticPr fontId="3" type="noConversion"/>
  </si>
  <si>
    <t>整个生命周期的预计出货量</t>
    <phoneticPr fontId="3" type="noConversion"/>
  </si>
  <si>
    <t>1000pcswk*3years</t>
    <phoneticPr fontId="3" type="noConversion"/>
  </si>
  <si>
    <t>CT Per Piece</t>
    <phoneticPr fontId="3" type="noConversion"/>
  </si>
  <si>
    <t>Seconds</t>
    <phoneticPr fontId="3" type="noConversion"/>
  </si>
  <si>
    <t>瓶颈工时*人数</t>
    <phoneticPr fontId="3" type="noConversion"/>
  </si>
  <si>
    <t>Additional TLA Rate</t>
    <phoneticPr fontId="3" type="noConversion"/>
  </si>
  <si>
    <t>设备客供</t>
  </si>
  <si>
    <t>Revision Record</t>
  </si>
  <si>
    <t>Assumption</t>
  </si>
  <si>
    <t>Rev.</t>
  </si>
  <si>
    <t>Description of revision</t>
  </si>
  <si>
    <t>Date</t>
  </si>
  <si>
    <t>Revised by</t>
  </si>
  <si>
    <t>No.</t>
  </si>
  <si>
    <t>Items</t>
  </si>
  <si>
    <t>Comment</t>
  </si>
  <si>
    <r>
      <t>P035 Windshield Controller - 3k wk | Mexico (U703</t>
    </r>
    <r>
      <rPr>
        <sz val="9"/>
        <color rgb="FF000000"/>
        <rFont val="微软雅黑"/>
        <family val="2"/>
        <charset val="134"/>
      </rPr>
      <t>客户要求先不报)</t>
    </r>
    <phoneticPr fontId="101" type="noConversion"/>
  </si>
  <si>
    <t>EOL/flash will be updating while the customer is confirming</t>
    <phoneticPr fontId="101" type="noConversion"/>
  </si>
  <si>
    <t xml:space="preserve"> EEBOM changed; IE process changed; concept changed; ME bom changed quotation</t>
    <phoneticPr fontId="101" type="noConversion"/>
  </si>
  <si>
    <r>
      <t>TLA p station bottle neck 32s→</t>
    </r>
    <r>
      <rPr>
        <sz val="10"/>
        <rFont val="宋体"/>
        <family val="2"/>
        <charset val="134"/>
      </rPr>
      <t>58s, recommended bottlenect CT 35s→ 63s; EOL equipment 3 sets →2sets, total CT 75s; equipment cost changed, see TLA 0702 tab; tooling cost new added TLA segment highlight in yellow.</t>
    </r>
    <phoneticPr fontId="101" type="noConversion"/>
  </si>
  <si>
    <t>Attach label on the bracket and assemble edge clip with bracket</t>
  </si>
  <si>
    <t>Apply adhesion promoter on the bracket</t>
  </si>
  <si>
    <t>Paste the foam tape on the bracket</t>
  </si>
  <si>
    <t>Assemble the PCBA with bracket and fixed by 3 screws</t>
  </si>
  <si>
    <t>Assemble the camera fan with bracket and fixed by 3 screws</t>
  </si>
  <si>
    <t>EOL</t>
  </si>
  <si>
    <t>FVI</t>
  </si>
  <si>
    <t>Packing</t>
  </si>
  <si>
    <t>Indirect labor </t>
    <phoneticPr fontId="65" type="noConversion"/>
  </si>
  <si>
    <t>类别</t>
    <phoneticPr fontId="61" type="noConversion"/>
  </si>
  <si>
    <t>Cost/Year</t>
    <phoneticPr fontId="61" type="noConversion"/>
  </si>
  <si>
    <t>Time allocated to%</t>
    <phoneticPr fontId="61" type="noConversion"/>
  </si>
  <si>
    <t>already added to  column C</t>
    <phoneticPr fontId="62" type="noConversion"/>
  </si>
  <si>
    <t>Time allocated to%  5/24</t>
    <phoneticPr fontId="61" type="noConversion"/>
  </si>
  <si>
    <t>Headcount</t>
    <phoneticPr fontId="61" type="noConversion"/>
  </si>
  <si>
    <t>Product Qty</t>
    <phoneticPr fontId="61" type="noConversion"/>
  </si>
  <si>
    <t>Cost Per Product</t>
    <phoneticPr fontId="61" type="noConversion"/>
  </si>
  <si>
    <t>Description</t>
    <phoneticPr fontId="61" type="noConversion"/>
  </si>
  <si>
    <t>Factory Leader </t>
  </si>
  <si>
    <t>Operation</t>
  </si>
  <si>
    <t>厂长</t>
    <phoneticPr fontId="61" type="noConversion"/>
  </si>
  <si>
    <t>facility manager</t>
    <phoneticPr fontId="61" type="noConversion"/>
  </si>
  <si>
    <t>Manufacture supervisor </t>
  </si>
  <si>
    <t>1 for SMT 1 for TLA, 2 shifts, Mon.-Tur. Fri.-Sun.</t>
    <phoneticPr fontId="80" type="noConversion"/>
  </si>
  <si>
    <t>Material Handler</t>
  </si>
  <si>
    <t>4 for SMT 4 for TLA, 1 for data analysis and documentation</t>
  </si>
  <si>
    <t>从仓库开始有人要把料领出来，产线备料，生产结束以后没用完的料要回仓库</t>
  </si>
  <si>
    <t>2 shifts</t>
    <phoneticPr fontId="80" type="noConversion"/>
  </si>
  <si>
    <t>Production control </t>
  </si>
  <si>
    <t>2 for SMT 2 for TLA, 2 substock</t>
  </si>
  <si>
    <t>Quality control </t>
    <phoneticPr fontId="61" type="noConversion"/>
  </si>
  <si>
    <t>1 for IQC, 4 for SMT, 2 for TLA, 2 for FQC(final product quality control), 1 for packaging</t>
  </si>
  <si>
    <t>Mechanical Engineer</t>
  </si>
  <si>
    <t>R&amp;D</t>
  </si>
  <si>
    <t>Quality Engineer</t>
  </si>
  <si>
    <t>Process Engineer</t>
  </si>
  <si>
    <t>Supplier Quality Engineer</t>
  </si>
  <si>
    <t>EE</t>
  </si>
  <si>
    <t>ICT Engineer</t>
  </si>
  <si>
    <t>TLA Testing Engineer</t>
  </si>
  <si>
    <t>TLA Automation Engineer</t>
  </si>
  <si>
    <t>Equipment engineer</t>
  </si>
  <si>
    <t>1 for SMT 1 for TLA</t>
    <phoneticPr fontId="80" type="noConversion"/>
  </si>
  <si>
    <t xml:space="preserve">Reliability Engineer </t>
    <phoneticPr fontId="61" type="noConversion"/>
  </si>
  <si>
    <t xml:space="preserve">Industry engineer  </t>
    <phoneticPr fontId="61" type="noConversion"/>
  </si>
  <si>
    <t xml:space="preserve">FA Engineer </t>
    <phoneticPr fontId="61" type="noConversion"/>
  </si>
  <si>
    <t>Packaing Engineer</t>
    <phoneticPr fontId="61" type="noConversion"/>
  </si>
  <si>
    <t>System engineer</t>
    <phoneticPr fontId="61" type="noConversion"/>
  </si>
  <si>
    <t>Fixture engineer</t>
    <phoneticPr fontId="61" type="noConversion"/>
  </si>
  <si>
    <t xml:space="preserve">Line Technictian </t>
    <phoneticPr fontId="61" type="noConversion"/>
  </si>
  <si>
    <t>2 for SMT per shift, 1 for ICT, 4 for TLA assembly</t>
    <phoneticPr fontId="80" type="noConversion"/>
  </si>
  <si>
    <t>Line Maintenance</t>
    <phoneticPr fontId="61" type="noConversion"/>
  </si>
  <si>
    <t>1 for SMT 1 for TLA</t>
  </si>
  <si>
    <t>Project Management </t>
    <phoneticPr fontId="61" type="noConversion"/>
  </si>
  <si>
    <t xml:space="preserve">1TPM, 1PM </t>
    <phoneticPr fontId="61" type="noConversion"/>
  </si>
  <si>
    <t>EHS</t>
    <phoneticPr fontId="65" type="noConversion"/>
  </si>
  <si>
    <t>环境安全以及人员安全</t>
  </si>
  <si>
    <t>IT</t>
    <phoneticPr fontId="65" type="noConversion"/>
  </si>
  <si>
    <t>1 IT 1 MES (产品追溯 从原材料到产品出货</t>
    <phoneticPr fontId="61" type="noConversion"/>
  </si>
  <si>
    <t>Others(Buyer, planner,logistic staff) </t>
    <phoneticPr fontId="61" type="noConversion"/>
  </si>
  <si>
    <t>1 logistic, 2 buyer (1 for EE, 1 for ME), 2 planner(SMT+TLA), 3 sourcing,5 warehouse management(电子物料，结构物料，危险品物料，半成品物料，成品物料）, 1 for equipment sourcing</t>
    <phoneticPr fontId="61" type="noConversion"/>
  </si>
  <si>
    <t>每年cost上涨10%， 按照4年平均</t>
  </si>
  <si>
    <t>Time allocated to%  10/9</t>
    <phoneticPr fontId="61" type="noConversion"/>
  </si>
  <si>
    <t>ICT offline+ vaccum oven</t>
    <phoneticPr fontId="3" type="noConversion"/>
  </si>
  <si>
    <t>Edge clip (POM) - SAA control Retec</t>
    <phoneticPr fontId="3" type="noConversion"/>
  </si>
  <si>
    <t>Connector 2 (J9),Amphenol FCI, 10155502-A106KLF</t>
    <phoneticPr fontId="3" type="noConversion"/>
  </si>
  <si>
    <t>P035-1-8</t>
    <phoneticPr fontId="3" type="noConversion"/>
  </si>
  <si>
    <t>P035-1-9</t>
    <phoneticPr fontId="3" type="noConversion"/>
  </si>
  <si>
    <t>Connector 5 (J8) Hirose,FH52k-6s-0.5SH</t>
    <phoneticPr fontId="3" type="noConversion"/>
  </si>
  <si>
    <t>P035-1-7</t>
    <phoneticPr fontId="3" type="noConversion"/>
  </si>
  <si>
    <t>Material Sensor(FPC+Foam+E component)</t>
    <phoneticPr fontId="3" type="noConversion"/>
  </si>
  <si>
    <t>$0.72→$0.61</t>
    <phoneticPr fontId="3" type="noConversion"/>
  </si>
  <si>
    <t>2068584-00-B</t>
    <phoneticPr fontId="3" type="noConversion"/>
  </si>
  <si>
    <t>price availble to Q2 2026; LT:21days+raw material lead time ;MOQ 3000pcs ;interco:EXW Juarez(Wattera)</t>
    <phoneticPr fontId="3" type="noConversion"/>
  </si>
  <si>
    <t xml:space="preserve">OSS </t>
    <phoneticPr fontId="3" type="noConversion"/>
  </si>
  <si>
    <t>spare parts</t>
    <phoneticPr fontId="3" type="noConversion"/>
  </si>
  <si>
    <t>NM-EJP6A(Add automatic solder paste )</t>
    <phoneticPr fontId="3" type="noConversion"/>
  </si>
  <si>
    <t>P035-2-1</t>
    <phoneticPr fontId="3" type="noConversion"/>
  </si>
  <si>
    <t>P035-2-4</t>
    <phoneticPr fontId="3" type="noConversion"/>
  </si>
  <si>
    <t>P035-2-5</t>
    <phoneticPr fontId="3" type="noConversion"/>
  </si>
  <si>
    <t>P035-2-6</t>
    <phoneticPr fontId="3" type="noConversion"/>
  </si>
  <si>
    <t>P035-2-7</t>
    <phoneticPr fontId="3" type="noConversion"/>
  </si>
  <si>
    <t>P035-3</t>
    <phoneticPr fontId="3" type="noConversion"/>
  </si>
  <si>
    <t>BRAKET</t>
    <phoneticPr fontId="3" type="noConversion"/>
  </si>
  <si>
    <t>PET-GF35</t>
    <phoneticPr fontId="3" type="noConversion"/>
  </si>
  <si>
    <r>
      <t>6→</t>
    </r>
    <r>
      <rPr>
        <sz val="10"/>
        <rFont val="等线"/>
        <family val="2"/>
        <charset val="134"/>
      </rPr>
      <t>9screw</t>
    </r>
    <r>
      <rPr>
        <sz val="10"/>
        <rFont val="Arial"/>
        <family val="2"/>
      </rPr>
      <t>s</t>
    </r>
    <phoneticPr fontId="3" type="noConversion"/>
  </si>
  <si>
    <r>
      <t>2102664-10-A →</t>
    </r>
    <r>
      <rPr>
        <b/>
        <sz val="10"/>
        <rFont val="等线"/>
        <family val="1"/>
        <charset val="134"/>
      </rPr>
      <t xml:space="preserve"> </t>
    </r>
    <r>
      <rPr>
        <b/>
        <sz val="10"/>
        <rFont val="Times New Roman"/>
        <family val="1"/>
      </rPr>
      <t>2068583-00-D</t>
    </r>
    <phoneticPr fontId="3" type="noConversion"/>
  </si>
  <si>
    <t>desgin change, new added screws and connectors.</t>
    <phoneticPr fontId="3" type="noConversion"/>
  </si>
  <si>
    <t>MOQ:3k | LT:14wks</t>
    <phoneticPr fontId="3" type="noConversion"/>
  </si>
  <si>
    <t>MOQ:1k | LT:14wks</t>
    <phoneticPr fontId="3" type="noConversion"/>
  </si>
  <si>
    <t>Connector4(J6) Amphenol FCI,1015502-B106KLF supplier: FCI Nantong</t>
    <phoneticPr fontId="3" type="noConversion"/>
  </si>
  <si>
    <r>
      <t>Design change: PCB enlarged; EE and ME increased; screw 6→</t>
    </r>
    <r>
      <rPr>
        <sz val="10"/>
        <rFont val="宋体"/>
        <family val="2"/>
        <charset val="134"/>
      </rPr>
      <t xml:space="preserve">9； </t>
    </r>
    <phoneticPr fontId="3" type="noConversion"/>
  </si>
  <si>
    <t>Part name(Jan.16th)</t>
    <phoneticPr fontId="3" type="noConversion"/>
  </si>
  <si>
    <t>12/15 version</t>
    <phoneticPr fontId="3" type="noConversion"/>
  </si>
  <si>
    <t>5/12 Version</t>
    <phoneticPr fontId="3" type="noConversion"/>
  </si>
  <si>
    <t>Part Type</t>
  </si>
  <si>
    <t>Appearance</t>
  </si>
  <si>
    <t>Storage Life (Day)</t>
    <phoneticPr fontId="3" type="noConversion"/>
  </si>
  <si>
    <t>supplier</t>
    <phoneticPr fontId="3" type="noConversion"/>
  </si>
  <si>
    <t>MOQ</t>
    <phoneticPr fontId="3" type="noConversion"/>
  </si>
  <si>
    <t>LT(WKS)</t>
    <phoneticPr fontId="3" type="noConversion"/>
  </si>
  <si>
    <t>Source</t>
  </si>
  <si>
    <t>电子物料</t>
  </si>
  <si>
    <t>N/A</t>
  </si>
  <si>
    <t>730</t>
  </si>
  <si>
    <t>Yageo</t>
    <phoneticPr fontId="109" type="noConversion"/>
  </si>
  <si>
    <t>SINO FAITH TECHNOLOGY DEVELOPMENT L</t>
  </si>
  <si>
    <t>C1, C4, C8, C34, C406, C420, C430</t>
  </si>
  <si>
    <t>Galaxy Holding International CO.,Li</t>
  </si>
  <si>
    <t>ARROW ELECTRONICS INC</t>
  </si>
  <si>
    <t>ARROW ELECTRONICS ASIA (S) PTE.LTD</t>
  </si>
  <si>
    <t>TTI ELECTRONICS ASIA PTE LTD.</t>
  </si>
  <si>
    <t>FOXTAR</t>
  </si>
  <si>
    <t>C2, C3, C6, C16, C308, C311, C412, C415, C616</t>
  </si>
  <si>
    <t>CL05B104KB54PNC</t>
  </si>
  <si>
    <t>GALAXY HOLDING INTERNATIONAL CO.,LI</t>
  </si>
  <si>
    <t>MurataElectronicsTrading(Shanghai)C</t>
  </si>
  <si>
    <t>TTI, INC.</t>
  </si>
  <si>
    <t>FOXTAR ELECTRONIC HK LIMITED</t>
  </si>
  <si>
    <t>powertek</t>
  </si>
  <si>
    <t>8-12W</t>
  </si>
  <si>
    <t>C5, C30, C31, C38, C39, C44, C45, C48, C305, C315, C316, C317, C421, C431, C607, C614</t>
  </si>
  <si>
    <t>galaxy</t>
  </si>
  <si>
    <t>CAP,X7R,0.1uF,100V,10%,0603S(1608S),AEC-Q</t>
  </si>
  <si>
    <t>TTI</t>
  </si>
  <si>
    <t>C7, C60, C309, C310, C403, C405, C601, C602, C605, C606</t>
  </si>
  <si>
    <t>C9, C13, C19, C20, C21, C22, C23, C24, C25, C26, C43, C52, C53, C54, C55, C56, C57, C58, C59, C301, C304, C314, C318, C424, C620, C701, C702, C703</t>
  </si>
  <si>
    <t>CAPACITOR 0805 (2012) 2u2 X7R 25V  [AEC-Q]</t>
  </si>
  <si>
    <t>Hebei Cong chao Electronic Technolo</t>
  </si>
  <si>
    <t>C10, C11, C37, C40, C307, C416, C417</t>
  </si>
  <si>
    <t>MCASJ21GAB7106KTNA01</t>
  </si>
  <si>
    <t>1008944-00-A</t>
  </si>
  <si>
    <t>CAPACITOR 0805 (2012) 10uF X7R 6V3  [AEC-Q] [RoHS]</t>
  </si>
  <si>
    <t>TTI ELECTRONICS ASIA PTE LTD</t>
  </si>
  <si>
    <t>C12, C33, C41</t>
  </si>
  <si>
    <t>02-00000724</t>
  </si>
  <si>
    <t>GCM21BR70J106KE22L</t>
  </si>
  <si>
    <t>CGA4J1X7R0J106K125AC</t>
  </si>
  <si>
    <t>foxdar</t>
  </si>
  <si>
    <t>C0805C106K9RACAUTO</t>
  </si>
  <si>
    <t>C14, C17, C18, C27, C28</t>
  </si>
  <si>
    <t>CGA2B3X7S2A103K050BB</t>
  </si>
  <si>
    <t>1101847-00-A</t>
  </si>
  <si>
    <t>CAPACITOR 0402 (1005) - - - [AEC-Q] [RoHS]</t>
  </si>
  <si>
    <t>C15, C42, C46, C47</t>
  </si>
  <si>
    <t>CAPACITOR 0603(1608) 220pF COG 100V  [AEC-Q]</t>
  </si>
  <si>
    <t>CAPACITOR 0603(1608) 1uF X7R 25V  [AEC-Q]</t>
  </si>
  <si>
    <t>C35, C419, C422, C429, C432</t>
  </si>
  <si>
    <t>C302, C303, C433, C434</t>
  </si>
  <si>
    <t>He Hong</t>
  </si>
  <si>
    <t>C306, C423, C603, C617, C618, C619, C622</t>
  </si>
  <si>
    <t>MCASU063SCG180JFNA01</t>
    <phoneticPr fontId="3" type="noConversion"/>
  </si>
  <si>
    <t>JINGNUO</t>
  </si>
  <si>
    <t>C401, C402, C604, C608, C609, C610, C611, C612, C613</t>
  </si>
  <si>
    <t>CAPACITOR 0603(1608) 4n7 X7R 100V  [AEC-Q]</t>
  </si>
  <si>
    <t>12weeks</t>
  </si>
  <si>
    <t>12weeks</t>
    <phoneticPr fontId="3" type="noConversion"/>
  </si>
  <si>
    <t>sinofaith</t>
  </si>
  <si>
    <t>C407, C408</t>
  </si>
  <si>
    <t>TTI US 4/24补充报价</t>
  </si>
  <si>
    <t>C410, C411</t>
  </si>
  <si>
    <t>UUD1E221MNL1GS</t>
  </si>
  <si>
    <t>1940664-00-A</t>
  </si>
  <si>
    <t>CAP,AE,220uF,25V,20%,SM,RDL,8X10MM,AEC-Q</t>
  </si>
  <si>
    <t>C428</t>
  </si>
  <si>
    <t>EMVY250ARA221MHA0G</t>
  </si>
  <si>
    <t>Chemi-Con</t>
  </si>
  <si>
    <t>MAL215097612E3</t>
  </si>
  <si>
    <t>CGA3E1X7T0J106M080AC</t>
  </si>
  <si>
    <t>1778734-00-A</t>
  </si>
  <si>
    <t>CAP,X7T,10UF,6.3V,20%,0603(1608),AEC-Q</t>
  </si>
  <si>
    <t>C621</t>
  </si>
  <si>
    <t>GCM188D70J106ME36D</t>
  </si>
  <si>
    <t>GCM188D70J106ME36J</t>
  </si>
  <si>
    <t>04-00000112</t>
  </si>
  <si>
    <t>2005190</t>
  </si>
  <si>
    <t>DESD1CAN2SOQ-7</t>
  </si>
  <si>
    <t>TVS,DUAL,BIDI,200W,24V,CAN,SOT23,AEC-Q</t>
  </si>
  <si>
    <t>D2, D7, D8</t>
  </si>
  <si>
    <t>04-00000355</t>
  </si>
  <si>
    <t>DESD1CAN2SOQ-7-52</t>
  </si>
  <si>
    <t>04-00000308</t>
  </si>
  <si>
    <t>SESDONCAN1LT3G</t>
  </si>
  <si>
    <t>Onsemi</t>
  </si>
  <si>
    <t>04-00000211</t>
  </si>
  <si>
    <t>AQ24CANA-02HTG</t>
  </si>
  <si>
    <t>Littelfuse</t>
  </si>
  <si>
    <t>富瑞达电子香港有限公司</t>
  </si>
  <si>
    <t>04-00000111</t>
  </si>
  <si>
    <t>SM24CANA-02HTG</t>
  </si>
  <si>
    <t>CDSOT23-T24CAN-Q</t>
  </si>
  <si>
    <t>PESD2CANFD24VT-QR</t>
  </si>
  <si>
    <t>04-00000033</t>
  </si>
  <si>
    <t>PESD1CAN_215</t>
  </si>
  <si>
    <t>FLYKING TECHNOLOGY CO.,LIMITED</t>
  </si>
  <si>
    <t>NSVR02100HT1G</t>
  </si>
  <si>
    <t>2274017-00-A</t>
  </si>
  <si>
    <t>DIODE,SCHOTTKY,100V,200mA,SOD-323,AEC-Q</t>
  </si>
  <si>
    <t>D6, D404</t>
  </si>
  <si>
    <t>TEXAS INSTRUMENTS INC</t>
  </si>
  <si>
    <t>D301, D302</t>
  </si>
  <si>
    <t>SMAJ54AQ-13-F</t>
  </si>
  <si>
    <t>1641036-00-B</t>
  </si>
  <si>
    <t>SMAJ54AQ-13-F-52</t>
  </si>
  <si>
    <t>SMAJ54AQ-13-F-52-N</t>
  </si>
  <si>
    <t>ARROW</t>
    <phoneticPr fontId="3" type="noConversion"/>
  </si>
  <si>
    <t>STPS2L60ZFY</t>
  </si>
  <si>
    <t>1671081-00-A</t>
  </si>
  <si>
    <t xml:space="preserve">DIODE,SCHOTTKY,60V,2A,SOD123F,AEC-Q </t>
  </si>
  <si>
    <t>STMICROELECTRONICS INC</t>
  </si>
  <si>
    <t>D402, D403</t>
  </si>
  <si>
    <t>DFLS2100Q-7</t>
  </si>
  <si>
    <t>1756649-00-A</t>
  </si>
  <si>
    <t>DIO,SCHOTTKY,100V,2A,POWERDI123,AEC-Q</t>
  </si>
  <si>
    <t>D602</t>
  </si>
  <si>
    <t>DFLS2100Q-7-52</t>
  </si>
  <si>
    <t>BCL322520RT-220M-D</t>
  </si>
  <si>
    <t>1962252-00-A</t>
  </si>
  <si>
    <t>IND,22uH,1.2A,20%,SHLD,1210(3225),AEC-Q</t>
  </si>
  <si>
    <t>L1</t>
  </si>
  <si>
    <t>MAT-06CZE220M-V2-CY</t>
  </si>
  <si>
    <t>1483942-00-A</t>
  </si>
  <si>
    <t>IND,22uH,20%,2.5A,SM,AEC-Q</t>
  </si>
  <si>
    <t>Maglayers</t>
    <phoneticPr fontId="3" type="noConversion"/>
  </si>
  <si>
    <t>SQ2337ES-T1_GE3</t>
  </si>
  <si>
    <t>1812959-00-A</t>
  </si>
  <si>
    <t>XSTR,MOSFET,P-CH,80V,2.2A,SOT23-3,AEC-Q</t>
  </si>
  <si>
    <t>Q1</t>
  </si>
  <si>
    <t>Q2, Q4</t>
  </si>
  <si>
    <t>BSS123NH6433XTMA1</t>
    <phoneticPr fontId="3" type="noConversion"/>
  </si>
  <si>
    <t>IH</t>
    <phoneticPr fontId="3" type="noConversion"/>
  </si>
  <si>
    <t>16wks</t>
    <phoneticPr fontId="3" type="noConversion"/>
  </si>
  <si>
    <t>DMC3061SVTQ-13</t>
  </si>
  <si>
    <t>1817579-00-B</t>
  </si>
  <si>
    <t>MOSFET,N/P-CH,30V,TSOT26,AEC-Q,PPAP</t>
  </si>
  <si>
    <t>Q3, Q5, Q6, Q401</t>
  </si>
  <si>
    <t>DMC3061SVTQ-13-52</t>
  </si>
  <si>
    <t>DMC3061SVTQ-7</t>
  </si>
  <si>
    <t>DMC3061SVTQ-7-52</t>
  </si>
  <si>
    <t>DMC3061SVTQ-13-52-N</t>
  </si>
  <si>
    <t>DMC3061SVTQ-7-52-N</t>
  </si>
  <si>
    <t>PJS6603-AU</t>
  </si>
  <si>
    <t>Panjit</t>
  </si>
  <si>
    <t>PJS6603-AU_S1_008A1</t>
  </si>
  <si>
    <t>CRCW0402560RFKED</t>
  </si>
  <si>
    <t>1113388-00-A</t>
  </si>
  <si>
    <t>RES,SMD,560,62.5mW,±1%,0402,AECQ</t>
  </si>
  <si>
    <t>R1, R40, R43, R44</t>
  </si>
  <si>
    <t>AC0402FR-07560RL</t>
  </si>
  <si>
    <t>RK73H1ETTP5600F</t>
  </si>
  <si>
    <t>RMCH10K561FTH</t>
  </si>
  <si>
    <t>RES,SMD,10k,50mW,±1%,0201,AECQ</t>
  </si>
  <si>
    <t>R2, R3, R4, R5, R8, R12, R19, R30, R38, R53, R54, R55, R56, R58, R61, R63, R65, R66, R67, R68, R69, R70, R71, R72, R73, R74, R75, R76, R77, R78, R79, R84, R302, R306, R309, R311, R312, R408, R409, R411, R412, R413, R415, R602, R603, R604, R606, R610, R611, R612, R614, R624, R625, R628, R629, R633</t>
  </si>
  <si>
    <t>RES,SMD,47k,50mW,±1%,0201,AECQ</t>
  </si>
  <si>
    <t>R6, R9, R59, R607, R621, R623, R630, R634</t>
  </si>
  <si>
    <t>RES,SMD,100,50mW,±1%,0201,AECQ</t>
  </si>
  <si>
    <t>R7, R631, R635, R703, R704, R706</t>
  </si>
  <si>
    <t>RES,SMD,4.7k,50mW,±1%,0201,AECQ</t>
  </si>
  <si>
    <t>R10, R11, R13, R23, R39, R617, R618, R619</t>
  </si>
  <si>
    <t>R15, R16, R301, R401, R405, R705, R707, R708, R709, R711</t>
  </si>
  <si>
    <t>Galaxy</t>
  </si>
  <si>
    <t>Arrow Electronics China Limited</t>
  </si>
  <si>
    <t>RES,SMD,1k,50mW,±0.5%,0201,AECQ</t>
  </si>
  <si>
    <t>R17, R34, R36, R42, R45, R48</t>
  </si>
  <si>
    <t>RES,SMD,100k,50mW,±1%,0201,AECQ</t>
  </si>
  <si>
    <t>R18, R26, R31, R88, R89, R90, R91, R92, R303, R404, R410, R421, R620, R627</t>
  </si>
  <si>
    <t>AC0201FR-073K3L</t>
  </si>
  <si>
    <t>1736471-00-A</t>
  </si>
  <si>
    <t>RES,SMD,3.3k,50mW,±1%,0201,AECQ</t>
  </si>
  <si>
    <t>R21, R710</t>
  </si>
  <si>
    <t>RK73H1HTTC3301F</t>
  </si>
  <si>
    <t>RMCH06-332FPA</t>
  </si>
  <si>
    <t>ERJ1GJF3301C</t>
  </si>
  <si>
    <t>AC0201FR-0724K9L</t>
  </si>
  <si>
    <t>1736668-00-A</t>
  </si>
  <si>
    <t>RES,SMD,24.9k,50mW,±1%,0201,AECQ</t>
  </si>
  <si>
    <t>R27</t>
  </si>
  <si>
    <t>RK73H1HTTC2492F</t>
  </si>
  <si>
    <t>RMCH06-2492FPA</t>
  </si>
  <si>
    <t>ERJ1GJF2492C</t>
  </si>
  <si>
    <t>ERJ-2BWFR100X</t>
  </si>
  <si>
    <t>1613724-00-A</t>
  </si>
  <si>
    <t>RES,SHNT,0.1,250mW,±1%,0402,AECQ</t>
  </si>
  <si>
    <t>R37</t>
  </si>
  <si>
    <t>CRCW040233K0FKED</t>
  </si>
  <si>
    <t>1113588-00-A</t>
  </si>
  <si>
    <t>RES,SMD,33k,62.5mW,±1%,0402,AECQ</t>
  </si>
  <si>
    <t>R57</t>
  </si>
  <si>
    <t>AC0402FR-0733KL</t>
  </si>
  <si>
    <t>RMCH10K333FTH</t>
  </si>
  <si>
    <t>RK73H1ETTP3302F</t>
  </si>
  <si>
    <t>CRCW0603100KFKEA</t>
  </si>
  <si>
    <t>1114444-00-A</t>
  </si>
  <si>
    <t>RES,SMD,100k,100mW,±1%,0603,AECQ</t>
  </si>
  <si>
    <t>R60, R62, R613</t>
  </si>
  <si>
    <t>AC0603FR-07100KL</t>
  </si>
  <si>
    <t>RMCH16K104FTP</t>
  </si>
  <si>
    <t>RK73H1JTTD1003F</t>
  </si>
  <si>
    <t>CRCW04024K99FKED</t>
  </si>
  <si>
    <t>1113496-00-A</t>
  </si>
  <si>
    <t>RES,SMD,4.99k,62.5mW,±1%,0402,AECQ</t>
  </si>
  <si>
    <t>R64</t>
  </si>
  <si>
    <t>RMCH10K4991FTH</t>
  </si>
  <si>
    <t>RK73H1ETTP4991F</t>
  </si>
  <si>
    <t>ERJ-2RKF4991X</t>
  </si>
  <si>
    <t>1030362-00-A</t>
  </si>
  <si>
    <t>RESISTOR 0402 (1005) 0R0 JUMPER 1/16W  [AEC-Q]</t>
  </si>
  <si>
    <t>R80, R81, R82, R83</t>
  </si>
  <si>
    <t>03-00000613</t>
  </si>
  <si>
    <t>1736424-00-A</t>
  </si>
  <si>
    <t>RMCH06JPPA</t>
  </si>
  <si>
    <t>RES,0R00,0.063W,1%,0201(0603),AEC-Q</t>
  </si>
  <si>
    <t>R85, R87</t>
  </si>
  <si>
    <t>03-00000623</t>
  </si>
  <si>
    <t>RK73Z1HTTC</t>
    <phoneticPr fontId="3" type="noConversion"/>
  </si>
  <si>
    <t>pre: RK73Z1HTTCM</t>
    <phoneticPr fontId="3" type="noConversion"/>
  </si>
  <si>
    <t>ERJ1GJ0R00C</t>
  </si>
  <si>
    <t>RES,SMD,49.9,100mW,±1%,0603,AECQ</t>
  </si>
  <si>
    <t>R304, R305</t>
  </si>
  <si>
    <t>CRCW0402100KFKED</t>
  </si>
  <si>
    <t>RES,SMD,100k,62.5mW,±1%,0402,AECQ</t>
  </si>
  <si>
    <t>R310</t>
  </si>
  <si>
    <t>Sino Faith</t>
  </si>
  <si>
    <t>RES,PULS,1,1W,10%,2512,AECQ</t>
  </si>
  <si>
    <t>R402, R403</t>
  </si>
  <si>
    <t>AC0201FR-0726K7L</t>
  </si>
  <si>
    <t>1736665-00-A</t>
  </si>
  <si>
    <t>RES,SMD,26.7k,50mW,±1%,0201,AECQ</t>
  </si>
  <si>
    <t>RK73H1HTTC2672F</t>
  </si>
  <si>
    <t>RMCH06-2672FPA</t>
  </si>
  <si>
    <t>ERJ1GJF2672C</t>
  </si>
  <si>
    <t>RK73H1HTTC9092D</t>
  </si>
  <si>
    <t>1737833-00-A</t>
  </si>
  <si>
    <t>RES,SMD,90.9k,50mW,±0.5%,0201,AECQ</t>
  </si>
  <si>
    <t>RMCH06-9092DPA</t>
  </si>
  <si>
    <t>AC0201FR-0757K6L</t>
  </si>
  <si>
    <t>1736633-00-A</t>
  </si>
  <si>
    <t>RES,SMD,57.6k,50mW,±1%,0201,AECQ</t>
  </si>
  <si>
    <t>R422</t>
  </si>
  <si>
    <t>ERJ1GJF5762C</t>
  </si>
  <si>
    <t>RK73H1HTTC5762F</t>
  </si>
  <si>
    <t>RMCH06-5762FPA</t>
  </si>
  <si>
    <t>RES,SMD,510,100mW,±1%,0603,AECQ</t>
  </si>
  <si>
    <t>R608, R615</t>
  </si>
  <si>
    <t>AC0201FR-0714K7L</t>
  </si>
  <si>
    <t>1736689-00-A</t>
  </si>
  <si>
    <t>RES,SMD,14.7k,50mW,±1%,0201,AECQ</t>
  </si>
  <si>
    <t>R609</t>
  </si>
  <si>
    <t>RK73H1HTTC1472F</t>
  </si>
  <si>
    <t>RMCH06-1472FPA</t>
  </si>
  <si>
    <t>ERJ1GJF1472C</t>
  </si>
  <si>
    <t>RES,SMD,11k,50mW,±1%,0201,AECQ</t>
  </si>
  <si>
    <t>R616</t>
  </si>
  <si>
    <t>AC0201FR-072K2L</t>
  </si>
  <si>
    <t>1736475-00-A</t>
  </si>
  <si>
    <t>RES,SMD,2.2k,50mW,±1%,0201,AECQ</t>
  </si>
  <si>
    <t>R313, R314, R622</t>
  </si>
  <si>
    <t>RK73H1HTTC2201F</t>
  </si>
  <si>
    <t>RMCH06-222FPA</t>
  </si>
  <si>
    <t>ERJ1GJF2201C</t>
  </si>
  <si>
    <t>AC0201FR-07330KL</t>
  </si>
  <si>
    <t>1736435-00-A</t>
  </si>
  <si>
    <t>RES,SMD,330k,50mW,±1%,0201,AECQ</t>
  </si>
  <si>
    <t>R626</t>
  </si>
  <si>
    <t>RK73H1HTTC3303F</t>
  </si>
  <si>
    <t>ERJ1GJF3303C</t>
  </si>
  <si>
    <t>RMCH06-334FPA</t>
  </si>
  <si>
    <t>CRCW0603220KFKEA</t>
  </si>
  <si>
    <t>1114480-00-A</t>
  </si>
  <si>
    <t>RES,SMD,220k,100mW,±1%,0603,AECQ</t>
  </si>
  <si>
    <t>R632</t>
  </si>
  <si>
    <t>AC0603FR-07220KL</t>
  </si>
  <si>
    <t>RK73H1JTTD2203F</t>
  </si>
  <si>
    <t>RMCH16K224FTP</t>
  </si>
  <si>
    <t>AC0201FR-076K8L</t>
  </si>
  <si>
    <t>1736463-00-A</t>
  </si>
  <si>
    <t>RES,SMD,6.8k,50mW,±1%,0201,AECQ</t>
  </si>
  <si>
    <t>R701, R702</t>
  </si>
  <si>
    <t>RK73H1HTTC6801F</t>
  </si>
  <si>
    <t>RMCH06-682FPA</t>
  </si>
  <si>
    <t>ERJ1GJF6801C</t>
  </si>
  <si>
    <t>U1, U3, U603</t>
  </si>
  <si>
    <t>U2, U5</t>
  </si>
  <si>
    <t>LMR36503MSCQRPERQ1</t>
  </si>
  <si>
    <t>1800178-00-A</t>
  </si>
  <si>
    <t>IC,CONV,DC-DC,BUCK,ADJ,VQFN-HR9,AEC-Q</t>
  </si>
  <si>
    <t>INA241A3QDDFRQ1</t>
  </si>
  <si>
    <t>1933867-00-B</t>
  </si>
  <si>
    <t>IC,CURR SENSE AMP,INA241A3Q,SOT23-8,AEC-Q</t>
  </si>
  <si>
    <t>U6</t>
  </si>
  <si>
    <t>TCA9517DGKRQ1</t>
  </si>
  <si>
    <t>2280322-00-A</t>
  </si>
  <si>
    <t>IC,LVL-SHIFT,I2C,TCA9517-Q1,VSSOP8,AEC-Q</t>
  </si>
  <si>
    <t>U8, U9, U10</t>
  </si>
  <si>
    <t>U11, U302</t>
  </si>
  <si>
    <t>AD3301WBPCZ-AA-RL</t>
  </si>
  <si>
    <t>TCAL9539RTWRQ1.A</t>
  </si>
  <si>
    <t>2278795-00-A</t>
  </si>
  <si>
    <t>IC,I/O-EXP,16b,I2C,TCAL9539,WQFN24,AEC-Q</t>
  </si>
  <si>
    <t>U303</t>
  </si>
  <si>
    <t>LP2951-50QDRM3Q1</t>
  </si>
  <si>
    <t>2082270-00-A</t>
  </si>
  <si>
    <t>IC,REG,LDO,5V/ADJ,100mA,SOIC8,AEC-Q</t>
  </si>
  <si>
    <t>U402, U403</t>
  </si>
  <si>
    <t>NCV2951CDR2G</t>
  </si>
  <si>
    <t>IC,POWER SW,TPS1HC30-Q1,HTSSOP14,AEC-Q</t>
  </si>
  <si>
    <t>U601, U602</t>
  </si>
  <si>
    <t>LM2904BQDGKRQ1</t>
  </si>
  <si>
    <t>2052243-00-A</t>
  </si>
  <si>
    <t>IC,OPAMP,2CH,1.2MHz,LM2904B,VSSOP8,AEC-Q</t>
  </si>
  <si>
    <t>U604</t>
  </si>
  <si>
    <t>LM2904BYST</t>
  </si>
  <si>
    <t>ST Micro</t>
  </si>
  <si>
    <t>ARROW</t>
  </si>
  <si>
    <t>OPT4003DNPRQ1</t>
  </si>
  <si>
    <t>2001333-00-A</t>
  </si>
  <si>
    <t>IC,ALS,I2C,OPT4003-Q1,USON6,AEC-Q</t>
  </si>
  <si>
    <t>Xin-Link(HK) Technology Co., Limite</t>
  </si>
  <si>
    <t>NDK</t>
  </si>
  <si>
    <r>
      <t>Material : FR4 ,4layer
L*W*T: 147.19x141.06x1.6mm
DFM
panel pcs</t>
    </r>
    <r>
      <rPr>
        <b/>
        <sz val="12"/>
        <color rgb="FF000000"/>
        <rFont val="微软雅黑"/>
        <family val="2"/>
        <charset val="134"/>
      </rPr>
      <t>：3</t>
    </r>
    <r>
      <rPr>
        <b/>
        <sz val="12"/>
        <color rgb="FF000000"/>
        <rFont val="Arial"/>
        <family val="2"/>
      </rPr>
      <t xml:space="preserve">*2=6
</t>
    </r>
    <phoneticPr fontId="3" type="noConversion"/>
  </si>
  <si>
    <r>
      <t>P&amp;P1</t>
    </r>
    <r>
      <rPr>
        <sz val="14"/>
        <rFont val="微软雅黑"/>
        <family val="2"/>
        <charset val="134"/>
      </rPr>
      <t>：2.96</t>
    </r>
    <phoneticPr fontId="3" type="noConversion"/>
  </si>
  <si>
    <r>
      <t>P&amp;P2</t>
    </r>
    <r>
      <rPr>
        <sz val="14"/>
        <rFont val="微软雅黑"/>
        <family val="2"/>
        <charset val="134"/>
      </rPr>
      <t>：</t>
    </r>
    <r>
      <rPr>
        <sz val="14"/>
        <rFont val="Arial"/>
        <family val="2"/>
      </rPr>
      <t>3.12</t>
    </r>
    <phoneticPr fontId="3" type="noConversion"/>
  </si>
  <si>
    <r>
      <t>P&amp;P3</t>
    </r>
    <r>
      <rPr>
        <sz val="14"/>
        <rFont val="微软雅黑"/>
        <family val="2"/>
        <charset val="134"/>
      </rPr>
      <t>：4</t>
    </r>
    <phoneticPr fontId="3" type="noConversion"/>
  </si>
  <si>
    <r>
      <t>P&amp;P1</t>
    </r>
    <r>
      <rPr>
        <sz val="14"/>
        <rFont val="微软雅黑"/>
        <family val="2"/>
        <charset val="134"/>
      </rPr>
      <t>：</t>
    </r>
    <r>
      <rPr>
        <sz val="14"/>
        <rFont val="Arial"/>
        <family val="2"/>
      </rPr>
      <t>15.9</t>
    </r>
    <phoneticPr fontId="3" type="noConversion"/>
  </si>
  <si>
    <r>
      <t>P&amp;P2</t>
    </r>
    <r>
      <rPr>
        <sz val="14"/>
        <rFont val="微软雅黑"/>
        <family val="2"/>
        <charset val="134"/>
      </rPr>
      <t>：16.05</t>
    </r>
    <phoneticPr fontId="3" type="noConversion"/>
  </si>
  <si>
    <r>
      <t>P&amp;P3  1</t>
    </r>
    <r>
      <rPr>
        <sz val="14"/>
        <rFont val="微软雅黑"/>
        <family val="2"/>
        <charset val="134"/>
      </rPr>
      <t>7</t>
    </r>
    <r>
      <rPr>
        <sz val="14"/>
        <rFont val="Arial"/>
        <family val="2"/>
      </rPr>
      <t>.33</t>
    </r>
    <phoneticPr fontId="3" type="noConversion"/>
  </si>
  <si>
    <r>
      <t>P&amp;P4</t>
    </r>
    <r>
      <rPr>
        <sz val="14"/>
        <rFont val="微软雅黑"/>
        <family val="2"/>
        <charset val="134"/>
      </rPr>
      <t>：15.85</t>
    </r>
    <phoneticPr fontId="3" type="noConversion"/>
  </si>
  <si>
    <t>12061C105K4T2A</t>
    <phoneticPr fontId="3" type="noConversion"/>
  </si>
  <si>
    <t>galaxy</t>
    <phoneticPr fontId="3" type="noConversion"/>
  </si>
  <si>
    <t>Kemet</t>
    <phoneticPr fontId="3" type="noConversion"/>
  </si>
  <si>
    <t>ARROW ELECTRONICS ASIA (S) PTE.LTD</t>
    <phoneticPr fontId="3" type="noConversion"/>
  </si>
  <si>
    <t>SMAJ54AQ-13-F</t>
    <phoneticPr fontId="3" type="noConversion"/>
  </si>
  <si>
    <t>SMAJ54AQ-13-F-52</t>
    <phoneticPr fontId="3" type="noConversion"/>
  </si>
  <si>
    <t>STPS2L60ZFY</t>
    <phoneticPr fontId="3" type="noConversion"/>
  </si>
  <si>
    <t>ERJ-2BWFR100X</t>
    <phoneticPr fontId="3" type="noConversion"/>
  </si>
  <si>
    <t>INA241A3QDDFRQ1</t>
    <phoneticPr fontId="3" type="noConversion"/>
  </si>
  <si>
    <t>TCA9517DGKRQ1</t>
    <phoneticPr fontId="3" type="noConversion"/>
  </si>
  <si>
    <t>TCAL9539RTWRQ1.A</t>
    <phoneticPr fontId="3" type="noConversion"/>
  </si>
  <si>
    <t>LMR38025SQDRRRQ1</t>
    <phoneticPr fontId="3" type="noConversion"/>
  </si>
  <si>
    <t>LM2904BQDGKRQ1</t>
    <phoneticPr fontId="3" type="noConversion"/>
  </si>
  <si>
    <t>LM2904BYST</t>
    <phoneticPr fontId="3" type="noConversion"/>
  </si>
  <si>
    <t>usage(lowest UP)</t>
    <phoneticPr fontId="3" type="noConversion"/>
  </si>
  <si>
    <t>Unit Price</t>
    <phoneticPr fontId="3" type="noConversion"/>
  </si>
  <si>
    <t>DAP unit price</t>
    <phoneticPr fontId="3" type="noConversion"/>
  </si>
  <si>
    <t>total price</t>
    <phoneticPr fontId="3" type="noConversion"/>
  </si>
  <si>
    <t>43.04mm</t>
    <phoneticPr fontId="61" type="noConversion"/>
  </si>
  <si>
    <t>126.6mm</t>
    <phoneticPr fontId="61" type="noConversion"/>
  </si>
  <si>
    <t>155.66mm</t>
    <phoneticPr fontId="61" type="noConversion"/>
  </si>
  <si>
    <t>259.19mm</t>
    <phoneticPr fontId="61" type="noConversion"/>
  </si>
  <si>
    <t>CPH
Without De-rate</t>
  </si>
  <si>
    <t>Placements
per P&amp;P</t>
  </si>
  <si>
    <t>read code</t>
    <phoneticPr fontId="61" type="noConversion"/>
  </si>
  <si>
    <t xml:space="preserve">FVI </t>
    <phoneticPr fontId="3" type="noConversion"/>
  </si>
  <si>
    <t>Packaging</t>
    <phoneticPr fontId="3" type="noConversion"/>
  </si>
  <si>
    <r>
      <t>4→</t>
    </r>
    <r>
      <rPr>
        <sz val="10"/>
        <rFont val="宋体"/>
        <family val="2"/>
        <charset val="134"/>
      </rPr>
      <t>2</t>
    </r>
    <phoneticPr fontId="3" type="noConversion"/>
  </si>
  <si>
    <r>
      <t>4→</t>
    </r>
    <r>
      <rPr>
        <sz val="10"/>
        <rFont val="宋体"/>
        <family val="2"/>
        <charset val="134"/>
      </rPr>
      <t>8</t>
    </r>
    <phoneticPr fontId="3" type="noConversion"/>
  </si>
  <si>
    <t>not updated yet</t>
    <phoneticPr fontId="3" type="noConversion"/>
  </si>
  <si>
    <t>fixture</t>
    <phoneticPr fontId="3" type="noConversion"/>
  </si>
  <si>
    <t xml:space="preserve">1k/wk Mexico </t>
    <phoneticPr fontId="3" type="noConversion"/>
  </si>
  <si>
    <r>
      <rPr>
        <b/>
        <sz val="10"/>
        <color rgb="FFFF0000"/>
        <rFont val="Times New Roman"/>
        <family val="1"/>
      </rPr>
      <t xml:space="preserve">THS sensor  </t>
    </r>
    <r>
      <rPr>
        <sz val="10"/>
        <rFont val="Times New Roman"/>
        <family val="1"/>
      </rPr>
      <t xml:space="preserve">FPC + Foam + IC + Capacitance </t>
    </r>
    <phoneticPr fontId="3" type="noConversion"/>
  </si>
  <si>
    <t>add 12% freight - evaluated from Hillstone</t>
    <phoneticPr fontId="3" type="noConversion"/>
  </si>
  <si>
    <t>add15% freight</t>
    <phoneticPr fontId="3" type="noConversion"/>
  </si>
  <si>
    <r>
      <t xml:space="preserve">PET-GF35 / Steel / Brass(PET-GF35 / Steel / Brass) </t>
    </r>
    <r>
      <rPr>
        <sz val="10"/>
        <rFont val="等线"/>
        <family val="1"/>
        <charset val="134"/>
      </rPr>
      <t xml:space="preserve"> waterra TAVL</t>
    </r>
    <phoneticPr fontId="3" type="noConversion"/>
  </si>
  <si>
    <t>usage 0.3→0.8→ 0.51→2→1.5</t>
    <phoneticPr fontId="3" type="noConversion"/>
  </si>
  <si>
    <t>$1.41 → $0.7597 →3.6+8% freight fee, TAVL Mexico by sea → 4.32 Mexico by air DAP, 1000pcs, 12wks</t>
    <phoneticPr fontId="3" type="noConversion"/>
  </si>
  <si>
    <t>MFR</t>
    <phoneticPr fontId="3" type="noConversion"/>
  </si>
  <si>
    <t>price$</t>
    <phoneticPr fontId="3" type="noConversion"/>
  </si>
  <si>
    <t>DAP price$</t>
    <phoneticPr fontId="3" type="noConversion"/>
  </si>
  <si>
    <t>total Price$</t>
    <phoneticPr fontId="3" type="noConversion"/>
  </si>
  <si>
    <t>Sourcing Remark</t>
    <phoneticPr fontId="3" type="noConversion"/>
  </si>
  <si>
    <t>Owner</t>
    <phoneticPr fontId="3" type="noConversion"/>
  </si>
  <si>
    <t>position</t>
    <phoneticPr fontId="3" type="noConversion"/>
  </si>
  <si>
    <t>SINO FAITH</t>
    <phoneticPr fontId="109" type="noConversion"/>
  </si>
  <si>
    <t>GAlAXY</t>
    <phoneticPr fontId="3" type="noConversion"/>
  </si>
  <si>
    <t>MP</t>
    <phoneticPr fontId="3" type="noConversion"/>
  </si>
  <si>
    <t>FOXTAR</t>
    <phoneticPr fontId="3" type="noConversion"/>
  </si>
  <si>
    <t>JINGNUO OVERSEA(HK)CO.,LIMITED</t>
  </si>
  <si>
    <t>Set up Powertek price under ATM</t>
    <phoneticPr fontId="3" type="noConversion"/>
  </si>
  <si>
    <t>PM</t>
    <phoneticPr fontId="3" type="noConversion"/>
  </si>
  <si>
    <t>Cong chao</t>
    <phoneticPr fontId="3" type="noConversion"/>
  </si>
  <si>
    <t>MCASJ21GAB7106KTNA01</t>
    <phoneticPr fontId="3" type="noConversion"/>
  </si>
  <si>
    <t>Jingnuo</t>
  </si>
  <si>
    <t>Check if TTI Inc support better price</t>
    <phoneticPr fontId="3" type="noConversion"/>
  </si>
  <si>
    <t>Azbel</t>
    <phoneticPr fontId="3" type="noConversion"/>
  </si>
  <si>
    <t>Set up Galaxy price under ATM</t>
    <phoneticPr fontId="3" type="noConversion"/>
  </si>
  <si>
    <t>Set up Murata price under ATM</t>
    <phoneticPr fontId="3" type="noConversion"/>
  </si>
  <si>
    <t>Set up He Hong Price</t>
    <phoneticPr fontId="3" type="noConversion"/>
  </si>
  <si>
    <t>Future NA</t>
  </si>
  <si>
    <t>set up TTI price</t>
    <phoneticPr fontId="3" type="noConversion"/>
  </si>
  <si>
    <t>CGA3E1X7T0J106M080AC</t>
    <phoneticPr fontId="3" type="noConversion"/>
  </si>
  <si>
    <t>TDK</t>
    <phoneticPr fontId="3" type="noConversion"/>
  </si>
  <si>
    <t>Check Arrow US price</t>
    <phoneticPr fontId="3" type="noConversion"/>
  </si>
  <si>
    <t>NSVR02100HT1G</t>
    <phoneticPr fontId="3" type="noConversion"/>
  </si>
  <si>
    <t>Powertek Group Co., LIMITED</t>
  </si>
  <si>
    <t>TI</t>
    <phoneticPr fontId="3" type="noConversion"/>
  </si>
  <si>
    <t>Arrow Inc</t>
    <phoneticPr fontId="3" type="noConversion"/>
  </si>
  <si>
    <t>RFQing</t>
    <phoneticPr fontId="3" type="noConversion"/>
  </si>
  <si>
    <t>ACT1210E-241-2P</t>
    <phoneticPr fontId="3" type="noConversion"/>
  </si>
  <si>
    <t>Need PM confirm Price</t>
    <phoneticPr fontId="3" type="noConversion"/>
  </si>
  <si>
    <t>MAT-06CZE220M-V2-CY</t>
    <phoneticPr fontId="3" type="noConversion"/>
  </si>
  <si>
    <t>SINO FAITH</t>
    <phoneticPr fontId="3" type="noConversion"/>
  </si>
  <si>
    <t>BSS123Q-13</t>
    <phoneticPr fontId="3" type="noConversion"/>
  </si>
  <si>
    <t>Set up Sinofaith Price</t>
    <phoneticPr fontId="3" type="noConversion"/>
  </si>
  <si>
    <t>TTI</t>
    <phoneticPr fontId="3" type="noConversion"/>
  </si>
  <si>
    <t xml:space="preserve">TTI US </t>
    <phoneticPr fontId="3" type="noConversion"/>
  </si>
  <si>
    <t>删除替代料</t>
    <phoneticPr fontId="3" type="noConversion"/>
  </si>
  <si>
    <t>Arrow Electronics China Limited</t>
    <phoneticPr fontId="3" type="noConversion"/>
  </si>
  <si>
    <t>sinofaith</t>
    <phoneticPr fontId="3" type="noConversion"/>
  </si>
  <si>
    <t>AC0201FR-0757K6L</t>
    <phoneticPr fontId="3" type="noConversion"/>
  </si>
  <si>
    <t>CRCW0603510RFKEA</t>
    <phoneticPr fontId="3" type="noConversion"/>
  </si>
  <si>
    <t>TTI US</t>
    <phoneticPr fontId="3" type="noConversion"/>
  </si>
  <si>
    <t>Set up TI Pricce</t>
    <phoneticPr fontId="3" type="noConversion"/>
  </si>
  <si>
    <t>ADI</t>
    <phoneticPr fontId="3" type="noConversion"/>
  </si>
  <si>
    <t>ARROW ELECTRONICS INC</t>
    <phoneticPr fontId="3" type="noConversion"/>
  </si>
  <si>
    <t>TI</t>
    <phoneticPr fontId="3" type="noConversion"/>
  </si>
  <si>
    <t>Set up Powertek Pricce</t>
    <phoneticPr fontId="3" type="noConversion"/>
  </si>
  <si>
    <t>Set up Arrow Price</t>
    <phoneticPr fontId="3" type="noConversion"/>
  </si>
  <si>
    <t>MP Set up Daishinku price under ATM</t>
    <phoneticPr fontId="3" type="noConversion"/>
  </si>
  <si>
    <t>Stella Quoted</t>
    <phoneticPr fontId="3" type="noConversion"/>
  </si>
  <si>
    <t>lowest price Usage</t>
    <phoneticPr fontId="3" type="noConversion"/>
  </si>
  <si>
    <t>Project Code</t>
  </si>
  <si>
    <t>Solder Paste Type</t>
  </si>
  <si>
    <t>Solder Pad area</t>
  </si>
  <si>
    <t>Printing thickness</t>
  </si>
  <si>
    <t>Solder paste volume</t>
  </si>
  <si>
    <t>Solder paste density</t>
  </si>
  <si>
    <t>Net weight of solder paste(g)</t>
  </si>
  <si>
    <t>Loss（30%）</t>
  </si>
  <si>
    <t>Theoretical gram weight 
of solder paste</t>
  </si>
  <si>
    <t>Final Usage（g)</t>
  </si>
  <si>
    <t>P035</t>
    <phoneticPr fontId="61" type="noConversion"/>
  </si>
  <si>
    <t>INDIUM10.8HF SAC305 T4.5 89%</t>
    <phoneticPr fontId="61" type="noConversion"/>
  </si>
  <si>
    <t>ME RFQ资料0.3g</t>
    <phoneticPr fontId="61" type="noConversion"/>
  </si>
  <si>
    <t>INDIUM10.8HF SAC305 T4.5 90%</t>
  </si>
  <si>
    <t>有通孔元件，需要较多锡量</t>
    <phoneticPr fontId="61" type="noConversion"/>
  </si>
  <si>
    <t>珍珠棉</t>
  </si>
  <si>
    <t>单箱数量</t>
  </si>
  <si>
    <t>编号</t>
  </si>
  <si>
    <t>名称</t>
  </si>
  <si>
    <t>单箱用量</t>
  </si>
  <si>
    <t>单价</t>
  </si>
  <si>
    <t>P2-697</t>
  </si>
  <si>
    <t>纸箱</t>
  </si>
  <si>
    <t>P2-697-01</t>
  </si>
  <si>
    <t>隔板</t>
  </si>
  <si>
    <t>P3-6470-PS-ESD</t>
  </si>
  <si>
    <t>吸塑盘</t>
  </si>
  <si>
    <t>P2-697-02</t>
  </si>
  <si>
    <t>干燥剂</t>
  </si>
  <si>
    <r>
      <t>PE</t>
    </r>
    <r>
      <rPr>
        <sz val="10.5"/>
        <rFont val="宋体"/>
        <family val="3"/>
        <charset val="134"/>
      </rPr>
      <t>袋</t>
    </r>
  </si>
  <si>
    <r>
      <t>$1.2non-DAP→ $0.74 non DAP+10%frieght fee →</t>
    </r>
    <r>
      <rPr>
        <sz val="10"/>
        <rFont val="宋体"/>
        <family val="2"/>
        <charset val="134"/>
      </rPr>
      <t xml:space="preserve"> $0.37+10% frieght fee</t>
    </r>
    <phoneticPr fontId="3" type="noConversion"/>
  </si>
  <si>
    <r>
      <t>（</t>
    </r>
    <r>
      <rPr>
        <sz val="10"/>
        <rFont val="Arial"/>
        <family val="2"/>
      </rPr>
      <t xml:space="preserve"> Dynamic TAVL</t>
    </r>
    <r>
      <rPr>
        <sz val="10"/>
        <rFont val="宋体"/>
        <family val="3"/>
        <charset val="134"/>
      </rPr>
      <t>）</t>
    </r>
    <phoneticPr fontId="3" type="noConversion"/>
  </si>
  <si>
    <t>FCI  NantongTAVL</t>
    <phoneticPr fontId="3" type="noConversion"/>
  </si>
  <si>
    <r>
      <rPr>
        <sz val="10"/>
        <rFont val="Arial"/>
        <family val="3"/>
      </rPr>
      <t xml:space="preserve">place holder </t>
    </r>
    <r>
      <rPr>
        <sz val="10"/>
        <rFont val="等线"/>
        <family val="3"/>
        <charset val="134"/>
      </rPr>
      <t>￥</t>
    </r>
    <r>
      <rPr>
        <sz val="10"/>
        <rFont val="Arial"/>
        <family val="3"/>
      </rPr>
      <t xml:space="preserve">0.14 only for foam  </t>
    </r>
    <r>
      <rPr>
        <sz val="10"/>
        <rFont val="宋体"/>
        <family val="3"/>
        <charset val="134"/>
      </rPr>
      <t>→</t>
    </r>
    <r>
      <rPr>
        <sz val="10"/>
        <rFont val="Arial"/>
        <family val="3"/>
      </rPr>
      <t xml:space="preserve"> $3.00 +10%freight supplier: Laird TAVL</t>
    </r>
    <phoneticPr fontId="3" type="noConversion"/>
  </si>
  <si>
    <t xml:space="preserve">Laird TAVL </t>
    <phoneticPr fontId="3" type="noConversion"/>
  </si>
  <si>
    <t>Samtec TAVL</t>
    <phoneticPr fontId="3" type="noConversion"/>
  </si>
  <si>
    <t>Arrow TAVL</t>
    <phoneticPr fontId="3" type="noConversion"/>
  </si>
  <si>
    <t>no price yet</t>
    <phoneticPr fontId="3" type="noConversion"/>
  </si>
  <si>
    <t>Supplier(TAVL / SAA AVL)</t>
    <phoneticPr fontId="3" type="noConversion"/>
  </si>
  <si>
    <t>remark</t>
    <phoneticPr fontId="3" type="noConversion"/>
  </si>
  <si>
    <t>Sinbon TAVL</t>
    <phoneticPr fontId="3" type="noConversion"/>
  </si>
  <si>
    <t>V9198 – Fathom Manufacturing, MOQ: 1000PCS, $27.69/pcs soft tooling TAVL for sample ordering</t>
    <phoneticPr fontId="3" type="noConversion"/>
  </si>
  <si>
    <r>
      <t>Laird US  TAVL</t>
    </r>
    <r>
      <rPr>
        <sz val="10"/>
        <rFont val="等线"/>
        <family val="2"/>
        <charset val="134"/>
      </rPr>
      <t>；</t>
    </r>
    <r>
      <rPr>
        <sz val="10"/>
        <color rgb="FFFF0000"/>
        <rFont val="等线"/>
        <family val="2"/>
        <charset val="134"/>
      </rPr>
      <t xml:space="preserve">will </t>
    </r>
    <r>
      <rPr>
        <sz val="10"/>
        <color rgb="FFFF0000"/>
        <rFont val="Arial"/>
        <family val="2"/>
      </rPr>
      <t>Romove</t>
    </r>
    <r>
      <rPr>
        <sz val="10"/>
        <color rgb="FFFF0000"/>
        <rFont val="等线"/>
        <family val="2"/>
        <charset val="134"/>
      </rPr>
      <t>，</t>
    </r>
    <r>
      <rPr>
        <sz val="10"/>
        <color rgb="FFFF0000"/>
        <rFont val="Arial"/>
        <family val="2"/>
      </rPr>
      <t>Rechecking</t>
    </r>
    <phoneticPr fontId="3" type="noConversion"/>
  </si>
  <si>
    <r>
      <t>FCI  india TAVL</t>
    </r>
    <r>
      <rPr>
        <sz val="10"/>
        <color rgb="FFFF0000"/>
        <rFont val="Arial"/>
        <family val="2"/>
      </rPr>
      <t xml:space="preserve">( </t>
    </r>
    <r>
      <rPr>
        <sz val="10"/>
        <color rgb="FFFF0000"/>
        <rFont val="宋体"/>
        <family val="2"/>
        <charset val="134"/>
      </rPr>
      <t>参考价，非</t>
    </r>
    <r>
      <rPr>
        <sz val="10"/>
        <color rgb="FFFF0000"/>
        <rFont val="Arial"/>
        <family val="2"/>
      </rPr>
      <t>MP Price</t>
    </r>
    <r>
      <rPr>
        <sz val="10"/>
        <color rgb="FFFF0000"/>
        <rFont val="宋体"/>
        <family val="2"/>
        <charset val="134"/>
      </rPr>
      <t>）</t>
    </r>
    <phoneticPr fontId="3" type="noConversion"/>
  </si>
  <si>
    <t>Nidec TAVL</t>
    <phoneticPr fontId="3" type="noConversion"/>
  </si>
  <si>
    <t>Optimized packaging solution on Mar.3rd,2026</t>
    <phoneticPr fontId="3" type="noConversion"/>
  </si>
  <si>
    <t>remark</t>
    <phoneticPr fontId="3" type="noConversion"/>
  </si>
  <si>
    <t>Feb.11th cancelled</t>
    <phoneticPr fontId="3" type="noConversion"/>
  </si>
  <si>
    <t>Mar.4th cancelled</t>
    <phoneticPr fontId="3" type="noConversion"/>
  </si>
  <si>
    <t>2223230-00-A</t>
  </si>
  <si>
    <t>GCJ32EC72A106KE01</t>
  </si>
  <si>
    <t>CL32Y106KCJ6PJE</t>
  </si>
  <si>
    <t>CNA6P1X7R2A106K250AE</t>
  </si>
  <si>
    <t>CAP,X7S,10uF,100V,10%,1210S(3225S),AEC-Q</t>
  </si>
  <si>
    <t>CL31B105KCHVPJ</t>
  </si>
  <si>
    <t>2156039-00-A</t>
  </si>
  <si>
    <t>CGA5L2X7R2A105K160AE</t>
  </si>
  <si>
    <t>CGA5L2X7R2A105K160DE</t>
  </si>
  <si>
    <t>KAF31GR72A105KU</t>
  </si>
  <si>
    <t>SQ2337CES-T1_GE3</t>
  </si>
  <si>
    <t>Mar.4th new added</t>
    <phoneticPr fontId="3" type="noConversion"/>
  </si>
  <si>
    <t>位号不变，主料新增</t>
    <phoneticPr fontId="3" type="noConversion"/>
  </si>
  <si>
    <t>SZMMBZ6V8ALT1G</t>
  </si>
  <si>
    <t>1020212-00-A</t>
  </si>
  <si>
    <t>TVS,4.5V,24W,UNI-DIR,DUAL,SOT23,AEC-Q</t>
  </si>
  <si>
    <t>D8</t>
    <phoneticPr fontId="3" type="noConversion"/>
  </si>
  <si>
    <t>ERJ2RKF4991X</t>
  </si>
  <si>
    <t>ERJ2RKF1003X</t>
  </si>
  <si>
    <t>Mar.4, new added</t>
    <phoneticPr fontId="3" type="noConversion"/>
  </si>
  <si>
    <t>位号不变，替代料新增</t>
    <phoneticPr fontId="3" type="noConversion"/>
  </si>
  <si>
    <t>MAR.4th new added</t>
    <phoneticPr fontId="3" type="noConversion"/>
  </si>
  <si>
    <t>AD3301WBCPZ-AA-RL</t>
  </si>
  <si>
    <t>Analog Devices (ADI)</t>
    <phoneticPr fontId="3" type="noConversion"/>
  </si>
  <si>
    <t>SO-PA-126</t>
  </si>
  <si>
    <t>LT soder paste/Durafuse® LT with Indium10.8HF</t>
  </si>
  <si>
    <r>
      <t>breakdwon</t>
    </r>
    <r>
      <rPr>
        <sz val="10"/>
        <rFont val="宋体"/>
        <family val="2"/>
        <charset val="134"/>
      </rPr>
      <t>见附件'solder paste' tab</t>
    </r>
    <r>
      <rPr>
        <sz val="10"/>
        <rFont val="Arial"/>
        <family val="2"/>
      </rPr>
      <t xml:space="preserve"> </t>
    </r>
    <r>
      <rPr>
        <strike/>
        <sz val="10"/>
        <rFont val="Arial"/>
        <family val="2"/>
      </rPr>
      <t>0.1697 →</t>
    </r>
    <r>
      <rPr>
        <strike/>
        <sz val="10"/>
        <rFont val="宋体"/>
        <family val="2"/>
        <charset val="134"/>
      </rPr>
      <t xml:space="preserve"> 0.1912</t>
    </r>
    <r>
      <rPr>
        <strike/>
        <sz val="10"/>
        <rFont val="Arial"/>
        <family val="2"/>
      </rPr>
      <t xml:space="preserve"> </t>
    </r>
    <r>
      <rPr>
        <strike/>
        <sz val="10"/>
        <rFont val="宋体"/>
        <family val="2"/>
        <charset val="134"/>
      </rPr>
      <t>锡膏涨价</t>
    </r>
    <r>
      <rPr>
        <sz val="10"/>
        <rFont val="宋体"/>
        <family val="2"/>
        <charset val="134"/>
      </rPr>
      <t xml:space="preserve">； </t>
    </r>
    <r>
      <rPr>
        <sz val="10"/>
        <color rgb="FFFF0000"/>
        <rFont val="宋体"/>
        <family val="3"/>
        <charset val="134"/>
      </rPr>
      <t>Mar.4th即将设变变为低温锡膏</t>
    </r>
    <phoneticPr fontId="3" type="noConversion"/>
  </si>
  <si>
    <t>USD</t>
    <phoneticPr fontId="3" type="noConversion"/>
  </si>
  <si>
    <r>
      <t>price Tesla provided</t>
    </r>
    <r>
      <rPr>
        <sz val="10"/>
        <rFont val="等线"/>
        <family val="2"/>
        <charset val="134"/>
      </rPr>
      <t>，</t>
    </r>
    <r>
      <rPr>
        <strike/>
        <sz val="10"/>
        <rFont val="Arial"/>
        <family val="2"/>
      </rPr>
      <t xml:space="preserve"> waiting for confirming $6 if included frieight or not. Confirmed </t>
    </r>
    <r>
      <rPr>
        <sz val="10"/>
        <rFont val="Arial"/>
        <family val="2"/>
      </rPr>
      <t>+10%freight fee</t>
    </r>
    <phoneticPr fontId="3" type="noConversion"/>
  </si>
  <si>
    <t>TLA</t>
    <phoneticPr fontId="3" type="noConversion"/>
  </si>
  <si>
    <t>Mar.7th,2026</t>
    <phoneticPr fontId="3" type="noConversion"/>
  </si>
  <si>
    <t>Xceed-Qdual</t>
    <phoneticPr fontId="3" type="noConversion"/>
  </si>
  <si>
    <t>manufacture</t>
    <phoneticPr fontId="3" type="noConversion"/>
  </si>
  <si>
    <t>TPN</t>
    <phoneticPr fontId="3" type="noConversion"/>
  </si>
  <si>
    <t>customer PN</t>
    <phoneticPr fontId="3" type="noConversion"/>
  </si>
  <si>
    <t>2102664-10-B</t>
    <phoneticPr fontId="3" type="noConversion"/>
  </si>
  <si>
    <t>2102664-00-B</t>
    <phoneticPr fontId="3" type="noConversion"/>
  </si>
  <si>
    <t>2120077-00-B</t>
    <phoneticPr fontId="3" type="noConversion"/>
  </si>
  <si>
    <t>2141496-00-b</t>
    <phoneticPr fontId="3" type="noConversion"/>
  </si>
  <si>
    <t>2089231-00-B</t>
    <phoneticPr fontId="3" type="noConversion"/>
  </si>
  <si>
    <t>2286961-00-B</t>
    <phoneticPr fontId="3" type="noConversion"/>
  </si>
  <si>
    <t>2284189-00-B</t>
    <phoneticPr fontId="3" type="noConversion"/>
  </si>
  <si>
    <t>Emily H.</t>
    <phoneticPr fontId="3" type="noConversion"/>
  </si>
  <si>
    <t>annual interest</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</si>
</sst>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7" formatCode="&quot;¥&quot;#,##0.00;&quot;¥&quot;\-#,##0.00"/>
    <numFmt numFmtId="8" formatCode="&quot;¥&quot;#,##0.00;[Red]&quot;¥&quot;\-#,##0.00"/>
    <numFmt numFmtId="44" formatCode="_ &quot;¥&quot;* #,##0.00_ ;_ &quot;¥&quot;* \-#,##0.00_ ;_ &quot;¥&quot;* &quot;-&quot;??_ ;_ @_ "/>
    <numFmt numFmtId="43" formatCode="_ * #,##0.00_ ;_ * \-#,##0.00_ ;_ * &quot;-&quot;??_ ;_ @_ "/>
    <numFmt numFmtId="25" formatCode="\$#,##0.00_);\(\$#,##0.00\)"/>
    <numFmt numFmtId="26" formatCode="\$#,##0.00_);[Red]\(\$#,##0.00\)"/>
    <numFmt numFmtId="176" formatCode="_ [$￥-804]* #,##0.00_ ;_ [$￥-804]* \-#,##0.00_ ;_ [$￥-804]* &quot;-&quot;??_ ;_ @_ "/>
    <numFmt numFmtId="177" formatCode="_ [$￥-804]* #,##0.0000_ ;_ [$￥-804]* \-#,##0.0000_ ;_ [$￥-804]* &quot;-&quot;??_ ;_ @_ "/>
    <numFmt numFmtId="178" formatCode="_(&quot;$&quot;* #,##0.00_);_(&quot;$&quot;* \(#,##0.00\);_(&quot;$&quot;* &quot;-&quot;??_);_(@_)"/>
    <numFmt numFmtId="179" formatCode="&quot;$&quot;#,##0.000"/>
    <numFmt numFmtId="180" formatCode="\$#,##0.00;\-\$#,##0.00"/>
    <numFmt numFmtId="181" formatCode="&quot;¥&quot;#,##0.000;&quot;¥&quot;\-#,##0.000"/>
    <numFmt numFmtId="182" formatCode="0.00000"/>
    <numFmt numFmtId="183" formatCode="0.0000"/>
    <numFmt numFmtId="184" formatCode="&quot;¥&quot;#,##0.000"/>
    <numFmt numFmtId="185" formatCode="_(&quot;$&quot;* #,##0.000_);_(&quot;$&quot;* \(#,##0.000\);_(&quot;$&quot;* &quot;-&quot;??_);_(@_)"/>
    <numFmt numFmtId="186" formatCode="_(&quot;$&quot;* #,##0.0000_);_(&quot;$&quot;* \(#,##0.0000\);_(&quot;$&quot;* &quot;-&quot;??_);_(@_)"/>
    <numFmt numFmtId="187" formatCode="#,##0.00_ "/>
    <numFmt numFmtId="188" formatCode="&quot;￥&quot;#,##0.00;&quot;￥&quot;\-#,##0.00"/>
    <numFmt numFmtId="189" formatCode="_ [$¥-804]* #,##0.00_ ;_ [$¥-804]* \-#,##0.00_ ;_ [$¥-804]* &quot;-&quot;??_ ;_ @_ "/>
    <numFmt numFmtId="190" formatCode="&quot;$&quot;#,##0.00"/>
    <numFmt numFmtId="191" formatCode="_(* #,##0.00_);_(* \(#,##0.00\);_(* &quot;-&quot;??_);_(@_)"/>
    <numFmt numFmtId="192" formatCode="0.0_);[Red]\(0.0\)"/>
    <numFmt numFmtId="193" formatCode="0_);[Red]\(0\)"/>
    <numFmt numFmtId="194" formatCode="[$￥-804]#,##0_);[Red]\([$￥-804]#,##0\)"/>
    <numFmt numFmtId="195" formatCode="0.0;_䀀"/>
    <numFmt numFmtId="196" formatCode="0.0_ "/>
    <numFmt numFmtId="197" formatCode="0_ "/>
    <numFmt numFmtId="198" formatCode="[$￥-804]#,##0.00_);[Red]\([$￥-804]#,##0.00\)"/>
    <numFmt numFmtId="199" formatCode="_ [$￥-804]* #,##0.000_ ;_ [$￥-804]* \-#,##0.000_ ;_ [$￥-804]* &quot;-&quot;???_ ;_ @_ "/>
    <numFmt numFmtId="200" formatCode="&quot;¥&quot;#,##0_);[Red]\(&quot;¥&quot;#,##0\)"/>
    <numFmt numFmtId="201" formatCode="0.00000_ "/>
    <numFmt numFmtId="202" formatCode="0.000000_ "/>
    <numFmt numFmtId="203" formatCode="0.00_);[Red]\(0.00\)"/>
    <numFmt numFmtId="204" formatCode="_(&quot;$&quot;* #,##0.000000_);_(&quot;$&quot;* \(#,##0.000000\);_(&quot;$&quot;* &quot;-&quot;??_);_(@_)"/>
    <numFmt numFmtId="205" formatCode="0.0"/>
    <numFmt numFmtId="206" formatCode="#,##0_ "/>
    <numFmt numFmtId="207" formatCode="#,##0_);[Red]\(#,##0\)"/>
    <numFmt numFmtId="208" formatCode="0.00_ "/>
    <numFmt numFmtId="209" formatCode="[$-409]d\-mmm;@"/>
    <numFmt numFmtId="210" formatCode="_(&quot;$&quot;* #,##0_);_(&quot;$&quot;* \(#,##0\);_(&quot;$&quot;* &quot;-&quot;??_);_(@_)"/>
    <numFmt numFmtId="211" formatCode="_(* #,##0_);_(* \(#,##0\);_(* &quot;-&quot;??_);_(@_)"/>
    <numFmt numFmtId="212" formatCode="0.00000000"/>
  </numFmts>
  <fonts count="135">
    <font>
      <sz val="10"/>
      <name val="Arial"/>
      <family val="2"/>
    </font>
    <font>
      <sz val="11"/>
      <color theme="1"/>
      <name val="宋体"/>
      <family val="2"/>
      <charset val="134"/>
      <scheme val="minor"/>
    </font>
    <font>
      <sz val="10"/>
      <name val="Arial"/>
      <family val="2"/>
    </font>
    <font>
      <sz val="9"/>
      <name val="宋体"/>
      <family val="3"/>
      <charset val="134"/>
    </font>
    <font>
      <b/>
      <i/>
      <sz val="22"/>
      <color indexed="12"/>
      <name val="Arial"/>
      <family val="2"/>
    </font>
    <font>
      <b/>
      <i/>
      <sz val="22"/>
      <color rgb="FFFFFF00"/>
      <name val="Arial"/>
      <family val="2"/>
    </font>
    <font>
      <sz val="10"/>
      <name val="Times New Roman"/>
      <family val="1"/>
    </font>
    <font>
      <b/>
      <sz val="12"/>
      <color rgb="FF000000"/>
      <name val="Arial"/>
      <family val="2"/>
    </font>
    <font>
      <b/>
      <sz val="10"/>
      <name val="Times New Roman"/>
      <family val="1"/>
    </font>
    <font>
      <b/>
      <sz val="10"/>
      <name val="Arial"/>
      <family val="2"/>
    </font>
    <font>
      <b/>
      <sz val="12"/>
      <name val="Times New Roman"/>
      <family val="1"/>
    </font>
    <font>
      <b/>
      <u/>
      <sz val="10"/>
      <color indexed="10"/>
      <name val="Times New Roman"/>
      <family val="1"/>
    </font>
    <font>
      <sz val="14"/>
      <color rgb="FF000000"/>
      <name val="Times New Roman"/>
      <family val="1"/>
    </font>
    <font>
      <b/>
      <sz val="10"/>
      <color indexed="10"/>
      <name val="Arial"/>
      <family val="2"/>
    </font>
    <font>
      <b/>
      <sz val="12"/>
      <color rgb="FF000000"/>
      <name val="Arial Unicode MS"/>
      <family val="2"/>
      <charset val="134"/>
    </font>
    <font>
      <sz val="10"/>
      <name val="微软雅黑"/>
      <family val="2"/>
      <charset val="134"/>
    </font>
    <font>
      <b/>
      <sz val="12"/>
      <name val="Arial Unicode MS"/>
      <family val="2"/>
      <charset val="134"/>
    </font>
    <font>
      <sz val="10"/>
      <name val="等线"/>
      <family val="2"/>
      <charset val="134"/>
    </font>
    <font>
      <strike/>
      <sz val="10"/>
      <name val="宋体"/>
      <family val="3"/>
      <charset val="134"/>
    </font>
    <font>
      <b/>
      <strike/>
      <sz val="10"/>
      <name val="宋体"/>
      <family val="3"/>
      <charset val="134"/>
    </font>
    <font>
      <sz val="10"/>
      <name val="宋体"/>
      <family val="2"/>
      <charset val="134"/>
    </font>
    <font>
      <sz val="10"/>
      <name val="宋体"/>
      <family val="3"/>
      <charset val="134"/>
    </font>
    <font>
      <sz val="11"/>
      <name val="Calibri"/>
      <family val="2"/>
    </font>
    <font>
      <sz val="10"/>
      <color indexed="10"/>
      <name val="Times New Roman"/>
      <family val="1"/>
    </font>
    <font>
      <sz val="10"/>
      <color indexed="10"/>
      <name val="Arial"/>
      <family val="2"/>
    </font>
    <font>
      <b/>
      <sz val="10"/>
      <color indexed="10"/>
      <name val="Times New Roman"/>
      <family val="1"/>
    </font>
    <font>
      <b/>
      <sz val="10"/>
      <color rgb="FFFF0000"/>
      <name val="Times New Roman"/>
      <family val="1"/>
    </font>
    <font>
      <sz val="10"/>
      <color rgb="FFFF0000"/>
      <name val="Arial"/>
      <family val="2"/>
    </font>
    <font>
      <sz val="10"/>
      <color indexed="8"/>
      <name val="Arial"/>
      <family val="2"/>
    </font>
    <font>
      <sz val="8"/>
      <name val="Arial"/>
      <family val="2"/>
    </font>
    <font>
      <sz val="14"/>
      <name val="宋体"/>
      <family val="3"/>
      <charset val="134"/>
    </font>
    <font>
      <sz val="8"/>
      <name val="Times New Roman"/>
      <family val="1"/>
    </font>
    <font>
      <strike/>
      <sz val="10"/>
      <name val="Arial"/>
      <family val="2"/>
    </font>
    <font>
      <sz val="10"/>
      <color indexed="8"/>
      <name val="Times New Roman"/>
      <family val="1"/>
    </font>
    <font>
      <b/>
      <sz val="10"/>
      <color indexed="8"/>
      <name val="Times New Roman"/>
      <family val="1"/>
    </font>
    <font>
      <b/>
      <sz val="10"/>
      <color indexed="9"/>
      <name val="Times New Roman"/>
      <family val="1"/>
    </font>
    <font>
      <b/>
      <sz val="10"/>
      <color rgb="FFFF0000"/>
      <name val="Arial"/>
      <family val="2"/>
    </font>
    <font>
      <sz val="16"/>
      <name val="Arial"/>
      <family val="2"/>
    </font>
    <font>
      <sz val="20"/>
      <name val="Arial"/>
      <family val="2"/>
    </font>
    <font>
      <b/>
      <i/>
      <sz val="10"/>
      <color theme="0"/>
      <name val="Times New Roman"/>
      <family val="1"/>
    </font>
    <font>
      <b/>
      <sz val="10"/>
      <color theme="0"/>
      <name val="Times New Roman"/>
      <family val="1"/>
    </font>
    <font>
      <b/>
      <sz val="9"/>
      <color rgb="FF000000"/>
      <name val="宋体"/>
      <family val="3"/>
      <charset val="134"/>
    </font>
    <font>
      <sz val="9"/>
      <color rgb="FF000000"/>
      <name val="宋体"/>
      <family val="3"/>
      <charset val="134"/>
    </font>
    <font>
      <b/>
      <sz val="9"/>
      <color indexed="81"/>
      <name val="宋体"/>
      <family val="3"/>
      <charset val="134"/>
    </font>
    <font>
      <sz val="9"/>
      <color indexed="81"/>
      <name val="宋体"/>
      <family val="3"/>
      <charset val="134"/>
    </font>
    <font>
      <sz val="12"/>
      <name val="宋体"/>
      <family val="3"/>
      <charset val="134"/>
    </font>
    <font>
      <sz val="18"/>
      <name val="Arial"/>
      <family val="2"/>
    </font>
    <font>
      <u/>
      <sz val="16"/>
      <name val="Arial"/>
      <family val="2"/>
    </font>
    <font>
      <sz val="12"/>
      <name val="Arial"/>
      <family val="2"/>
    </font>
    <font>
      <strike/>
      <sz val="12"/>
      <name val="Arial"/>
      <family val="2"/>
    </font>
    <font>
      <b/>
      <sz val="16"/>
      <name val="Arial"/>
      <family val="2"/>
    </font>
    <font>
      <b/>
      <sz val="36"/>
      <name val="宋体"/>
      <family val="3"/>
      <charset val="134"/>
    </font>
    <font>
      <b/>
      <sz val="12"/>
      <color indexed="8"/>
      <name val="Arial"/>
      <family val="2"/>
    </font>
    <font>
      <b/>
      <sz val="12"/>
      <color rgb="FF000000"/>
      <name val="微软雅黑"/>
      <family val="2"/>
      <charset val="134"/>
    </font>
    <font>
      <b/>
      <sz val="16"/>
      <name val="宋体"/>
      <family val="3"/>
      <charset val="134"/>
    </font>
    <font>
      <b/>
      <sz val="12"/>
      <name val="Arial"/>
      <family val="2"/>
    </font>
    <font>
      <sz val="14"/>
      <name val="Arial"/>
      <family val="2"/>
    </font>
    <font>
      <sz val="14"/>
      <name val="微软雅黑"/>
      <family val="2"/>
      <charset val="134"/>
    </font>
    <font>
      <sz val="10"/>
      <color theme="1"/>
      <name val="Arial"/>
      <family val="2"/>
    </font>
    <font>
      <b/>
      <sz val="12"/>
      <name val="宋体"/>
      <family val="3"/>
      <charset val="134"/>
    </font>
    <font>
      <sz val="11"/>
      <color theme="1"/>
      <name val="宋体"/>
      <family val="2"/>
      <scheme val="minor"/>
    </font>
    <font>
      <sz val="9"/>
      <name val="宋体"/>
      <family val="3"/>
      <charset val="134"/>
      <scheme val="minor"/>
    </font>
    <font>
      <sz val="9"/>
      <name val="FangSong"/>
      <family val="3"/>
      <charset val="134"/>
    </font>
    <font>
      <sz val="10"/>
      <name val="Microsoft YaHei UI"/>
      <family val="2"/>
      <charset val="134"/>
    </font>
    <font>
      <b/>
      <sz val="9"/>
      <name val="宋体"/>
      <family val="3"/>
      <charset val="134"/>
    </font>
    <font>
      <sz val="12"/>
      <color theme="1"/>
      <name val="宋体"/>
      <family val="2"/>
      <scheme val="minor"/>
    </font>
    <font>
      <sz val="10"/>
      <color theme="0"/>
      <name val="Arial"/>
      <family val="2"/>
    </font>
    <font>
      <b/>
      <sz val="12"/>
      <color theme="1"/>
      <name val="Arial"/>
      <family val="2"/>
    </font>
    <font>
      <sz val="10"/>
      <color rgb="FF000000"/>
      <name val="Arial"/>
      <family val="2"/>
    </font>
    <font>
      <sz val="10"/>
      <color theme="1"/>
      <name val="Times New Roman"/>
      <family val="1"/>
    </font>
    <font>
      <b/>
      <sz val="10"/>
      <color theme="1"/>
      <name val="Arial"/>
      <family val="2"/>
    </font>
    <font>
      <sz val="20"/>
      <color theme="0"/>
      <name val="Arial"/>
      <family val="2"/>
    </font>
    <font>
      <b/>
      <sz val="10"/>
      <color theme="0"/>
      <name val="Arial"/>
      <family val="2"/>
    </font>
    <font>
      <b/>
      <sz val="22"/>
      <color theme="1"/>
      <name val="Helvetica"/>
    </font>
    <font>
      <sz val="10"/>
      <name val="Helvetica"/>
      <family val="2"/>
    </font>
    <font>
      <sz val="16"/>
      <name val="Helvetica"/>
      <family val="2"/>
    </font>
    <font>
      <sz val="15"/>
      <color theme="1"/>
      <name val="Helvetica"/>
      <family val="2"/>
    </font>
    <font>
      <sz val="16"/>
      <color theme="1"/>
      <name val="Helvetica"/>
      <family val="2"/>
    </font>
    <font>
      <sz val="15"/>
      <color theme="1"/>
      <name val="宋体"/>
      <family val="3"/>
      <charset val="134"/>
    </font>
    <font>
      <b/>
      <sz val="15"/>
      <color theme="1"/>
      <name val="Helvetica"/>
      <family val="2"/>
    </font>
    <font>
      <sz val="9"/>
      <name val="宋体"/>
      <family val="2"/>
      <charset val="134"/>
      <scheme val="minor"/>
    </font>
    <font>
      <b/>
      <sz val="15"/>
      <name val="Helvetica"/>
    </font>
    <font>
      <b/>
      <sz val="15"/>
      <name val="Helvetica"/>
      <family val="2"/>
    </font>
    <font>
      <sz val="12"/>
      <name val="Helvetica"/>
      <family val="2"/>
    </font>
    <font>
      <b/>
      <sz val="15"/>
      <color theme="1"/>
      <name val="微软雅黑"/>
      <family val="2"/>
      <charset val="134"/>
    </font>
    <font>
      <sz val="15"/>
      <color indexed="8"/>
      <name val="Helvetica"/>
      <family val="2"/>
    </font>
    <font>
      <sz val="15"/>
      <color rgb="FFFF0000"/>
      <name val="Helvetica"/>
      <family val="2"/>
    </font>
    <font>
      <sz val="15"/>
      <color rgb="FF000000"/>
      <name val="微软雅黑"/>
      <family val="2"/>
      <charset val="134"/>
    </font>
    <font>
      <sz val="12"/>
      <name val="Helvetica"/>
      <family val="2"/>
      <charset val="134"/>
    </font>
    <font>
      <sz val="12"/>
      <name val="微软雅黑"/>
      <family val="2"/>
      <charset val="134"/>
    </font>
    <font>
      <sz val="15"/>
      <color indexed="8"/>
      <name val="Arial"/>
      <family val="2"/>
    </font>
    <font>
      <sz val="15"/>
      <color theme="1"/>
      <name val="Helvetica"/>
      <family val="3"/>
    </font>
    <font>
      <sz val="20"/>
      <name val="Helvetica"/>
      <family val="2"/>
    </font>
    <font>
      <sz val="11"/>
      <color theme="1"/>
      <name val="宋体"/>
      <family val="3"/>
      <charset val="134"/>
      <scheme val="minor"/>
    </font>
    <font>
      <sz val="12"/>
      <color theme="1"/>
      <name val="宋体"/>
      <family val="3"/>
      <charset val="134"/>
      <scheme val="minor"/>
    </font>
    <font>
      <sz val="12"/>
      <color rgb="FF000000"/>
      <name val="Arial"/>
      <family val="2"/>
    </font>
    <font>
      <sz val="12"/>
      <color rgb="FF000000"/>
      <name val="微软雅黑"/>
      <family val="2"/>
      <charset val="134"/>
    </font>
    <font>
      <sz val="12"/>
      <color rgb="FF000000"/>
      <name val="宋体"/>
      <family val="3"/>
      <charset val="134"/>
      <scheme val="minor"/>
    </font>
    <font>
      <sz val="10"/>
      <name val="等线"/>
      <family val="3"/>
      <charset val="134"/>
    </font>
    <font>
      <sz val="9"/>
      <color rgb="FF000000"/>
      <name val="Arial"/>
      <family val="2"/>
    </font>
    <font>
      <sz val="9"/>
      <color rgb="FF000000"/>
      <name val="微软雅黑"/>
      <family val="2"/>
      <charset val="134"/>
    </font>
    <font>
      <sz val="9"/>
      <name val="DengXian"/>
      <family val="3"/>
      <charset val="134"/>
    </font>
    <font>
      <b/>
      <sz val="11"/>
      <color theme="0"/>
      <name val="Calibri"/>
      <family val="2"/>
    </font>
    <font>
      <b/>
      <sz val="11"/>
      <color theme="0"/>
      <name val="微软雅黑"/>
      <family val="2"/>
      <charset val="134"/>
    </font>
    <font>
      <sz val="11"/>
      <color theme="1"/>
      <name val="Calibri"/>
      <family val="2"/>
    </font>
    <font>
      <sz val="14"/>
      <color theme="1"/>
      <name val="宋体"/>
      <family val="2"/>
      <scheme val="minor"/>
    </font>
    <font>
      <sz val="10"/>
      <name val="等线"/>
      <family val="1"/>
      <charset val="134"/>
    </font>
    <font>
      <b/>
      <sz val="10"/>
      <name val="等线"/>
      <family val="1"/>
      <charset val="134"/>
    </font>
    <font>
      <sz val="10"/>
      <color rgb="FFFF0000"/>
      <name val="Times New Roman"/>
      <family val="1"/>
    </font>
    <font>
      <u/>
      <sz val="12"/>
      <color indexed="36"/>
      <name val="宋体"/>
      <family val="3"/>
      <charset val="134"/>
    </font>
    <font>
      <sz val="12"/>
      <name val="Cambria"/>
      <family val="1"/>
    </font>
    <font>
      <sz val="11"/>
      <color rgb="FF0000FF"/>
      <name val="宋体"/>
      <family val="3"/>
      <charset val="134"/>
      <scheme val="minor"/>
    </font>
    <font>
      <sz val="12"/>
      <color rgb="FF000000"/>
      <name val="等线"/>
      <family val="3"/>
      <charset val="134"/>
    </font>
    <font>
      <sz val="10"/>
      <color rgb="FFFF0000"/>
      <name val="宋体"/>
      <family val="3"/>
      <charset val="134"/>
    </font>
    <font>
      <sz val="10"/>
      <color theme="1"/>
      <name val="宋体"/>
      <family val="3"/>
      <charset val="134"/>
    </font>
    <font>
      <sz val="9"/>
      <name val="Arial"/>
      <family val="2"/>
    </font>
    <font>
      <b/>
      <sz val="9"/>
      <color theme="0"/>
      <name val="Arial"/>
      <family val="2"/>
    </font>
    <font>
      <sz val="9"/>
      <color rgb="FFFF0000"/>
      <name val="Arial"/>
      <family val="2"/>
    </font>
    <font>
      <b/>
      <sz val="7.5"/>
      <color rgb="FFFF0000"/>
      <name val="Arial"/>
      <family val="2"/>
    </font>
    <font>
      <sz val="9"/>
      <color theme="1"/>
      <name val="Arial"/>
      <family val="2"/>
    </font>
    <font>
      <strike/>
      <sz val="9"/>
      <name val="Arial"/>
      <family val="2"/>
    </font>
    <font>
      <strike/>
      <sz val="9"/>
      <name val="宋体"/>
      <family val="2"/>
      <charset val="134"/>
    </font>
    <font>
      <sz val="11"/>
      <color rgb="FFFF0000"/>
      <name val="宋体"/>
      <family val="3"/>
      <charset val="134"/>
      <scheme val="minor"/>
    </font>
    <font>
      <sz val="10.5"/>
      <name val="Calibri"/>
      <family val="2"/>
    </font>
    <font>
      <sz val="10.5"/>
      <name val="宋体"/>
      <family val="3"/>
      <charset val="134"/>
    </font>
    <font>
      <sz val="10"/>
      <name val="Arial"/>
      <family val="3"/>
    </font>
    <font>
      <sz val="10"/>
      <name val="Arial"/>
      <family val="3"/>
      <charset val="134"/>
    </font>
    <font>
      <b/>
      <sz val="10"/>
      <color theme="1"/>
      <name val="Times New Roman"/>
      <family val="1"/>
    </font>
    <font>
      <b/>
      <sz val="14"/>
      <name val="Arial"/>
      <family val="2"/>
    </font>
    <font>
      <sz val="10"/>
      <color rgb="FFFF0000"/>
      <name val="等线"/>
      <family val="2"/>
      <charset val="134"/>
    </font>
    <font>
      <sz val="10"/>
      <color rgb="FFFF0000"/>
      <name val="宋体"/>
      <family val="2"/>
      <charset val="134"/>
    </font>
    <font>
      <strike/>
      <sz val="9"/>
      <color rgb="FF000000"/>
      <name val="Arial"/>
      <family val="2"/>
    </font>
    <font>
      <strike/>
      <sz val="10"/>
      <name val="宋体"/>
      <family val="2"/>
      <charset val="134"/>
    </font>
    <font>
      <b/>
      <sz val="9"/>
      <color theme="1"/>
      <name val="Arial"/>
      <family val="2"/>
    </font>
    <font>
      <b/>
      <sz val="9"/>
      <color rgb="FFFF0000"/>
      <name val="Arial"/>
      <family val="2"/>
    </font>
  </fonts>
  <fills count="48">
    <fill>
      <patternFill patternType="none"/>
    </fill>
    <fill>
      <patternFill patternType="gray125"/>
    </fill>
    <fill>
      <patternFill patternType="solid">
        <fgColor rgb="FF92D050"/>
        <bgColor indexed="64"/>
      </patternFill>
    </fill>
    <fill>
      <patternFill patternType="solid">
        <fgColor rgb="FF64F03E"/>
        <bgColor indexed="64"/>
      </patternFill>
    </fill>
    <fill>
      <patternFill patternType="solid">
        <fgColor indexed="13"/>
        <bgColor indexed="64"/>
      </patternFill>
    </fill>
    <fill>
      <patternFill patternType="lightDown"/>
    </fill>
    <fill>
      <patternFill patternType="lightDown">
        <bgColor theme="0" tint="-4.9989318521683403E-2"/>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lightUp"/>
    </fill>
    <fill>
      <patternFill patternType="lightDown">
        <bgColor indexed="9"/>
      </patternFill>
    </fill>
    <fill>
      <patternFill patternType="solid">
        <fgColor indexed="9"/>
        <bgColor indexed="64"/>
      </patternFill>
    </fill>
    <fill>
      <patternFill patternType="solid">
        <fgColor indexed="65"/>
        <bgColor indexed="64"/>
      </patternFill>
    </fill>
    <fill>
      <patternFill patternType="lightTrellis"/>
    </fill>
    <fill>
      <patternFill patternType="solid">
        <fgColor indexed="22"/>
        <bgColor indexed="64"/>
      </patternFill>
    </fill>
    <fill>
      <patternFill patternType="solid">
        <fgColor indexed="57"/>
        <bgColor indexed="64"/>
      </patternFill>
    </fill>
    <fill>
      <patternFill patternType="solid">
        <fgColor indexed="43"/>
        <bgColor indexed="64"/>
      </patternFill>
    </fill>
    <fill>
      <patternFill patternType="solid">
        <fgColor indexed="46"/>
        <bgColor indexed="64"/>
      </patternFill>
    </fill>
    <fill>
      <patternFill patternType="solid">
        <fgColor rgb="FF00B050"/>
        <bgColor indexed="64"/>
      </patternFill>
    </fill>
    <fill>
      <patternFill patternType="solid">
        <fgColor indexed="31"/>
        <bgColor indexed="64"/>
      </patternFill>
    </fill>
    <fill>
      <patternFill patternType="solid">
        <fgColor indexed="42"/>
        <bgColor indexed="64"/>
      </patternFill>
    </fill>
    <fill>
      <patternFill patternType="solid">
        <fgColor indexed="5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C2C1"/>
        <bgColor indexed="64"/>
      </patternFill>
    </fill>
    <fill>
      <patternFill patternType="solid">
        <fgColor theme="0" tint="-0.34998626667073579"/>
        <bgColor indexed="64"/>
      </patternFill>
    </fill>
    <fill>
      <patternFill patternType="solid">
        <fgColor theme="1"/>
        <bgColor indexed="64"/>
      </patternFill>
    </fill>
    <fill>
      <patternFill patternType="solid">
        <fgColor rgb="FFFF0000"/>
        <bgColor indexed="64"/>
      </patternFill>
    </fill>
    <fill>
      <patternFill patternType="solid">
        <fgColor theme="0"/>
        <bgColor rgb="FFFFFFFF"/>
      </patternFill>
    </fill>
    <fill>
      <patternFill patternType="solid">
        <fgColor rgb="FFFFFFFF"/>
        <bgColor rgb="FFFFFFFF"/>
      </patternFill>
    </fill>
    <fill>
      <patternFill patternType="solid">
        <fgColor theme="0" tint="-0.499984740745262"/>
        <bgColor indexed="64"/>
      </patternFill>
    </fill>
    <fill>
      <patternFill patternType="solid">
        <fgColor rgb="FFFFC000"/>
        <bgColor indexed="64"/>
      </patternFill>
    </fill>
    <fill>
      <patternFill patternType="solid">
        <fgColor rgb="FFF3F9FA"/>
        <bgColor indexed="64"/>
      </patternFill>
    </fill>
    <fill>
      <patternFill patternType="solid">
        <fgColor theme="6"/>
        <bgColor indexed="64"/>
      </patternFill>
    </fill>
    <fill>
      <patternFill patternType="solid">
        <fgColor rgb="FF00B0F0"/>
        <bgColor indexed="64"/>
      </patternFill>
    </fill>
    <fill>
      <patternFill patternType="solid">
        <fgColor theme="2" tint="-0.749992370372631"/>
        <bgColor indexed="64"/>
      </patternFill>
    </fill>
    <fill>
      <patternFill patternType="lightDown">
        <bgColor rgb="FFFFFF00"/>
      </patternFill>
    </fill>
    <fill>
      <patternFill patternType="solid">
        <fgColor theme="9" tint="0.59999389629810485"/>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bgColor indexed="64"/>
      </patternFill>
    </fill>
    <fill>
      <patternFill patternType="solid">
        <fgColor theme="8" tint="0.79998168889431442"/>
        <bgColor indexed="64"/>
      </patternFill>
    </fill>
    <fill>
      <patternFill patternType="solid">
        <fgColor theme="9" tint="0.39997558519241921"/>
        <bgColor indexed="64"/>
      </patternFill>
    </fill>
    <fill>
      <patternFill patternType="lightDown">
        <bgColor theme="8" tint="0.39997558519241921"/>
      </patternFill>
    </fill>
  </fills>
  <borders count="10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thin">
        <color theme="0"/>
      </left>
      <right style="thin">
        <color theme="0"/>
      </right>
      <top/>
      <bottom style="thin">
        <color theme="1"/>
      </bottom>
      <diagonal/>
    </border>
    <border>
      <left style="thin">
        <color theme="1"/>
      </left>
      <right style="thin">
        <color theme="1"/>
      </right>
      <top style="thin">
        <color theme="1"/>
      </top>
      <bottom style="thin">
        <color theme="1"/>
      </bottom>
      <diagonal/>
    </border>
    <border>
      <left/>
      <right/>
      <top style="thin">
        <color theme="0"/>
      </top>
      <bottom/>
      <diagonal/>
    </border>
    <border>
      <left/>
      <right/>
      <top/>
      <bottom style="thin">
        <color theme="0"/>
      </bottom>
      <diagonal/>
    </border>
    <border>
      <left style="thin">
        <color theme="1"/>
      </left>
      <right style="thin">
        <color theme="1"/>
      </right>
      <top/>
      <bottom style="thin">
        <color theme="1"/>
      </bottom>
      <diagonal/>
    </border>
    <border>
      <left style="thin">
        <color theme="0"/>
      </left>
      <right/>
      <top/>
      <bottom/>
      <diagonal/>
    </border>
    <border>
      <left style="thin">
        <color rgb="FFFF0000"/>
      </left>
      <right style="thin">
        <color rgb="FFFF0000"/>
      </right>
      <top style="thin">
        <color rgb="FFFF0000"/>
      </top>
      <bottom style="thin">
        <color rgb="FFFF0000"/>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rgb="FFFF0000"/>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rgb="FFFF0000"/>
      </left>
      <right/>
      <top style="thin">
        <color rgb="FFFF0000"/>
      </top>
      <bottom style="thin">
        <color rgb="FFFF0000"/>
      </bottom>
      <diagonal/>
    </border>
    <border>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
      <left style="thin">
        <color indexed="64"/>
      </left>
      <right style="medium">
        <color indexed="64"/>
      </right>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s>
  <cellStyleXfs count="24">
    <xf numFmtId="176" fontId="0" fillId="0" borderId="0"/>
    <xf numFmtId="191"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8" fillId="0" borderId="0">
      <alignment vertical="top"/>
    </xf>
    <xf numFmtId="0" fontId="45" fillId="0" borderId="0">
      <alignment vertical="center"/>
    </xf>
    <xf numFmtId="43" fontId="45" fillId="0" borderId="0" applyFont="0" applyFill="0" applyBorder="0" applyAlignment="0" applyProtection="0">
      <alignment vertical="center"/>
    </xf>
    <xf numFmtId="194" fontId="2" fillId="0" borderId="0"/>
    <xf numFmtId="43" fontId="45" fillId="0" borderId="0" applyFont="0" applyFill="0" applyBorder="0" applyAlignment="0" applyProtection="0">
      <alignment vertical="center"/>
    </xf>
    <xf numFmtId="0" fontId="60" fillId="0" borderId="0"/>
    <xf numFmtId="0" fontId="65" fillId="0" borderId="0"/>
    <xf numFmtId="178" fontId="65" fillId="0" borderId="0" applyFont="0" applyFill="0" applyBorder="0" applyAlignment="0" applyProtection="0"/>
    <xf numFmtId="9" fontId="65" fillId="0" borderId="0" applyFont="0" applyFill="0" applyBorder="0" applyAlignment="0" applyProtection="0"/>
    <xf numFmtId="194" fontId="45" fillId="0" borderId="0">
      <alignment vertical="center"/>
    </xf>
    <xf numFmtId="9" fontId="2" fillId="0" borderId="0" applyFont="0" applyFill="0" applyBorder="0" applyAlignment="0" applyProtection="0"/>
    <xf numFmtId="194" fontId="28" fillId="0" borderId="0">
      <alignment vertical="top"/>
    </xf>
    <xf numFmtId="209" fontId="2" fillId="0" borderId="0"/>
    <xf numFmtId="0" fontId="93" fillId="0" borderId="0">
      <alignment vertical="center"/>
    </xf>
    <xf numFmtId="0" fontId="2" fillId="0" borderId="0"/>
    <xf numFmtId="0" fontId="65" fillId="0" borderId="0"/>
    <xf numFmtId="0" fontId="1" fillId="0" borderId="0">
      <alignment vertical="center"/>
    </xf>
    <xf numFmtId="9" fontId="65" fillId="0" borderId="0" applyFont="0" applyFill="0" applyBorder="0" applyAlignment="0" applyProtection="0"/>
    <xf numFmtId="191" fontId="65" fillId="0" borderId="0" applyFont="0" applyFill="0" applyBorder="0" applyAlignment="0" applyProtection="0">
      <alignment vertical="center"/>
    </xf>
    <xf numFmtId="0" fontId="45" fillId="0" borderId="0">
      <alignment vertical="center"/>
    </xf>
  </cellStyleXfs>
  <cellXfs count="1013">
    <xf numFmtId="176" fontId="0" fillId="0" borderId="0" xfId="0"/>
    <xf numFmtId="176" fontId="2" fillId="0" borderId="0" xfId="0" applyFont="1"/>
    <xf numFmtId="176" fontId="2" fillId="0" borderId="0" xfId="0" applyFont="1" applyAlignment="1">
      <alignment horizontal="center"/>
    </xf>
    <xf numFmtId="176" fontId="6" fillId="0" borderId="0" xfId="0" applyFont="1" applyAlignment="1">
      <alignment horizontal="right"/>
    </xf>
    <xf numFmtId="176" fontId="7" fillId="3" borderId="0" xfId="0" applyFont="1" applyFill="1"/>
    <xf numFmtId="176" fontId="8" fillId="3" borderId="6" xfId="0" applyFont="1" applyFill="1" applyBorder="1" applyAlignment="1">
      <alignment horizontal="center"/>
    </xf>
    <xf numFmtId="176" fontId="2" fillId="0" borderId="0" xfId="0" applyFont="1" applyAlignment="1">
      <alignment horizontal="right"/>
    </xf>
    <xf numFmtId="176" fontId="10" fillId="3" borderId="9" xfId="0" applyFont="1" applyFill="1" applyBorder="1"/>
    <xf numFmtId="176" fontId="2" fillId="0" borderId="9" xfId="0" applyFont="1" applyBorder="1"/>
    <xf numFmtId="176" fontId="0" fillId="0" borderId="9" xfId="0" applyBorder="1"/>
    <xf numFmtId="176" fontId="2" fillId="0" borderId="11" xfId="0" applyFont="1" applyBorder="1"/>
    <xf numFmtId="176" fontId="2" fillId="0" borderId="12" xfId="0" applyFont="1" applyBorder="1"/>
    <xf numFmtId="176" fontId="0" fillId="0" borderId="12" xfId="0" applyBorder="1"/>
    <xf numFmtId="176" fontId="9" fillId="0" borderId="13" xfId="0" applyFont="1" applyBorder="1"/>
    <xf numFmtId="3" fontId="2" fillId="0" borderId="0" xfId="0" applyNumberFormat="1" applyFont="1"/>
    <xf numFmtId="176" fontId="9" fillId="0" borderId="6" xfId="0" applyFont="1" applyBorder="1"/>
    <xf numFmtId="176" fontId="12" fillId="0" borderId="6" xfId="0" applyFont="1" applyBorder="1" applyAlignment="1">
      <alignment horizontal="center" vertical="center" readingOrder="1"/>
    </xf>
    <xf numFmtId="176" fontId="13" fillId="0" borderId="16" xfId="0" applyFont="1" applyBorder="1" applyAlignment="1">
      <alignment horizontal="center"/>
    </xf>
    <xf numFmtId="176" fontId="9" fillId="0" borderId="16" xfId="0" applyFont="1" applyBorder="1" applyAlignment="1">
      <alignment horizontal="center"/>
    </xf>
    <xf numFmtId="0" fontId="14" fillId="0" borderId="6" xfId="0" applyNumberFormat="1" applyFont="1" applyBorder="1" applyAlignment="1">
      <alignment horizontal="center" vertical="center" readingOrder="1"/>
    </xf>
    <xf numFmtId="176" fontId="6" fillId="3" borderId="6" xfId="0" applyFont="1" applyFill="1" applyBorder="1" applyAlignment="1">
      <alignment horizontal="center" wrapText="1"/>
    </xf>
    <xf numFmtId="176" fontId="6" fillId="0" borderId="6" xfId="0" applyFont="1" applyBorder="1" applyAlignment="1">
      <alignment wrapText="1"/>
    </xf>
    <xf numFmtId="0" fontId="6" fillId="0" borderId="6" xfId="0" applyNumberFormat="1" applyFont="1" applyBorder="1" applyAlignment="1">
      <alignment wrapText="1"/>
    </xf>
    <xf numFmtId="177" fontId="8" fillId="0" borderId="7" xfId="0" applyNumberFormat="1" applyFont="1" applyBorder="1" applyAlignment="1">
      <alignment horizontal="center"/>
    </xf>
    <xf numFmtId="176" fontId="6" fillId="5" borderId="20" xfId="0" applyFont="1" applyFill="1" applyBorder="1" applyAlignment="1">
      <alignment horizontal="center"/>
    </xf>
    <xf numFmtId="0" fontId="16" fillId="0" borderId="6" xfId="2" applyNumberFormat="1" applyFont="1" applyFill="1" applyBorder="1" applyAlignment="1">
      <alignment horizontal="center"/>
    </xf>
    <xf numFmtId="0" fontId="16" fillId="0" borderId="6" xfId="0" applyNumberFormat="1" applyFont="1" applyBorder="1" applyAlignment="1">
      <alignment horizontal="center"/>
    </xf>
    <xf numFmtId="180" fontId="0" fillId="0" borderId="0" xfId="0" applyNumberFormat="1"/>
    <xf numFmtId="176" fontId="18" fillId="0" borderId="6" xfId="0" applyFont="1" applyBorder="1" applyAlignment="1">
      <alignment wrapText="1"/>
    </xf>
    <xf numFmtId="0" fontId="18" fillId="0" borderId="6" xfId="0" applyNumberFormat="1" applyFont="1" applyBorder="1" applyAlignment="1">
      <alignment wrapText="1"/>
    </xf>
    <xf numFmtId="177" fontId="19" fillId="0" borderId="7" xfId="0" applyNumberFormat="1" applyFont="1" applyBorder="1" applyAlignment="1">
      <alignment horizontal="center"/>
    </xf>
    <xf numFmtId="0" fontId="16" fillId="0" borderId="0" xfId="2" applyNumberFormat="1" applyFont="1" applyFill="1" applyBorder="1" applyAlignment="1">
      <alignment horizontal="center"/>
    </xf>
    <xf numFmtId="176" fontId="2" fillId="0" borderId="23" xfId="0" applyFont="1" applyBorder="1"/>
    <xf numFmtId="176" fontId="6" fillId="6" borderId="20" xfId="0" applyFont="1" applyFill="1" applyBorder="1" applyAlignment="1">
      <alignment horizontal="center"/>
    </xf>
    <xf numFmtId="0" fontId="6" fillId="8" borderId="6" xfId="0" applyNumberFormat="1" applyFont="1" applyFill="1" applyBorder="1" applyAlignment="1">
      <alignment wrapText="1"/>
    </xf>
    <xf numFmtId="176" fontId="6" fillId="0" borderId="20" xfId="0" applyFont="1" applyBorder="1" applyAlignment="1">
      <alignment horizontal="center"/>
    </xf>
    <xf numFmtId="176" fontId="6" fillId="0" borderId="6" xfId="0" applyFont="1" applyBorder="1"/>
    <xf numFmtId="176" fontId="8" fillId="0" borderId="7" xfId="0" applyFont="1" applyBorder="1" applyAlignment="1">
      <alignment horizontal="center"/>
    </xf>
    <xf numFmtId="176" fontId="6" fillId="3" borderId="25" xfId="0" applyFont="1" applyFill="1" applyBorder="1" applyAlignment="1">
      <alignment wrapText="1"/>
    </xf>
    <xf numFmtId="1" fontId="8" fillId="0" borderId="6" xfId="0" applyNumberFormat="1" applyFont="1" applyBorder="1" applyAlignment="1">
      <alignment horizontal="center"/>
    </xf>
    <xf numFmtId="176" fontId="6" fillId="3" borderId="27" xfId="0" applyFont="1" applyFill="1" applyBorder="1" applyAlignment="1">
      <alignment wrapText="1"/>
    </xf>
    <xf numFmtId="176" fontId="6" fillId="0" borderId="28" xfId="0" applyFont="1" applyBorder="1"/>
    <xf numFmtId="176" fontId="6" fillId="0" borderId="28" xfId="0" applyFont="1" applyBorder="1" applyAlignment="1">
      <alignment wrapText="1"/>
    </xf>
    <xf numFmtId="1" fontId="8" fillId="0" borderId="28" xfId="0" applyNumberFormat="1" applyFont="1" applyBorder="1" applyAlignment="1">
      <alignment horizontal="center"/>
    </xf>
    <xf numFmtId="176" fontId="8" fillId="0" borderId="29" xfId="0" applyFont="1" applyBorder="1" applyAlignment="1">
      <alignment horizontal="center"/>
    </xf>
    <xf numFmtId="176" fontId="0" fillId="0" borderId="30" xfId="0" applyBorder="1"/>
    <xf numFmtId="176" fontId="6" fillId="0" borderId="22" xfId="0" applyFont="1" applyBorder="1" applyAlignment="1">
      <alignment wrapText="1"/>
    </xf>
    <xf numFmtId="176" fontId="6" fillId="0" borderId="0" xfId="0" applyFont="1"/>
    <xf numFmtId="176" fontId="6" fillId="0" borderId="0" xfId="0" applyFont="1" applyAlignment="1">
      <alignment wrapText="1"/>
    </xf>
    <xf numFmtId="182" fontId="6" fillId="0" borderId="0" xfId="0" applyNumberFormat="1" applyFont="1" applyAlignment="1">
      <alignment horizontal="right"/>
    </xf>
    <xf numFmtId="183" fontId="6" fillId="0" borderId="0" xfId="0" applyNumberFormat="1" applyFont="1"/>
    <xf numFmtId="179" fontId="2" fillId="0" borderId="0" xfId="0" applyNumberFormat="1" applyFont="1"/>
    <xf numFmtId="176" fontId="2" fillId="0" borderId="23" xfId="0" applyFont="1" applyBorder="1" applyAlignment="1">
      <alignment horizontal="center"/>
    </xf>
    <xf numFmtId="176" fontId="0" fillId="0" borderId="0" xfId="0" applyAlignment="1">
      <alignment horizontal="center"/>
    </xf>
    <xf numFmtId="176" fontId="0" fillId="0" borderId="14" xfId="0" applyBorder="1"/>
    <xf numFmtId="176" fontId="2" fillId="0" borderId="22" xfId="0" applyFont="1" applyBorder="1"/>
    <xf numFmtId="184" fontId="6" fillId="0" borderId="31" xfId="2" applyNumberFormat="1" applyFont="1" applyBorder="1" applyAlignment="1">
      <alignment horizontal="center"/>
    </xf>
    <xf numFmtId="179" fontId="2" fillId="0" borderId="32" xfId="2" applyNumberFormat="1" applyFont="1" applyBorder="1" applyAlignment="1">
      <alignment horizontal="center"/>
    </xf>
    <xf numFmtId="185" fontId="2" fillId="0" borderId="23" xfId="2" applyNumberFormat="1" applyFont="1" applyBorder="1"/>
    <xf numFmtId="185" fontId="0" fillId="0" borderId="0" xfId="2" applyNumberFormat="1" applyFont="1"/>
    <xf numFmtId="186" fontId="0" fillId="0" borderId="0" xfId="2" applyNumberFormat="1" applyFont="1"/>
    <xf numFmtId="184" fontId="2" fillId="0" borderId="0" xfId="0" applyNumberFormat="1" applyFont="1"/>
    <xf numFmtId="179" fontId="2" fillId="0" borderId="0" xfId="2" applyNumberFormat="1" applyFont="1" applyBorder="1" applyAlignment="1">
      <alignment horizontal="center"/>
    </xf>
    <xf numFmtId="184" fontId="6" fillId="9" borderId="6" xfId="2" applyNumberFormat="1" applyFont="1" applyFill="1" applyBorder="1" applyAlignment="1">
      <alignment horizontal="center"/>
    </xf>
    <xf numFmtId="179" fontId="2" fillId="0" borderId="32" xfId="2" applyNumberFormat="1" applyFont="1" applyFill="1" applyBorder="1" applyAlignment="1">
      <alignment horizontal="center"/>
    </xf>
    <xf numFmtId="176" fontId="9" fillId="0" borderId="0" xfId="0" applyFont="1" applyAlignment="1">
      <alignment horizontal="center"/>
    </xf>
    <xf numFmtId="184" fontId="6" fillId="0" borderId="33" xfId="2" applyNumberFormat="1" applyFont="1" applyBorder="1" applyAlignment="1">
      <alignment horizontal="center"/>
    </xf>
    <xf numFmtId="179" fontId="2" fillId="0" borderId="3" xfId="2" applyNumberFormat="1" applyFont="1" applyBorder="1" applyAlignment="1">
      <alignment horizontal="center"/>
    </xf>
    <xf numFmtId="176" fontId="8" fillId="0" borderId="0" xfId="0" applyFont="1"/>
    <xf numFmtId="176" fontId="8" fillId="0" borderId="23" xfId="0" applyFont="1" applyBorder="1"/>
    <xf numFmtId="176" fontId="8" fillId="0" borderId="22" xfId="0" applyFont="1" applyBorder="1" applyAlignment="1">
      <alignment horizontal="right"/>
    </xf>
    <xf numFmtId="176" fontId="8" fillId="0" borderId="0" xfId="0" applyFont="1" applyAlignment="1">
      <alignment horizontal="right"/>
    </xf>
    <xf numFmtId="184" fontId="6" fillId="0" borderId="0" xfId="2" applyNumberFormat="1" applyFont="1" applyBorder="1" applyAlignment="1">
      <alignment horizontal="center"/>
    </xf>
    <xf numFmtId="184" fontId="0" fillId="0" borderId="0" xfId="0" applyNumberFormat="1"/>
    <xf numFmtId="176" fontId="6" fillId="0" borderId="23" xfId="0" applyFont="1" applyBorder="1" applyAlignment="1">
      <alignment horizontal="center"/>
    </xf>
    <xf numFmtId="184" fontId="13" fillId="0" borderId="38" xfId="0" applyNumberFormat="1" applyFont="1" applyBorder="1" applyAlignment="1">
      <alignment horizontal="center"/>
    </xf>
    <xf numFmtId="176" fontId="9" fillId="0" borderId="39" xfId="0" applyFont="1" applyBorder="1" applyAlignment="1">
      <alignment horizontal="center"/>
    </xf>
    <xf numFmtId="176" fontId="6" fillId="0" borderId="0" xfId="0" applyFont="1" applyProtection="1">
      <protection locked="0"/>
    </xf>
    <xf numFmtId="176" fontId="6" fillId="3" borderId="40" xfId="0" applyFont="1" applyFill="1" applyBorder="1" applyAlignment="1">
      <alignment wrapText="1"/>
    </xf>
    <xf numFmtId="176" fontId="6" fillId="0" borderId="41" xfId="0" applyFont="1" applyBorder="1"/>
    <xf numFmtId="176" fontId="23" fillId="0" borderId="42" xfId="0" applyFont="1" applyBorder="1" applyAlignment="1">
      <alignment wrapText="1"/>
    </xf>
    <xf numFmtId="1" fontId="8" fillId="0" borderId="42" xfId="0" applyNumberFormat="1" applyFont="1" applyBorder="1" applyAlignment="1">
      <alignment horizontal="center"/>
    </xf>
    <xf numFmtId="176" fontId="8" fillId="0" borderId="43" xfId="0" applyFont="1" applyBorder="1" applyAlignment="1">
      <alignment horizontal="center"/>
    </xf>
    <xf numFmtId="184" fontId="6" fillId="5" borderId="20" xfId="0" applyNumberFormat="1" applyFont="1" applyFill="1" applyBorder="1" applyAlignment="1">
      <alignment horizontal="center"/>
    </xf>
    <xf numFmtId="178" fontId="2" fillId="0" borderId="21" xfId="2" applyFont="1" applyBorder="1" applyAlignment="1">
      <alignment horizontal="center"/>
    </xf>
    <xf numFmtId="176" fontId="6" fillId="0" borderId="8" xfId="0" applyFont="1" applyBorder="1"/>
    <xf numFmtId="184" fontId="6" fillId="5" borderId="44" xfId="0" applyNumberFormat="1" applyFont="1" applyFill="1" applyBorder="1" applyAlignment="1">
      <alignment horizontal="center"/>
    </xf>
    <xf numFmtId="178" fontId="2" fillId="0" borderId="24" xfId="2" applyFont="1" applyBorder="1" applyAlignment="1">
      <alignment horizontal="center"/>
    </xf>
    <xf numFmtId="187" fontId="6" fillId="0" borderId="0" xfId="0" applyNumberFormat="1" applyFont="1"/>
    <xf numFmtId="188" fontId="6" fillId="0" borderId="0" xfId="0" applyNumberFormat="1" applyFont="1"/>
    <xf numFmtId="176" fontId="6" fillId="3" borderId="28" xfId="0" applyFont="1" applyFill="1" applyBorder="1" applyAlignment="1">
      <alignment wrapText="1"/>
    </xf>
    <xf numFmtId="176" fontId="6" fillId="0" borderId="45" xfId="0" applyFont="1" applyBorder="1"/>
    <xf numFmtId="184" fontId="6" fillId="5" borderId="46" xfId="0" applyNumberFormat="1" applyFont="1" applyFill="1" applyBorder="1" applyAlignment="1">
      <alignment horizontal="center"/>
    </xf>
    <xf numFmtId="178" fontId="2" fillId="0" borderId="47" xfId="2" applyFont="1" applyBorder="1" applyAlignment="1">
      <alignment horizontal="center"/>
    </xf>
    <xf numFmtId="176" fontId="0" fillId="0" borderId="4" xfId="0" applyBorder="1"/>
    <xf numFmtId="176" fontId="6" fillId="0" borderId="31" xfId="2" applyNumberFormat="1" applyFont="1" applyFill="1" applyBorder="1" applyAlignment="1">
      <alignment horizontal="center"/>
    </xf>
    <xf numFmtId="184" fontId="2" fillId="0" borderId="40" xfId="0" applyNumberFormat="1" applyFont="1" applyBorder="1" applyAlignment="1">
      <alignment horizontal="center"/>
    </xf>
    <xf numFmtId="178" fontId="2" fillId="0" borderId="36" xfId="2" applyFont="1" applyBorder="1" applyAlignment="1">
      <alignment horizontal="center"/>
    </xf>
    <xf numFmtId="9" fontId="6" fillId="0" borderId="7" xfId="2" applyNumberFormat="1" applyFont="1" applyFill="1" applyBorder="1" applyAlignment="1">
      <alignment horizontal="center"/>
    </xf>
    <xf numFmtId="184" fontId="2" fillId="0" borderId="25" xfId="0" applyNumberFormat="1" applyFont="1" applyBorder="1" applyAlignment="1">
      <alignment horizontal="center"/>
    </xf>
    <xf numFmtId="178" fontId="2" fillId="0" borderId="37" xfId="2" applyFont="1" applyBorder="1" applyAlignment="1">
      <alignment horizontal="center"/>
    </xf>
    <xf numFmtId="176" fontId="6" fillId="0" borderId="31" xfId="2" applyNumberFormat="1" applyFont="1" applyBorder="1" applyAlignment="1">
      <alignment horizontal="center"/>
    </xf>
    <xf numFmtId="184" fontId="2" fillId="0" borderId="27" xfId="0" applyNumberFormat="1" applyFont="1" applyBorder="1" applyAlignment="1">
      <alignment horizontal="center"/>
    </xf>
    <xf numFmtId="178" fontId="2" fillId="0" borderId="48" xfId="2" applyFont="1" applyBorder="1" applyAlignment="1">
      <alignment horizontal="center"/>
    </xf>
    <xf numFmtId="176" fontId="0" fillId="0" borderId="22" xfId="0" applyBorder="1"/>
    <xf numFmtId="176" fontId="8" fillId="0" borderId="4" xfId="0" applyFont="1" applyBorder="1" applyAlignment="1">
      <alignment horizontal="right"/>
    </xf>
    <xf numFmtId="176" fontId="6" fillId="0" borderId="0" xfId="2" applyNumberFormat="1" applyFont="1" applyBorder="1" applyAlignment="1">
      <alignment horizontal="center"/>
    </xf>
    <xf numFmtId="180" fontId="2" fillId="0" borderId="0" xfId="0" applyNumberFormat="1" applyFont="1" applyAlignment="1">
      <alignment horizontal="center"/>
    </xf>
    <xf numFmtId="176" fontId="8" fillId="0" borderId="49" xfId="0" applyFont="1" applyBorder="1"/>
    <xf numFmtId="176" fontId="8" fillId="0" borderId="9" xfId="0" applyFont="1" applyBorder="1"/>
    <xf numFmtId="176" fontId="6" fillId="0" borderId="9" xfId="0" applyFont="1" applyBorder="1"/>
    <xf numFmtId="178" fontId="6" fillId="0" borderId="9" xfId="2" applyFont="1" applyBorder="1"/>
    <xf numFmtId="176" fontId="8" fillId="0" borderId="50" xfId="0" applyFont="1" applyBorder="1"/>
    <xf numFmtId="176" fontId="8" fillId="0" borderId="33" xfId="0" applyFont="1" applyBorder="1" applyAlignment="1">
      <alignment horizontal="center"/>
    </xf>
    <xf numFmtId="176" fontId="6" fillId="0" borderId="33" xfId="0" applyFont="1" applyBorder="1" applyAlignment="1">
      <alignment horizontal="center"/>
    </xf>
    <xf numFmtId="176" fontId="6" fillId="0" borderId="22" xfId="0" applyFont="1" applyBorder="1"/>
    <xf numFmtId="176" fontId="6" fillId="0" borderId="10" xfId="0" applyFont="1" applyBorder="1" applyAlignment="1">
      <alignment horizontal="center"/>
    </xf>
    <xf numFmtId="176" fontId="6" fillId="10" borderId="6" xfId="2" applyNumberFormat="1" applyFont="1" applyFill="1" applyBorder="1" applyAlignment="1">
      <alignment horizontal="center"/>
    </xf>
    <xf numFmtId="176" fontId="8" fillId="0" borderId="10" xfId="0" applyFont="1" applyBorder="1" applyAlignment="1">
      <alignment horizontal="center"/>
    </xf>
    <xf numFmtId="176" fontId="8" fillId="0" borderId="14" xfId="0" applyFont="1" applyBorder="1" applyAlignment="1">
      <alignment horizontal="center"/>
    </xf>
    <xf numFmtId="176" fontId="6" fillId="3" borderId="53" xfId="0" applyFont="1" applyFill="1" applyBorder="1"/>
    <xf numFmtId="182" fontId="6" fillId="11" borderId="8" xfId="0" applyNumberFormat="1" applyFont="1" applyFill="1" applyBorder="1" applyAlignment="1">
      <alignment horizontal="center"/>
    </xf>
    <xf numFmtId="176" fontId="6" fillId="12" borderId="6" xfId="2" applyNumberFormat="1" applyFont="1" applyFill="1" applyBorder="1" applyAlignment="1">
      <alignment horizontal="center"/>
    </xf>
    <xf numFmtId="2" fontId="0" fillId="9" borderId="42" xfId="0" applyNumberFormat="1" applyFill="1" applyBorder="1" applyAlignment="1">
      <alignment horizontal="center"/>
    </xf>
    <xf numFmtId="2" fontId="0" fillId="0" borderId="42" xfId="0" applyNumberFormat="1" applyBorder="1" applyAlignment="1">
      <alignment horizontal="center"/>
    </xf>
    <xf numFmtId="176" fontId="6" fillId="0" borderId="6" xfId="0" applyFont="1" applyBorder="1" applyAlignment="1">
      <alignment horizontal="center"/>
    </xf>
    <xf numFmtId="184" fontId="6" fillId="11" borderId="6" xfId="0" applyNumberFormat="1" applyFont="1" applyFill="1" applyBorder="1" applyAlignment="1">
      <alignment horizontal="center"/>
    </xf>
    <xf numFmtId="176" fontId="6" fillId="11" borderId="6" xfId="0" applyFont="1" applyFill="1" applyBorder="1" applyAlignment="1">
      <alignment horizontal="center"/>
    </xf>
    <xf numFmtId="176" fontId="6" fillId="12" borderId="37" xfId="2" applyNumberFormat="1" applyFont="1" applyFill="1" applyBorder="1" applyAlignment="1">
      <alignment horizontal="center"/>
    </xf>
    <xf numFmtId="0" fontId="0" fillId="0" borderId="0" xfId="0" applyNumberFormat="1" applyAlignment="1">
      <alignment horizontal="center"/>
    </xf>
    <xf numFmtId="0" fontId="29" fillId="0" borderId="6" xfId="4" applyFont="1" applyBorder="1" applyAlignment="1">
      <alignment horizontal="left" vertical="center" wrapText="1"/>
    </xf>
    <xf numFmtId="176" fontId="0" fillId="9" borderId="0" xfId="0" applyFill="1"/>
    <xf numFmtId="176" fontId="31" fillId="0" borderId="0" xfId="0" applyFont="1"/>
    <xf numFmtId="2" fontId="0" fillId="8" borderId="42" xfId="0" applyNumberFormat="1" applyFill="1" applyBorder="1" applyAlignment="1">
      <alignment horizontal="center"/>
    </xf>
    <xf numFmtId="176" fontId="0" fillId="12" borderId="0" xfId="0" applyFill="1"/>
    <xf numFmtId="176" fontId="31" fillId="12" borderId="0" xfId="0" applyFont="1" applyFill="1"/>
    <xf numFmtId="182" fontId="6" fillId="11" borderId="45" xfId="0" applyNumberFormat="1" applyFont="1" applyFill="1" applyBorder="1" applyAlignment="1">
      <alignment horizontal="center"/>
    </xf>
    <xf numFmtId="176" fontId="6" fillId="12" borderId="28" xfId="2" applyNumberFormat="1" applyFont="1" applyFill="1" applyBorder="1" applyAlignment="1">
      <alignment horizontal="center"/>
    </xf>
    <xf numFmtId="176" fontId="6" fillId="0" borderId="28" xfId="0" applyFont="1" applyBorder="1" applyAlignment="1">
      <alignment horizontal="center"/>
    </xf>
    <xf numFmtId="184" fontId="6" fillId="11" borderId="28" xfId="0" applyNumberFormat="1" applyFont="1" applyFill="1" applyBorder="1" applyAlignment="1">
      <alignment horizontal="center"/>
    </xf>
    <xf numFmtId="176" fontId="6" fillId="11" borderId="28" xfId="0" applyFont="1" applyFill="1" applyBorder="1" applyAlignment="1">
      <alignment horizontal="center"/>
    </xf>
    <xf numFmtId="176" fontId="6" fillId="12" borderId="48" xfId="2" applyNumberFormat="1" applyFont="1" applyFill="1" applyBorder="1" applyAlignment="1">
      <alignment horizontal="center"/>
    </xf>
    <xf numFmtId="182" fontId="6" fillId="13" borderId="18" xfId="0" applyNumberFormat="1" applyFont="1" applyFill="1" applyBorder="1" applyAlignment="1">
      <alignment horizontal="center"/>
    </xf>
    <xf numFmtId="176" fontId="6" fillId="0" borderId="23" xfId="0" applyFont="1" applyBorder="1"/>
    <xf numFmtId="176" fontId="8" fillId="0" borderId="54" xfId="0" applyFont="1" applyBorder="1"/>
    <xf numFmtId="176" fontId="8" fillId="0" borderId="55" xfId="2" applyNumberFormat="1" applyFont="1" applyBorder="1" applyAlignment="1">
      <alignment horizontal="center"/>
    </xf>
    <xf numFmtId="178" fontId="8" fillId="0" borderId="56" xfId="2" applyFont="1" applyBorder="1" applyAlignment="1">
      <alignment horizontal="center"/>
    </xf>
    <xf numFmtId="178" fontId="8" fillId="0" borderId="55" xfId="2" applyFont="1" applyBorder="1" applyAlignment="1">
      <alignment horizontal="center"/>
    </xf>
    <xf numFmtId="189" fontId="8" fillId="0" borderId="56" xfId="2" applyNumberFormat="1" applyFont="1" applyBorder="1" applyAlignment="1">
      <alignment horizontal="center"/>
    </xf>
    <xf numFmtId="176" fontId="8" fillId="0" borderId="0" xfId="2" applyNumberFormat="1" applyFont="1" applyBorder="1" applyAlignment="1">
      <alignment horizontal="center"/>
    </xf>
    <xf numFmtId="190" fontId="8" fillId="0" borderId="0" xfId="0" applyNumberFormat="1" applyFont="1" applyAlignment="1">
      <alignment horizontal="center"/>
    </xf>
    <xf numFmtId="176" fontId="8" fillId="0" borderId="23" xfId="2" applyNumberFormat="1" applyFont="1" applyBorder="1" applyAlignment="1">
      <alignment horizontal="center"/>
    </xf>
    <xf numFmtId="176" fontId="6" fillId="0" borderId="50" xfId="0" applyFont="1" applyBorder="1" applyAlignment="1">
      <alignment horizontal="center"/>
    </xf>
    <xf numFmtId="179" fontId="6" fillId="0" borderId="6" xfId="0" applyNumberFormat="1" applyFont="1" applyBorder="1"/>
    <xf numFmtId="184" fontId="6" fillId="0" borderId="42" xfId="2" applyNumberFormat="1" applyFont="1" applyFill="1" applyBorder="1" applyAlignment="1">
      <alignment horizontal="center"/>
    </xf>
    <xf numFmtId="184" fontId="6" fillId="0" borderId="0" xfId="0" applyNumberFormat="1" applyFont="1" applyAlignment="1">
      <alignment horizontal="center"/>
    </xf>
    <xf numFmtId="184" fontId="6" fillId="0" borderId="43" xfId="2" applyNumberFormat="1" applyFont="1" applyFill="1" applyBorder="1" applyAlignment="1">
      <alignment horizontal="center"/>
    </xf>
    <xf numFmtId="179" fontId="0" fillId="0" borderId="6" xfId="0" applyNumberFormat="1" applyBorder="1"/>
    <xf numFmtId="176" fontId="6" fillId="0" borderId="1" xfId="0" applyFont="1" applyBorder="1"/>
    <xf numFmtId="176" fontId="6" fillId="0" borderId="2" xfId="0" applyFont="1" applyBorder="1"/>
    <xf numFmtId="9" fontId="23" fillId="8" borderId="6" xfId="3" applyFont="1" applyFill="1" applyBorder="1" applyAlignment="1">
      <alignment horizontal="center"/>
    </xf>
    <xf numFmtId="176" fontId="8" fillId="0" borderId="3" xfId="2" applyNumberFormat="1" applyFont="1" applyFill="1" applyBorder="1" applyAlignment="1">
      <alignment horizontal="center"/>
    </xf>
    <xf numFmtId="184" fontId="6" fillId="0" borderId="6" xfId="2" applyNumberFormat="1" applyFont="1" applyFill="1" applyBorder="1" applyAlignment="1">
      <alignment horizontal="center"/>
    </xf>
    <xf numFmtId="10" fontId="0" fillId="0" borderId="0" xfId="0" applyNumberFormat="1"/>
    <xf numFmtId="178" fontId="6" fillId="0" borderId="23" xfId="2" applyFont="1" applyFill="1" applyBorder="1"/>
    <xf numFmtId="184" fontId="6" fillId="0" borderId="6" xfId="0" applyNumberFormat="1" applyFont="1" applyBorder="1" applyAlignment="1">
      <alignment horizontal="center"/>
    </xf>
    <xf numFmtId="176" fontId="6" fillId="0" borderId="11" xfId="0" applyFont="1" applyBorder="1"/>
    <xf numFmtId="176" fontId="6" fillId="0" borderId="12" xfId="0" applyFont="1" applyBorder="1"/>
    <xf numFmtId="179" fontId="6" fillId="8" borderId="6" xfId="0" applyNumberFormat="1" applyFont="1" applyFill="1" applyBorder="1"/>
    <xf numFmtId="176" fontId="8" fillId="0" borderId="13" xfId="2" applyNumberFormat="1" applyFont="1" applyFill="1" applyBorder="1" applyAlignment="1">
      <alignment horizontal="center"/>
    </xf>
    <xf numFmtId="9" fontId="23" fillId="0" borderId="6" xfId="3" applyFont="1" applyFill="1" applyBorder="1" applyAlignment="1">
      <alignment horizontal="center"/>
    </xf>
    <xf numFmtId="9" fontId="23" fillId="0" borderId="0" xfId="3" applyFont="1" applyFill="1" applyBorder="1" applyAlignment="1">
      <alignment horizontal="center"/>
    </xf>
    <xf numFmtId="176" fontId="0" fillId="0" borderId="23" xfId="0" applyBorder="1"/>
    <xf numFmtId="184" fontId="6" fillId="0" borderId="0" xfId="0" applyNumberFormat="1" applyFont="1"/>
    <xf numFmtId="176" fontId="6" fillId="0" borderId="57" xfId="0" applyFont="1" applyBorder="1"/>
    <xf numFmtId="9" fontId="23" fillId="0" borderId="9" xfId="3" applyFont="1" applyFill="1" applyBorder="1" applyAlignment="1">
      <alignment horizontal="center"/>
    </xf>
    <xf numFmtId="176" fontId="0" fillId="0" borderId="50" xfId="0" applyBorder="1"/>
    <xf numFmtId="176" fontId="8" fillId="0" borderId="5" xfId="2" applyNumberFormat="1" applyFont="1" applyFill="1" applyBorder="1" applyAlignment="1">
      <alignment horizontal="center"/>
    </xf>
    <xf numFmtId="176" fontId="8" fillId="0" borderId="58" xfId="2" applyNumberFormat="1" applyFont="1" applyFill="1" applyBorder="1" applyAlignment="1">
      <alignment horizontal="center"/>
    </xf>
    <xf numFmtId="183" fontId="9" fillId="0" borderId="34" xfId="0" applyNumberFormat="1" applyFont="1" applyBorder="1"/>
    <xf numFmtId="183" fontId="9" fillId="0" borderId="35" xfId="0" applyNumberFormat="1" applyFont="1" applyBorder="1" applyAlignment="1">
      <alignment horizontal="center"/>
    </xf>
    <xf numFmtId="176" fontId="9" fillId="0" borderId="59" xfId="2" applyNumberFormat="1" applyFont="1" applyFill="1" applyBorder="1" applyAlignment="1">
      <alignment horizontal="center"/>
    </xf>
    <xf numFmtId="176" fontId="9" fillId="0" borderId="8" xfId="0" applyFont="1" applyBorder="1" applyAlignment="1">
      <alignment horizontal="center" vertical="center"/>
    </xf>
    <xf numFmtId="191" fontId="0" fillId="0" borderId="0" xfId="1" applyFont="1"/>
    <xf numFmtId="176" fontId="8" fillId="4" borderId="1" xfId="0" applyFont="1" applyFill="1" applyBorder="1"/>
    <xf numFmtId="176" fontId="9" fillId="0" borderId="3" xfId="0" applyFont="1" applyBorder="1"/>
    <xf numFmtId="9" fontId="13" fillId="0" borderId="33" xfId="0" applyNumberFormat="1" applyFont="1" applyBorder="1" applyAlignment="1">
      <alignment horizontal="center"/>
    </xf>
    <xf numFmtId="176" fontId="6" fillId="0" borderId="25" xfId="0" applyFont="1" applyBorder="1"/>
    <xf numFmtId="178" fontId="8" fillId="0" borderId="6" xfId="2" applyFont="1" applyFill="1" applyBorder="1" applyAlignment="1">
      <alignment horizontal="center"/>
    </xf>
    <xf numFmtId="184" fontId="8" fillId="0" borderId="37" xfId="2" applyNumberFormat="1" applyFont="1" applyFill="1" applyBorder="1" applyAlignment="1">
      <alignment horizontal="center"/>
    </xf>
    <xf numFmtId="185" fontId="0" fillId="0" borderId="8" xfId="2" applyNumberFormat="1" applyFont="1" applyFill="1" applyBorder="1"/>
    <xf numFmtId="176" fontId="33" fillId="0" borderId="25" xfId="0" applyFont="1" applyBorder="1"/>
    <xf numFmtId="184" fontId="34" fillId="0" borderId="37" xfId="2" applyNumberFormat="1" applyFont="1" applyFill="1" applyBorder="1" applyAlignment="1">
      <alignment horizontal="center"/>
    </xf>
    <xf numFmtId="176" fontId="8" fillId="0" borderId="25" xfId="0" applyFont="1" applyBorder="1"/>
    <xf numFmtId="184" fontId="6" fillId="0" borderId="61" xfId="0" applyNumberFormat="1" applyFont="1" applyBorder="1" applyAlignment="1">
      <alignment horizontal="center"/>
    </xf>
    <xf numFmtId="176" fontId="8" fillId="14" borderId="34" xfId="0" applyFont="1" applyFill="1" applyBorder="1"/>
    <xf numFmtId="176" fontId="6" fillId="0" borderId="36" xfId="0" applyFont="1" applyBorder="1"/>
    <xf numFmtId="176" fontId="35" fillId="0" borderId="25" xfId="0" applyFont="1" applyBorder="1"/>
    <xf numFmtId="178" fontId="35" fillId="0" borderId="7" xfId="2" applyFont="1" applyFill="1" applyBorder="1" applyAlignment="1">
      <alignment horizontal="center"/>
    </xf>
    <xf numFmtId="184" fontId="35" fillId="0" borderId="33" xfId="2" applyNumberFormat="1" applyFont="1" applyFill="1" applyBorder="1" applyAlignment="1">
      <alignment horizontal="center"/>
    </xf>
    <xf numFmtId="176" fontId="0" fillId="0" borderId="25" xfId="0" applyBorder="1"/>
    <xf numFmtId="9" fontId="0" fillId="0" borderId="37" xfId="3" applyFont="1" applyFill="1" applyBorder="1"/>
    <xf numFmtId="9" fontId="0" fillId="0" borderId="22" xfId="3" applyFont="1" applyFill="1" applyBorder="1"/>
    <xf numFmtId="176" fontId="36" fillId="0" borderId="36" xfId="2" applyNumberFormat="1" applyFont="1" applyFill="1" applyBorder="1" applyAlignment="1">
      <alignment horizontal="center"/>
    </xf>
    <xf numFmtId="176" fontId="9" fillId="0" borderId="0" xfId="0" applyFont="1" applyAlignment="1">
      <alignment horizontal="center" vertical="center"/>
    </xf>
    <xf numFmtId="176" fontId="6" fillId="0" borderId="40" xfId="0" applyFont="1" applyBorder="1"/>
    <xf numFmtId="176" fontId="0" fillId="0" borderId="6" xfId="0" applyBorder="1"/>
    <xf numFmtId="179" fontId="34" fillId="0" borderId="37" xfId="2" applyNumberFormat="1" applyFont="1" applyFill="1" applyBorder="1" applyAlignment="1">
      <alignment horizontal="center"/>
    </xf>
    <xf numFmtId="185" fontId="0" fillId="0" borderId="0" xfId="2" applyNumberFormat="1" applyFont="1" applyFill="1" applyBorder="1"/>
    <xf numFmtId="176" fontId="2" fillId="0" borderId="57" xfId="0" applyFont="1" applyBorder="1"/>
    <xf numFmtId="176" fontId="40" fillId="0" borderId="33" xfId="2" applyNumberFormat="1" applyFont="1" applyFill="1" applyBorder="1" applyAlignment="1">
      <alignment horizontal="center"/>
    </xf>
    <xf numFmtId="0" fontId="2" fillId="0" borderId="0" xfId="5" applyFont="1">
      <alignment vertical="center"/>
    </xf>
    <xf numFmtId="0" fontId="50" fillId="16" borderId="54" xfId="5" applyFont="1" applyFill="1" applyBorder="1" applyAlignment="1">
      <alignment horizontal="center" vertical="center"/>
    </xf>
    <xf numFmtId="0" fontId="50" fillId="17" borderId="54" xfId="5" applyFont="1" applyFill="1" applyBorder="1" applyAlignment="1">
      <alignment horizontal="center" vertical="center"/>
    </xf>
    <xf numFmtId="0" fontId="51" fillId="0" borderId="56" xfId="5" applyFont="1" applyBorder="1" applyAlignment="1">
      <alignment horizontal="center" vertical="center"/>
    </xf>
    <xf numFmtId="0" fontId="48" fillId="15" borderId="0" xfId="5" applyFont="1" applyFill="1" applyAlignment="1">
      <alignment vertical="center" wrapText="1"/>
    </xf>
    <xf numFmtId="0" fontId="48" fillId="15" borderId="43" xfId="5" applyFont="1" applyFill="1" applyBorder="1" applyAlignment="1">
      <alignment vertical="center" wrapText="1"/>
    </xf>
    <xf numFmtId="0" fontId="48" fillId="15" borderId="31" xfId="5" applyFont="1" applyFill="1" applyBorder="1" applyAlignment="1">
      <alignment vertical="center" wrapText="1"/>
    </xf>
    <xf numFmtId="0" fontId="48" fillId="0" borderId="0" xfId="5" applyFont="1">
      <alignment vertical="center"/>
    </xf>
    <xf numFmtId="0" fontId="48" fillId="19" borderId="0" xfId="5" applyFont="1" applyFill="1" applyAlignment="1">
      <alignment vertical="center" wrapText="1"/>
    </xf>
    <xf numFmtId="0" fontId="56" fillId="0" borderId="6" xfId="5" applyFont="1" applyBorder="1" applyAlignment="1">
      <alignment horizontal="center" vertical="center"/>
    </xf>
    <xf numFmtId="0" fontId="56" fillId="0" borderId="6" xfId="5" applyFont="1" applyBorder="1" applyAlignment="1">
      <alignment horizontal="left" vertical="center"/>
    </xf>
    <xf numFmtId="0" fontId="56" fillId="9" borderId="6" xfId="4" applyFont="1" applyFill="1" applyBorder="1" applyAlignment="1">
      <alignment horizontal="center" vertical="center" wrapText="1"/>
    </xf>
    <xf numFmtId="0" fontId="56" fillId="0" borderId="6" xfId="4" applyFont="1" applyBorder="1" applyAlignment="1">
      <alignment horizontal="center" vertical="center" wrapText="1"/>
    </xf>
    <xf numFmtId="192" fontId="56" fillId="15" borderId="6" xfId="4" applyNumberFormat="1" applyFont="1" applyFill="1" applyBorder="1" applyAlignment="1">
      <alignment horizontal="center" vertical="center" wrapText="1"/>
    </xf>
    <xf numFmtId="193" fontId="56" fillId="15" borderId="6" xfId="4" applyNumberFormat="1" applyFont="1" applyFill="1" applyBorder="1" applyAlignment="1">
      <alignment horizontal="center" vertical="center" wrapText="1"/>
    </xf>
    <xf numFmtId="10" fontId="56" fillId="0" borderId="6" xfId="4" applyNumberFormat="1" applyFont="1" applyBorder="1" applyAlignment="1">
      <alignment horizontal="center" vertical="center" wrapText="1"/>
    </xf>
    <xf numFmtId="10" fontId="56" fillId="15" borderId="6" xfId="4" applyNumberFormat="1" applyFont="1" applyFill="1" applyBorder="1" applyAlignment="1">
      <alignment horizontal="center" vertical="center" wrapText="1"/>
    </xf>
    <xf numFmtId="194" fontId="56" fillId="0" borderId="6" xfId="6" applyNumberFormat="1" applyFont="1" applyFill="1" applyBorder="1" applyAlignment="1">
      <alignment horizontal="center" vertical="center" wrapText="1"/>
    </xf>
    <xf numFmtId="194" fontId="56" fillId="0" borderId="6" xfId="6" applyNumberFormat="1" applyFont="1" applyFill="1" applyBorder="1" applyAlignment="1">
      <alignment horizontal="center" vertical="center"/>
    </xf>
    <xf numFmtId="194" fontId="56" fillId="9" borderId="6" xfId="6" applyNumberFormat="1" applyFont="1" applyFill="1" applyBorder="1" applyAlignment="1">
      <alignment horizontal="center" vertical="center"/>
    </xf>
    <xf numFmtId="0" fontId="56" fillId="9" borderId="6" xfId="5" applyFont="1" applyFill="1" applyBorder="1" applyAlignment="1">
      <alignment horizontal="center" vertical="center"/>
    </xf>
    <xf numFmtId="0" fontId="56" fillId="19" borderId="0" xfId="5" applyFont="1" applyFill="1" applyAlignment="1">
      <alignment horizontal="center" vertical="center"/>
    </xf>
    <xf numFmtId="0" fontId="56" fillId="0" borderId="0" xfId="5" applyFont="1" applyAlignment="1">
      <alignment horizontal="center" vertical="center"/>
    </xf>
    <xf numFmtId="194" fontId="56" fillId="0" borderId="6" xfId="4" applyNumberFormat="1" applyFont="1" applyBorder="1" applyAlignment="1">
      <alignment horizontal="center" vertical="center" wrapText="1"/>
    </xf>
    <xf numFmtId="0" fontId="56" fillId="8" borderId="0" xfId="5" applyFont="1" applyFill="1" applyAlignment="1">
      <alignment horizontal="center" vertical="center"/>
    </xf>
    <xf numFmtId="0" fontId="56" fillId="0" borderId="6" xfId="4" applyFont="1" applyBorder="1" applyAlignment="1">
      <alignment horizontal="left" vertical="center" wrapText="1"/>
    </xf>
    <xf numFmtId="0" fontId="56" fillId="0" borderId="0" xfId="5" applyFont="1">
      <alignment vertical="center"/>
    </xf>
    <xf numFmtId="0" fontId="56" fillId="8" borderId="6" xfId="4" applyFont="1" applyFill="1" applyBorder="1" applyAlignment="1">
      <alignment horizontal="left" vertical="center" wrapText="1"/>
    </xf>
    <xf numFmtId="10" fontId="56" fillId="0" borderId="6" xfId="3" applyNumberFormat="1" applyFont="1" applyFill="1" applyBorder="1" applyAlignment="1">
      <alignment horizontal="center" vertical="center" wrapText="1"/>
    </xf>
    <xf numFmtId="0" fontId="56" fillId="8" borderId="0" xfId="5" applyFont="1" applyFill="1">
      <alignment vertical="center"/>
    </xf>
    <xf numFmtId="0" fontId="56" fillId="9" borderId="6" xfId="4" applyFont="1" applyFill="1" applyBorder="1" applyAlignment="1">
      <alignment horizontal="left" vertical="center" wrapText="1"/>
    </xf>
    <xf numFmtId="194" fontId="58" fillId="8" borderId="63" xfId="7" applyFont="1" applyFill="1" applyBorder="1" applyAlignment="1" applyProtection="1">
      <alignment horizontal="center" vertical="center"/>
      <protection locked="0"/>
    </xf>
    <xf numFmtId="0" fontId="56" fillId="12" borderId="6" xfId="4" applyFont="1" applyFill="1" applyBorder="1" applyAlignment="1">
      <alignment horizontal="left" vertical="center" wrapText="1"/>
    </xf>
    <xf numFmtId="0" fontId="55" fillId="20" borderId="6" xfId="5" applyFont="1" applyFill="1" applyBorder="1" applyAlignment="1">
      <alignment horizontal="center" vertical="center"/>
    </xf>
    <xf numFmtId="0" fontId="55" fillId="20" borderId="6" xfId="5" applyFont="1" applyFill="1" applyBorder="1">
      <alignment vertical="center"/>
    </xf>
    <xf numFmtId="195" fontId="55" fillId="20" borderId="6" xfId="5" applyNumberFormat="1" applyFont="1" applyFill="1" applyBorder="1" applyAlignment="1">
      <alignment horizontal="center" vertical="center"/>
    </xf>
    <xf numFmtId="196" fontId="55" fillId="20" borderId="6" xfId="5" applyNumberFormat="1" applyFont="1" applyFill="1" applyBorder="1" applyAlignment="1">
      <alignment horizontal="center" vertical="center"/>
    </xf>
    <xf numFmtId="197" fontId="55" fillId="20" borderId="6" xfId="5" applyNumberFormat="1" applyFont="1" applyFill="1" applyBorder="1" applyAlignment="1">
      <alignment horizontal="center" vertical="center"/>
    </xf>
    <xf numFmtId="10" fontId="55" fillId="20" borderId="6" xfId="3" applyNumberFormat="1" applyFont="1" applyFill="1" applyBorder="1" applyAlignment="1">
      <alignment horizontal="center" vertical="center"/>
    </xf>
    <xf numFmtId="10" fontId="55" fillId="20" borderId="6" xfId="5" applyNumberFormat="1" applyFont="1" applyFill="1" applyBorder="1" applyAlignment="1">
      <alignment horizontal="center" vertical="center"/>
    </xf>
    <xf numFmtId="194" fontId="55" fillId="20" borderId="6" xfId="6" applyNumberFormat="1" applyFont="1" applyFill="1" applyBorder="1" applyAlignment="1">
      <alignment horizontal="center" vertical="center" wrapText="1"/>
    </xf>
    <xf numFmtId="198" fontId="55" fillId="20" borderId="6" xfId="6" applyNumberFormat="1" applyFont="1" applyFill="1" applyBorder="1" applyAlignment="1">
      <alignment horizontal="center" vertical="center" wrapText="1"/>
    </xf>
    <xf numFmtId="0" fontId="48" fillId="19" borderId="0" xfId="5" applyFont="1" applyFill="1">
      <alignment vertical="center"/>
    </xf>
    <xf numFmtId="2" fontId="58" fillId="9" borderId="63" xfId="7" applyNumberFormat="1" applyFont="1" applyFill="1" applyBorder="1" applyAlignment="1">
      <alignment horizontal="center"/>
    </xf>
    <xf numFmtId="0" fontId="55" fillId="21" borderId="7" xfId="5" applyFont="1" applyFill="1" applyBorder="1">
      <alignment vertical="center"/>
    </xf>
    <xf numFmtId="199" fontId="55" fillId="22" borderId="62" xfId="5" applyNumberFormat="1" applyFont="1" applyFill="1" applyBorder="1" applyAlignment="1">
      <alignment horizontal="center" vertical="center"/>
    </xf>
    <xf numFmtId="195" fontId="59" fillId="21" borderId="6" xfId="5" applyNumberFormat="1" applyFont="1" applyFill="1" applyBorder="1" applyAlignment="1">
      <alignment horizontal="center" vertical="center"/>
    </xf>
    <xf numFmtId="176" fontId="55" fillId="8" borderId="6" xfId="5" applyNumberFormat="1" applyFont="1" applyFill="1" applyBorder="1" applyAlignment="1">
      <alignment horizontal="center" vertical="center"/>
    </xf>
    <xf numFmtId="176" fontId="55" fillId="21" borderId="62" xfId="5" applyNumberFormat="1" applyFont="1" applyFill="1" applyBorder="1" applyAlignment="1">
      <alignment horizontal="center" vertical="center"/>
    </xf>
    <xf numFmtId="176" fontId="55" fillId="21" borderId="62" xfId="3" applyNumberFormat="1" applyFont="1" applyFill="1" applyBorder="1" applyAlignment="1">
      <alignment horizontal="center" vertical="center"/>
    </xf>
    <xf numFmtId="176" fontId="55" fillId="21" borderId="62" xfId="5" applyNumberFormat="1" applyFont="1" applyFill="1" applyBorder="1">
      <alignment vertical="center"/>
    </xf>
    <xf numFmtId="176" fontId="55" fillId="21" borderId="6" xfId="6" applyNumberFormat="1" applyFont="1" applyFill="1" applyBorder="1" applyAlignment="1">
      <alignment horizontal="center" vertical="center" wrapText="1"/>
    </xf>
    <xf numFmtId="198" fontId="55" fillId="21" borderId="6" xfId="6" applyNumberFormat="1" applyFont="1" applyFill="1" applyBorder="1" applyAlignment="1">
      <alignment horizontal="center" vertical="center" wrapText="1"/>
    </xf>
    <xf numFmtId="10" fontId="55" fillId="21" borderId="6" xfId="5" applyNumberFormat="1" applyFont="1" applyFill="1" applyBorder="1" applyAlignment="1">
      <alignment horizontal="center" vertical="center"/>
    </xf>
    <xf numFmtId="176" fontId="55" fillId="21" borderId="62" xfId="6" applyNumberFormat="1" applyFont="1" applyFill="1" applyBorder="1" applyAlignment="1">
      <alignment horizontal="center" vertical="center" wrapText="1"/>
    </xf>
    <xf numFmtId="0" fontId="55" fillId="0" borderId="0" xfId="5" applyFont="1">
      <alignment vertical="center"/>
    </xf>
    <xf numFmtId="0" fontId="2" fillId="0" borderId="0" xfId="5" applyFont="1" applyAlignment="1">
      <alignment horizontal="center" vertical="center"/>
    </xf>
    <xf numFmtId="0" fontId="52" fillId="15" borderId="31" xfId="5" applyFont="1" applyFill="1" applyBorder="1" applyAlignment="1">
      <alignment vertical="center" wrapText="1"/>
    </xf>
    <xf numFmtId="194" fontId="58" fillId="0" borderId="0" xfId="7" applyFont="1" applyProtection="1">
      <protection locked="0"/>
    </xf>
    <xf numFmtId="0" fontId="56" fillId="8" borderId="6" xfId="4" applyFont="1" applyFill="1" applyBorder="1" applyAlignment="1">
      <alignment horizontal="center" vertical="center" wrapText="1"/>
    </xf>
    <xf numFmtId="194" fontId="56" fillId="0" borderId="6" xfId="8" applyNumberFormat="1" applyFont="1" applyFill="1" applyBorder="1" applyAlignment="1">
      <alignment horizontal="center" vertical="center" wrapText="1"/>
    </xf>
    <xf numFmtId="200" fontId="56" fillId="0" borderId="6" xfId="8" applyNumberFormat="1" applyFont="1" applyFill="1" applyBorder="1" applyAlignment="1">
      <alignment horizontal="center" vertical="center" wrapText="1"/>
    </xf>
    <xf numFmtId="0" fontId="0" fillId="0" borderId="0" xfId="5" applyFont="1">
      <alignment vertical="center"/>
    </xf>
    <xf numFmtId="192" fontId="56" fillId="0" borderId="6" xfId="4" applyNumberFormat="1" applyFont="1" applyBorder="1" applyAlignment="1">
      <alignment horizontal="center" vertical="center" wrapText="1"/>
    </xf>
    <xf numFmtId="0" fontId="57" fillId="8" borderId="0" xfId="5" applyFont="1" applyFill="1" applyAlignment="1">
      <alignment horizontal="center" vertical="center"/>
    </xf>
    <xf numFmtId="0" fontId="56" fillId="9" borderId="0" xfId="5" applyFont="1" applyFill="1" applyAlignment="1">
      <alignment horizontal="center" vertical="center"/>
    </xf>
    <xf numFmtId="8" fontId="56" fillId="0" borderId="6" xfId="8" applyNumberFormat="1" applyFont="1" applyFill="1" applyBorder="1" applyAlignment="1">
      <alignment horizontal="center" vertical="center"/>
    </xf>
    <xf numFmtId="0" fontId="30" fillId="9" borderId="0" xfId="5" applyFont="1" applyFill="1" applyAlignment="1">
      <alignment horizontal="center" vertical="center"/>
    </xf>
    <xf numFmtId="0" fontId="56" fillId="9" borderId="0" xfId="5" applyFont="1" applyFill="1">
      <alignment vertical="center"/>
    </xf>
    <xf numFmtId="0" fontId="24" fillId="0" borderId="7" xfId="9" applyFont="1" applyBorder="1" applyAlignment="1">
      <alignment vertical="center"/>
    </xf>
    <xf numFmtId="0" fontId="24" fillId="0" borderId="62" xfId="9" applyFont="1" applyBorder="1" applyAlignment="1">
      <alignment vertical="center"/>
    </xf>
    <xf numFmtId="0" fontId="24" fillId="0" borderId="8" xfId="9" applyFont="1" applyBorder="1" applyAlignment="1">
      <alignment vertical="center"/>
    </xf>
    <xf numFmtId="0" fontId="60" fillId="0" borderId="0" xfId="9" applyAlignment="1">
      <alignment vertical="center"/>
    </xf>
    <xf numFmtId="0" fontId="2" fillId="0" borderId="6" xfId="9" applyFont="1" applyBorder="1" applyAlignment="1">
      <alignment horizontal="left" vertical="center"/>
    </xf>
    <xf numFmtId="0" fontId="2" fillId="0" borderId="6" xfId="9" applyFont="1" applyBorder="1" applyAlignment="1">
      <alignment horizontal="center" vertical="center"/>
    </xf>
    <xf numFmtId="201" fontId="2" fillId="0" borderId="6" xfId="9" applyNumberFormat="1" applyFont="1" applyBorder="1" applyAlignment="1">
      <alignment horizontal="left" vertical="center"/>
    </xf>
    <xf numFmtId="201" fontId="2" fillId="8" borderId="6" xfId="9" applyNumberFormat="1" applyFont="1" applyFill="1" applyBorder="1" applyAlignment="1">
      <alignment horizontal="left" vertical="center"/>
    </xf>
    <xf numFmtId="202" fontId="2" fillId="0" borderId="6" xfId="9" applyNumberFormat="1" applyFont="1" applyBorder="1" applyAlignment="1">
      <alignment horizontal="left" vertical="center"/>
    </xf>
    <xf numFmtId="202" fontId="27" fillId="0" borderId="6" xfId="9" applyNumberFormat="1" applyFont="1" applyBorder="1" applyAlignment="1">
      <alignment horizontal="left" vertical="center"/>
    </xf>
    <xf numFmtId="0" fontId="32" fillId="0" borderId="6" xfId="9" applyFont="1" applyBorder="1" applyAlignment="1">
      <alignment horizontal="left" vertical="center"/>
    </xf>
    <xf numFmtId="0" fontId="32" fillId="8" borderId="6" xfId="9" applyFont="1" applyFill="1" applyBorder="1" applyAlignment="1">
      <alignment horizontal="left" vertical="center"/>
    </xf>
    <xf numFmtId="0" fontId="32" fillId="0" borderId="6" xfId="9" applyFont="1" applyBorder="1" applyAlignment="1">
      <alignment horizontal="center" vertical="center"/>
    </xf>
    <xf numFmtId="201" fontId="32" fillId="0" borderId="6" xfId="9" applyNumberFormat="1" applyFont="1" applyBorder="1" applyAlignment="1">
      <alignment horizontal="left" vertical="center"/>
    </xf>
    <xf numFmtId="202" fontId="32" fillId="0" borderId="6" xfId="9" applyNumberFormat="1" applyFont="1" applyBorder="1" applyAlignment="1">
      <alignment horizontal="left" vertical="center"/>
    </xf>
    <xf numFmtId="176" fontId="63" fillId="8" borderId="6" xfId="0" applyFont="1" applyFill="1" applyBorder="1"/>
    <xf numFmtId="201" fontId="32" fillId="8" borderId="6" xfId="9" applyNumberFormat="1" applyFont="1" applyFill="1" applyBorder="1" applyAlignment="1">
      <alignment horizontal="left" vertical="center"/>
    </xf>
    <xf numFmtId="0" fontId="60" fillId="0" borderId="0" xfId="9" applyAlignment="1">
      <alignment horizontal="center" vertical="center"/>
    </xf>
    <xf numFmtId="0" fontId="58" fillId="0" borderId="64" xfId="10" applyFont="1" applyBorder="1"/>
    <xf numFmtId="0" fontId="58" fillId="0" borderId="64" xfId="10" applyFont="1" applyBorder="1" applyAlignment="1">
      <alignment horizontal="left"/>
    </xf>
    <xf numFmtId="0" fontId="58" fillId="0" borderId="64" xfId="10" applyFont="1" applyBorder="1" applyAlignment="1">
      <alignment vertical="center"/>
    </xf>
    <xf numFmtId="0" fontId="58" fillId="0" borderId="65" xfId="10" applyFont="1" applyBorder="1"/>
    <xf numFmtId="0" fontId="58" fillId="0" borderId="66" xfId="10" applyFont="1" applyBorder="1"/>
    <xf numFmtId="0" fontId="58" fillId="0" borderId="64" xfId="10" applyFont="1" applyBorder="1" applyProtection="1">
      <protection locked="0"/>
    </xf>
    <xf numFmtId="0" fontId="58" fillId="0" borderId="0" xfId="10" applyFont="1" applyProtection="1">
      <protection locked="0"/>
    </xf>
    <xf numFmtId="0" fontId="66" fillId="0" borderId="64" xfId="10" applyFont="1" applyBorder="1"/>
    <xf numFmtId="0" fontId="58" fillId="0" borderId="67" xfId="10" applyFont="1" applyBorder="1" applyProtection="1">
      <protection locked="0"/>
    </xf>
    <xf numFmtId="0" fontId="58" fillId="0" borderId="68" xfId="10" applyFont="1" applyBorder="1" applyAlignment="1">
      <alignment horizontal="left"/>
    </xf>
    <xf numFmtId="0" fontId="58" fillId="0" borderId="68" xfId="10" applyFont="1" applyBorder="1" applyAlignment="1">
      <alignment vertical="center"/>
    </xf>
    <xf numFmtId="0" fontId="58" fillId="0" borderId="69" xfId="10" applyFont="1" applyBorder="1"/>
    <xf numFmtId="0" fontId="58" fillId="9" borderId="0" xfId="10" applyFont="1" applyFill="1" applyAlignment="1">
      <alignment horizontal="center" vertical="center"/>
    </xf>
    <xf numFmtId="0" fontId="58" fillId="0" borderId="68" xfId="10" applyFont="1" applyBorder="1" applyProtection="1">
      <protection locked="0"/>
    </xf>
    <xf numFmtId="0" fontId="58" fillId="0" borderId="68" xfId="10" applyFont="1" applyBorder="1"/>
    <xf numFmtId="0" fontId="67" fillId="9" borderId="0" xfId="10" applyFont="1" applyFill="1" applyAlignment="1">
      <alignment horizontal="center" vertical="center"/>
    </xf>
    <xf numFmtId="0" fontId="58" fillId="9" borderId="0" xfId="10" applyFont="1" applyFill="1"/>
    <xf numFmtId="0" fontId="68" fillId="9" borderId="0" xfId="10" applyFont="1" applyFill="1" applyAlignment="1">
      <alignment horizontal="center" vertical="center"/>
    </xf>
    <xf numFmtId="0" fontId="69" fillId="0" borderId="71" xfId="10" applyFont="1" applyBorder="1" applyAlignment="1" applyProtection="1">
      <alignment horizontal="center"/>
      <protection locked="0"/>
    </xf>
    <xf numFmtId="0" fontId="58" fillId="9" borderId="0" xfId="10" applyFont="1" applyFill="1" applyAlignment="1">
      <alignment horizontal="center"/>
    </xf>
    <xf numFmtId="14" fontId="58" fillId="0" borderId="72" xfId="10" applyNumberFormat="1" applyFont="1" applyBorder="1" applyAlignment="1" applyProtection="1">
      <alignment horizontal="center" vertical="center"/>
      <protection locked="0"/>
    </xf>
    <xf numFmtId="0" fontId="58" fillId="0" borderId="64" xfId="10" applyFont="1" applyBorder="1" applyAlignment="1">
      <alignment horizontal="center"/>
    </xf>
    <xf numFmtId="203" fontId="58" fillId="0" borderId="72" xfId="10" quotePrefix="1" applyNumberFormat="1" applyFont="1" applyBorder="1" applyAlignment="1" applyProtection="1">
      <alignment horizontal="center" vertical="center"/>
      <protection locked="0"/>
    </xf>
    <xf numFmtId="178" fontId="58" fillId="0" borderId="72" xfId="11" applyFont="1" applyBorder="1" applyAlignment="1" applyProtection="1">
      <alignment horizontal="center" vertical="center"/>
      <protection locked="0"/>
    </xf>
    <xf numFmtId="0" fontId="58" fillId="0" borderId="66" xfId="10" applyFont="1" applyBorder="1" applyAlignment="1">
      <alignment horizontal="center"/>
    </xf>
    <xf numFmtId="9" fontId="58" fillId="23" borderId="72" xfId="12" applyFont="1" applyFill="1" applyBorder="1" applyAlignment="1">
      <alignment horizontal="center"/>
    </xf>
    <xf numFmtId="0" fontId="66" fillId="0" borderId="64" xfId="10" applyFont="1" applyBorder="1" applyAlignment="1">
      <alignment vertical="center"/>
    </xf>
    <xf numFmtId="0" fontId="58" fillId="0" borderId="64" xfId="10" applyFont="1" applyBorder="1" applyAlignment="1" applyProtection="1">
      <alignment vertical="center"/>
      <protection locked="0"/>
    </xf>
    <xf numFmtId="0" fontId="58" fillId="0" borderId="64" xfId="10" applyFont="1" applyBorder="1" applyAlignment="1">
      <alignment vertical="center" wrapText="1"/>
    </xf>
    <xf numFmtId="0" fontId="58" fillId="24" borderId="74" xfId="10" applyFont="1" applyFill="1" applyBorder="1" applyAlignment="1">
      <alignment horizontal="center" vertical="center"/>
    </xf>
    <xf numFmtId="0" fontId="58" fillId="0" borderId="74" xfId="10" applyFont="1" applyBorder="1" applyAlignment="1">
      <alignment horizontal="center"/>
    </xf>
    <xf numFmtId="0" fontId="58" fillId="0" borderId="65" xfId="10" applyFont="1" applyBorder="1" applyAlignment="1">
      <alignment horizontal="center"/>
    </xf>
    <xf numFmtId="0" fontId="58" fillId="0" borderId="75" xfId="10" applyFont="1" applyBorder="1" applyAlignment="1" applyProtection="1">
      <alignment horizontal="center" vertical="center"/>
      <protection locked="0"/>
    </xf>
    <xf numFmtId="178" fontId="58" fillId="0" borderId="75" xfId="11" applyFont="1" applyBorder="1" applyAlignment="1" applyProtection="1">
      <alignment horizontal="center" vertical="center"/>
      <protection locked="0"/>
    </xf>
    <xf numFmtId="2" fontId="58" fillId="23" borderId="72" xfId="10" applyNumberFormat="1" applyFont="1" applyFill="1" applyBorder="1" applyAlignment="1">
      <alignment horizontal="center"/>
    </xf>
    <xf numFmtId="0" fontId="2" fillId="25" borderId="63" xfId="10" applyFont="1" applyFill="1" applyBorder="1" applyAlignment="1">
      <alignment horizontal="center" vertical="center"/>
    </xf>
    <xf numFmtId="0" fontId="58" fillId="9" borderId="72" xfId="10" applyFont="1" applyFill="1" applyBorder="1" applyAlignment="1" applyProtection="1">
      <alignment horizontal="center"/>
      <protection locked="0"/>
    </xf>
    <xf numFmtId="0" fontId="58" fillId="0" borderId="66" xfId="10" applyFont="1" applyBorder="1" applyAlignment="1">
      <alignment horizontal="center" wrapText="1"/>
    </xf>
    <xf numFmtId="9" fontId="58" fillId="23" borderId="72" xfId="10" applyNumberFormat="1" applyFont="1" applyFill="1" applyBorder="1" applyAlignment="1">
      <alignment horizontal="center"/>
    </xf>
    <xf numFmtId="0" fontId="58" fillId="0" borderId="67" xfId="10" applyFont="1" applyBorder="1" applyAlignment="1" applyProtection="1">
      <alignment vertical="center"/>
      <protection locked="0"/>
    </xf>
    <xf numFmtId="0" fontId="58" fillId="9" borderId="77" xfId="10" applyFont="1" applyFill="1" applyBorder="1" applyAlignment="1">
      <alignment horizontal="center" vertical="center"/>
    </xf>
    <xf numFmtId="0" fontId="58" fillId="0" borderId="68" xfId="10" applyFont="1" applyBorder="1" applyAlignment="1">
      <alignment horizontal="center" wrapText="1"/>
    </xf>
    <xf numFmtId="14" fontId="58" fillId="23" borderId="72" xfId="10" applyNumberFormat="1" applyFont="1" applyFill="1" applyBorder="1" applyAlignment="1">
      <alignment horizontal="center"/>
    </xf>
    <xf numFmtId="0" fontId="58" fillId="8" borderId="77" xfId="10" applyFont="1" applyFill="1" applyBorder="1" applyAlignment="1">
      <alignment horizontal="center" vertical="center"/>
    </xf>
    <xf numFmtId="0" fontId="58" fillId="0" borderId="73" xfId="10" applyFont="1" applyBorder="1" applyAlignment="1">
      <alignment horizontal="center"/>
    </xf>
    <xf numFmtId="0" fontId="70" fillId="0" borderId="65" xfId="10" applyFont="1" applyBorder="1" applyAlignment="1">
      <alignment horizontal="right"/>
    </xf>
    <xf numFmtId="0" fontId="58" fillId="0" borderId="79" xfId="10" applyFont="1" applyBorder="1" applyAlignment="1">
      <alignment vertical="center"/>
    </xf>
    <xf numFmtId="0" fontId="58" fillId="0" borderId="78" xfId="10" applyFont="1" applyBorder="1" applyAlignment="1" applyProtection="1">
      <alignment horizontal="center" vertical="center"/>
      <protection locked="0"/>
    </xf>
    <xf numFmtId="0" fontId="58" fillId="0" borderId="74" xfId="10" applyFont="1" applyBorder="1" applyAlignment="1" applyProtection="1">
      <alignment horizontal="center" vertical="center"/>
      <protection locked="0"/>
    </xf>
    <xf numFmtId="0" fontId="58" fillId="9" borderId="72" xfId="12" applyNumberFormat="1" applyFont="1" applyFill="1" applyBorder="1" applyAlignment="1" applyProtection="1">
      <alignment horizontal="center" vertical="center"/>
      <protection locked="0"/>
    </xf>
    <xf numFmtId="0" fontId="58" fillId="0" borderId="72" xfId="10" applyFont="1" applyBorder="1" applyAlignment="1" applyProtection="1">
      <alignment horizontal="center"/>
      <protection locked="0"/>
    </xf>
    <xf numFmtId="1" fontId="58" fillId="0" borderId="64" xfId="10" applyNumberFormat="1" applyFont="1" applyBorder="1" applyAlignment="1">
      <alignment horizontal="center" vertical="center"/>
    </xf>
    <xf numFmtId="0" fontId="58" fillId="0" borderId="79" xfId="10" applyFont="1" applyBorder="1"/>
    <xf numFmtId="0" fontId="58" fillId="0" borderId="80" xfId="10" applyFont="1" applyBorder="1" applyAlignment="1">
      <alignment vertical="center"/>
    </xf>
    <xf numFmtId="0" fontId="58" fillId="0" borderId="80" xfId="10" applyFont="1" applyBorder="1"/>
    <xf numFmtId="0" fontId="70" fillId="0" borderId="6" xfId="10" applyFont="1" applyBorder="1" applyAlignment="1">
      <alignment horizontal="center" vertical="center"/>
    </xf>
    <xf numFmtId="204" fontId="70" fillId="0" borderId="6" xfId="10" applyNumberFormat="1" applyFont="1" applyBorder="1" applyAlignment="1">
      <alignment horizontal="center" vertical="center"/>
    </xf>
    <xf numFmtId="0" fontId="58" fillId="0" borderId="67" xfId="10" applyFont="1" applyBorder="1"/>
    <xf numFmtId="0" fontId="58" fillId="24" borderId="64" xfId="10" applyFont="1" applyFill="1" applyBorder="1" applyAlignment="1">
      <alignment horizontal="center" vertical="center"/>
    </xf>
    <xf numFmtId="178" fontId="58" fillId="24" borderId="79" xfId="11" applyFont="1" applyFill="1" applyBorder="1" applyAlignment="1">
      <alignment horizontal="center" vertical="center"/>
    </xf>
    <xf numFmtId="205" fontId="58" fillId="24" borderId="64" xfId="10" applyNumberFormat="1" applyFont="1" applyFill="1" applyBorder="1" applyAlignment="1">
      <alignment horizontal="center" vertical="center"/>
    </xf>
    <xf numFmtId="0" fontId="70" fillId="26" borderId="63" xfId="10" applyFont="1" applyFill="1" applyBorder="1" applyAlignment="1">
      <alignment horizontal="center" vertical="center" wrapText="1"/>
    </xf>
    <xf numFmtId="0" fontId="70" fillId="26" borderId="81" xfId="10" applyFont="1" applyFill="1" applyBorder="1" applyAlignment="1">
      <alignment horizontal="center" vertical="center" wrapText="1"/>
    </xf>
    <xf numFmtId="0" fontId="70" fillId="26" borderId="63" xfId="10" applyFont="1" applyFill="1" applyBorder="1" applyAlignment="1">
      <alignment horizontal="center" vertical="center"/>
    </xf>
    <xf numFmtId="0" fontId="70" fillId="26" borderId="82" xfId="10" applyFont="1" applyFill="1" applyBorder="1" applyAlignment="1">
      <alignment horizontal="center" vertical="center" wrapText="1"/>
    </xf>
    <xf numFmtId="0" fontId="70" fillId="26" borderId="83" xfId="10" applyFont="1" applyFill="1" applyBorder="1" applyAlignment="1">
      <alignment horizontal="center" vertical="center" wrapText="1"/>
    </xf>
    <xf numFmtId="0" fontId="70" fillId="26" borderId="0" xfId="10" applyFont="1" applyFill="1" applyAlignment="1">
      <alignment horizontal="center" vertical="center" wrapText="1"/>
    </xf>
    <xf numFmtId="0" fontId="27" fillId="27" borderId="68" xfId="10" applyFont="1" applyFill="1" applyBorder="1" applyAlignment="1">
      <alignment horizontal="center" vertical="center"/>
    </xf>
    <xf numFmtId="0" fontId="27" fillId="27" borderId="68" xfId="10" applyFont="1" applyFill="1" applyBorder="1" applyAlignment="1">
      <alignment horizontal="center" vertical="center" wrapText="1"/>
    </xf>
    <xf numFmtId="0" fontId="27" fillId="0" borderId="64" xfId="10" applyFont="1" applyBorder="1" applyAlignment="1">
      <alignment horizontal="center" vertical="center"/>
    </xf>
    <xf numFmtId="0" fontId="71" fillId="28" borderId="64" xfId="10" applyFont="1" applyFill="1" applyBorder="1" applyAlignment="1">
      <alignment horizontal="center" vertical="center" wrapText="1"/>
    </xf>
    <xf numFmtId="0" fontId="72" fillId="0" borderId="64" xfId="10" applyFont="1" applyBorder="1" applyAlignment="1">
      <alignment horizontal="center" vertical="center" wrapText="1"/>
    </xf>
    <xf numFmtId="0" fontId="58" fillId="0" borderId="83" xfId="10" applyFont="1" applyBorder="1" applyAlignment="1" applyProtection="1">
      <alignment horizontal="center"/>
      <protection locked="0"/>
    </xf>
    <xf numFmtId="0" fontId="58" fillId="0" borderId="0" xfId="10" applyFont="1" applyAlignment="1" applyProtection="1">
      <alignment horizontal="center"/>
      <protection locked="0"/>
    </xf>
    <xf numFmtId="0" fontId="58" fillId="24" borderId="65" xfId="10" applyFont="1" applyFill="1" applyBorder="1" applyAlignment="1">
      <alignment horizontal="left"/>
    </xf>
    <xf numFmtId="0" fontId="58" fillId="29" borderId="77" xfId="10" applyFont="1" applyFill="1" applyBorder="1" applyAlignment="1" applyProtection="1">
      <alignment horizontal="center" wrapText="1"/>
      <protection locked="0"/>
    </xf>
    <xf numFmtId="0" fontId="58" fillId="0" borderId="77" xfId="10" applyFont="1" applyBorder="1" applyAlignment="1" applyProtection="1">
      <alignment horizontal="center"/>
      <protection locked="0"/>
    </xf>
    <xf numFmtId="0" fontId="58" fillId="0" borderId="84" xfId="10" applyFont="1" applyBorder="1" applyAlignment="1" applyProtection="1">
      <alignment horizontal="center"/>
      <protection locked="0"/>
    </xf>
    <xf numFmtId="1" fontId="58" fillId="0" borderId="85" xfId="11" applyNumberFormat="1" applyFont="1" applyBorder="1" applyAlignment="1" applyProtection="1">
      <alignment horizontal="center" vertical="center"/>
      <protection locked="0"/>
    </xf>
    <xf numFmtId="178" fontId="58" fillId="0" borderId="85" xfId="11" applyFont="1" applyBorder="1" applyAlignment="1" applyProtection="1">
      <protection locked="0"/>
    </xf>
    <xf numFmtId="178" fontId="58" fillId="0" borderId="86" xfId="11" applyFont="1" applyBorder="1" applyAlignment="1" applyProtection="1">
      <protection locked="0"/>
    </xf>
    <xf numFmtId="178" fontId="58" fillId="0" borderId="87" xfId="11" applyFont="1" applyBorder="1" applyAlignment="1" applyProtection="1">
      <protection locked="0"/>
    </xf>
    <xf numFmtId="2" fontId="58" fillId="24" borderId="65" xfId="10" applyNumberFormat="1" applyFont="1" applyFill="1" applyBorder="1" applyAlignment="1">
      <alignment horizontal="center" vertical="center"/>
    </xf>
    <xf numFmtId="186" fontId="58" fillId="24" borderId="65" xfId="11" applyNumberFormat="1" applyFont="1" applyFill="1" applyBorder="1" applyAlignment="1">
      <alignment horizontal="center" vertical="center"/>
    </xf>
    <xf numFmtId="0" fontId="58" fillId="24" borderId="64" xfId="10" applyFont="1" applyFill="1" applyBorder="1"/>
    <xf numFmtId="178" fontId="58" fillId="24" borderId="64" xfId="11" applyFont="1" applyFill="1" applyBorder="1" applyProtection="1"/>
    <xf numFmtId="1" fontId="58" fillId="24" borderId="64" xfId="10" applyNumberFormat="1" applyFont="1" applyFill="1" applyBorder="1" applyAlignment="1">
      <alignment horizontal="center" vertical="center"/>
    </xf>
    <xf numFmtId="0" fontId="58" fillId="0" borderId="64" xfId="10" applyFont="1" applyBorder="1" applyAlignment="1" applyProtection="1">
      <alignment horizontal="center"/>
      <protection locked="0"/>
    </xf>
    <xf numFmtId="0" fontId="66" fillId="0" borderId="64" xfId="10" applyFont="1" applyBorder="1" applyAlignment="1">
      <alignment horizontal="center"/>
    </xf>
    <xf numFmtId="0" fontId="58" fillId="0" borderId="63" xfId="10" applyFont="1" applyBorder="1" applyAlignment="1" applyProtection="1">
      <alignment horizontal="center"/>
      <protection locked="0"/>
    </xf>
    <xf numFmtId="0" fontId="58" fillId="29" borderId="88" xfId="10" applyFont="1" applyFill="1" applyBorder="1" applyAlignment="1" applyProtection="1">
      <alignment horizontal="center" wrapText="1"/>
      <protection locked="0"/>
    </xf>
    <xf numFmtId="2" fontId="58" fillId="0" borderId="63" xfId="10" applyNumberFormat="1" applyFont="1" applyBorder="1" applyAlignment="1" applyProtection="1">
      <alignment horizontal="center"/>
      <protection locked="0"/>
    </xf>
    <xf numFmtId="205" fontId="58" fillId="0" borderId="63" xfId="10" applyNumberFormat="1" applyFont="1" applyBorder="1" applyAlignment="1" applyProtection="1">
      <alignment horizontal="center"/>
      <protection locked="0"/>
    </xf>
    <xf numFmtId="178" fontId="58" fillId="8" borderId="87" xfId="11" applyFont="1" applyFill="1" applyBorder="1" applyAlignment="1" applyProtection="1">
      <protection locked="0"/>
    </xf>
    <xf numFmtId="0" fontId="58" fillId="30" borderId="63" xfId="10" applyFont="1" applyFill="1" applyBorder="1" applyAlignment="1" applyProtection="1">
      <alignment horizontal="center"/>
      <protection locked="0"/>
    </xf>
    <xf numFmtId="0" fontId="58" fillId="0" borderId="86" xfId="11" applyNumberFormat="1" applyFont="1" applyBorder="1" applyAlignment="1" applyProtection="1">
      <alignment horizontal="left" vertical="center"/>
      <protection locked="0"/>
    </xf>
    <xf numFmtId="178" fontId="58" fillId="0" borderId="87" xfId="11" applyFont="1" applyFill="1" applyBorder="1" applyAlignment="1" applyProtection="1">
      <protection locked="0"/>
    </xf>
    <xf numFmtId="0" fontId="58" fillId="30" borderId="63" xfId="10" applyFont="1" applyFill="1" applyBorder="1" applyAlignment="1" applyProtection="1">
      <alignment horizontal="center" vertical="center"/>
      <protection locked="0"/>
    </xf>
    <xf numFmtId="2" fontId="58" fillId="0" borderId="85" xfId="11" applyNumberFormat="1" applyFont="1" applyBorder="1" applyAlignment="1" applyProtection="1">
      <alignment horizontal="center" vertical="center"/>
      <protection locked="0"/>
    </xf>
    <xf numFmtId="2" fontId="58" fillId="0" borderId="85" xfId="11" applyNumberFormat="1" applyFont="1" applyBorder="1" applyAlignment="1" applyProtection="1">
      <protection locked="0"/>
    </xf>
    <xf numFmtId="0" fontId="58" fillId="9" borderId="64" xfId="10" applyFont="1" applyFill="1" applyBorder="1" applyAlignment="1" applyProtection="1">
      <alignment vertical="center"/>
      <protection locked="0"/>
    </xf>
    <xf numFmtId="0" fontId="58" fillId="0" borderId="79" xfId="10" applyFont="1" applyBorder="1" applyProtection="1">
      <protection locked="0"/>
    </xf>
    <xf numFmtId="194" fontId="74" fillId="9" borderId="0" xfId="13" applyFont="1" applyFill="1" applyAlignment="1">
      <alignment vertical="center" wrapText="1"/>
    </xf>
    <xf numFmtId="9" fontId="76" fillId="0" borderId="6" xfId="13" applyNumberFormat="1" applyFont="1" applyBorder="1" applyAlignment="1">
      <alignment horizontal="left" vertical="center" wrapText="1"/>
    </xf>
    <xf numFmtId="194" fontId="75" fillId="9" borderId="0" xfId="13" applyFont="1" applyFill="1" applyAlignment="1">
      <alignment vertical="center" wrapText="1"/>
    </xf>
    <xf numFmtId="207" fontId="76" fillId="0" borderId="6" xfId="13" applyNumberFormat="1" applyFont="1" applyBorder="1" applyAlignment="1">
      <alignment horizontal="left" vertical="center" wrapText="1"/>
    </xf>
    <xf numFmtId="9" fontId="76" fillId="31" borderId="6" xfId="13" applyNumberFormat="1" applyFont="1" applyFill="1" applyBorder="1" applyAlignment="1">
      <alignment horizontal="left" vertical="center" wrapText="1"/>
    </xf>
    <xf numFmtId="194" fontId="79" fillId="9" borderId="6" xfId="13" applyFont="1" applyFill="1" applyBorder="1" applyAlignment="1">
      <alignment horizontal="center" vertical="center" wrapText="1"/>
    </xf>
    <xf numFmtId="194" fontId="79" fillId="9" borderId="6" xfId="13" applyFont="1" applyFill="1" applyBorder="1" applyAlignment="1">
      <alignment vertical="center" wrapText="1"/>
    </xf>
    <xf numFmtId="194" fontId="83" fillId="9" borderId="0" xfId="13" applyFont="1" applyFill="1" applyAlignment="1">
      <alignment vertical="center" wrapText="1"/>
    </xf>
    <xf numFmtId="194" fontId="79" fillId="9" borderId="6" xfId="15" applyFont="1" applyFill="1" applyBorder="1" applyAlignment="1">
      <alignment horizontal="center" vertical="center" wrapText="1"/>
    </xf>
    <xf numFmtId="2" fontId="79" fillId="9" borderId="16" xfId="15" applyNumberFormat="1" applyFont="1" applyFill="1" applyBorder="1" applyAlignment="1">
      <alignment horizontal="center" vertical="center" wrapText="1"/>
    </xf>
    <xf numFmtId="2" fontId="79" fillId="9" borderId="6" xfId="15" applyNumberFormat="1" applyFont="1" applyFill="1" applyBorder="1" applyAlignment="1">
      <alignment horizontal="center" vertical="center" wrapText="1"/>
    </xf>
    <xf numFmtId="2" fontId="79" fillId="0" borderId="6" xfId="15" applyNumberFormat="1" applyFont="1" applyBorder="1" applyAlignment="1">
      <alignment horizontal="center" vertical="center" wrapText="1"/>
    </xf>
    <xf numFmtId="194" fontId="81" fillId="19" borderId="16" xfId="13" applyFont="1" applyFill="1" applyBorder="1" applyAlignment="1">
      <alignment vertical="center" wrapText="1"/>
    </xf>
    <xf numFmtId="38" fontId="85" fillId="12" borderId="6" xfId="13" applyNumberFormat="1" applyFont="1" applyFill="1" applyBorder="1" applyAlignment="1">
      <alignment horizontal="center" vertical="center" wrapText="1"/>
    </xf>
    <xf numFmtId="2" fontId="76" fillId="9" borderId="6" xfId="15" applyNumberFormat="1" applyFont="1" applyFill="1" applyBorder="1" applyAlignment="1">
      <alignment horizontal="left" vertical="center" wrapText="1"/>
    </xf>
    <xf numFmtId="0" fontId="76" fillId="0" borderId="6" xfId="15" applyNumberFormat="1" applyFont="1" applyBorder="1" applyAlignment="1">
      <alignment horizontal="center" vertical="center" wrapText="1"/>
    </xf>
    <xf numFmtId="192" fontId="85" fillId="0" borderId="8" xfId="15" applyNumberFormat="1" applyFont="1" applyBorder="1" applyAlignment="1">
      <alignment horizontal="center" vertical="center" wrapText="1"/>
    </xf>
    <xf numFmtId="2" fontId="76" fillId="0" borderId="8" xfId="15" applyNumberFormat="1" applyFont="1" applyBorder="1" applyAlignment="1">
      <alignment horizontal="center" vertical="center" wrapText="1"/>
    </xf>
    <xf numFmtId="1" fontId="76" fillId="0" borderId="8" xfId="15" applyNumberFormat="1" applyFont="1" applyBorder="1" applyAlignment="1">
      <alignment horizontal="center" vertical="center" wrapText="1"/>
    </xf>
    <xf numFmtId="192" fontId="85" fillId="12" borderId="8" xfId="15" applyNumberFormat="1" applyFont="1" applyFill="1" applyBorder="1" applyAlignment="1">
      <alignment horizontal="center" vertical="center" wrapText="1"/>
    </xf>
    <xf numFmtId="193" fontId="85" fillId="12" borderId="6" xfId="15" applyNumberFormat="1" applyFont="1" applyFill="1" applyBorder="1" applyAlignment="1">
      <alignment horizontal="center" vertical="center" wrapText="1"/>
    </xf>
    <xf numFmtId="10" fontId="76" fillId="0" borderId="6" xfId="14" applyNumberFormat="1" applyFont="1" applyFill="1" applyBorder="1" applyAlignment="1">
      <alignment horizontal="center" vertical="center" wrapText="1"/>
    </xf>
    <xf numFmtId="10" fontId="85" fillId="12" borderId="6" xfId="15" applyNumberFormat="1" applyFont="1" applyFill="1" applyBorder="1" applyAlignment="1">
      <alignment horizontal="center" vertical="center" wrapText="1"/>
    </xf>
    <xf numFmtId="2" fontId="76" fillId="19" borderId="6" xfId="15" applyNumberFormat="1" applyFont="1" applyFill="1" applyBorder="1" applyAlignment="1">
      <alignment horizontal="center" vertical="center" wrapText="1"/>
    </xf>
    <xf numFmtId="2" fontId="76" fillId="19" borderId="8" xfId="15" applyNumberFormat="1" applyFont="1" applyFill="1" applyBorder="1" applyAlignment="1">
      <alignment horizontal="center" vertical="center" wrapText="1"/>
    </xf>
    <xf numFmtId="10" fontId="85" fillId="0" borderId="6" xfId="15" applyNumberFormat="1" applyFont="1" applyBorder="1" applyAlignment="1">
      <alignment horizontal="center" vertical="center" wrapText="1"/>
    </xf>
    <xf numFmtId="1" fontId="85" fillId="0" borderId="6" xfId="15" applyNumberFormat="1" applyFont="1" applyBorder="1" applyAlignment="1">
      <alignment horizontal="center" vertical="center" wrapText="1"/>
    </xf>
    <xf numFmtId="26" fontId="85" fillId="0" borderId="6" xfId="6" applyNumberFormat="1" applyFont="1" applyFill="1" applyBorder="1" applyAlignment="1">
      <alignment horizontal="center" vertical="center" wrapText="1"/>
    </xf>
    <xf numFmtId="26" fontId="86" fillId="0" borderId="6" xfId="6" applyNumberFormat="1" applyFont="1" applyFill="1" applyBorder="1" applyAlignment="1">
      <alignment horizontal="center" vertical="center" wrapText="1"/>
    </xf>
    <xf numFmtId="194" fontId="75" fillId="9" borderId="6" xfId="13" applyFont="1" applyFill="1" applyBorder="1" applyAlignment="1">
      <alignment vertical="center" wrapText="1"/>
    </xf>
    <xf numFmtId="192" fontId="85" fillId="8" borderId="8" xfId="15" applyNumberFormat="1" applyFont="1" applyFill="1" applyBorder="1" applyAlignment="1">
      <alignment horizontal="center" vertical="center" wrapText="1"/>
    </xf>
    <xf numFmtId="194" fontId="88" fillId="8" borderId="0" xfId="13" applyFont="1" applyFill="1" applyAlignment="1">
      <alignment vertical="center" wrapText="1"/>
    </xf>
    <xf numFmtId="26" fontId="90" fillId="0" borderId="6" xfId="6" applyNumberFormat="1" applyFont="1" applyFill="1" applyBorder="1" applyAlignment="1">
      <alignment horizontal="center" vertical="center" wrapText="1"/>
    </xf>
    <xf numFmtId="2" fontId="76" fillId="0" borderId="6" xfId="15" applyNumberFormat="1" applyFont="1" applyBorder="1" applyAlignment="1">
      <alignment horizontal="left" vertical="center" wrapText="1"/>
    </xf>
    <xf numFmtId="10" fontId="77" fillId="0" borderId="6" xfId="14" applyNumberFormat="1" applyFont="1" applyFill="1" applyBorder="1" applyAlignment="1">
      <alignment horizontal="center" vertical="center" wrapText="1"/>
    </xf>
    <xf numFmtId="2" fontId="76" fillId="32" borderId="6" xfId="15" applyNumberFormat="1" applyFont="1" applyFill="1" applyBorder="1" applyAlignment="1">
      <alignment horizontal="left" vertical="center" wrapText="1"/>
    </xf>
    <xf numFmtId="0" fontId="76" fillId="32" borderId="8" xfId="15" applyNumberFormat="1" applyFont="1" applyFill="1" applyBorder="1" applyAlignment="1">
      <alignment horizontal="center" vertical="center" wrapText="1"/>
    </xf>
    <xf numFmtId="2" fontId="76" fillId="32" borderId="6" xfId="15" applyNumberFormat="1" applyFont="1" applyFill="1" applyBorder="1" applyAlignment="1">
      <alignment horizontal="center" vertical="center" wrapText="1"/>
    </xf>
    <xf numFmtId="2" fontId="76" fillId="32" borderId="8" xfId="15" applyNumberFormat="1" applyFont="1" applyFill="1" applyBorder="1" applyAlignment="1">
      <alignment horizontal="center" vertical="center" wrapText="1"/>
    </xf>
    <xf numFmtId="1" fontId="76" fillId="32" borderId="8" xfId="15" applyNumberFormat="1" applyFont="1" applyFill="1" applyBorder="1" applyAlignment="1">
      <alignment horizontal="center" vertical="center" wrapText="1"/>
    </xf>
    <xf numFmtId="192" fontId="85" fillId="32" borderId="8" xfId="15" applyNumberFormat="1" applyFont="1" applyFill="1" applyBorder="1" applyAlignment="1">
      <alignment horizontal="center" vertical="center" wrapText="1"/>
    </xf>
    <xf numFmtId="193" fontId="85" fillId="32" borderId="6" xfId="15" applyNumberFormat="1" applyFont="1" applyFill="1" applyBorder="1" applyAlignment="1">
      <alignment horizontal="center" vertical="center" wrapText="1"/>
    </xf>
    <xf numFmtId="10" fontId="76" fillId="32" borderId="6" xfId="14" applyNumberFormat="1" applyFont="1" applyFill="1" applyBorder="1" applyAlignment="1">
      <alignment horizontal="center" vertical="center" wrapText="1"/>
    </xf>
    <xf numFmtId="10" fontId="85" fillId="32" borderId="6" xfId="15" applyNumberFormat="1" applyFont="1" applyFill="1" applyBorder="1" applyAlignment="1">
      <alignment horizontal="center" vertical="center" wrapText="1"/>
    </xf>
    <xf numFmtId="1" fontId="85" fillId="32" borderId="60" xfId="15" applyNumberFormat="1" applyFont="1" applyFill="1" applyBorder="1" applyAlignment="1">
      <alignment horizontal="center" vertical="center" wrapText="1"/>
    </xf>
    <xf numFmtId="26" fontId="85" fillId="32" borderId="90" xfId="6" applyNumberFormat="1" applyFont="1" applyFill="1" applyBorder="1" applyAlignment="1">
      <alignment horizontal="center" vertical="center" wrapText="1"/>
    </xf>
    <xf numFmtId="26" fontId="86" fillId="32" borderId="16" xfId="6" applyNumberFormat="1" applyFont="1" applyFill="1" applyBorder="1" applyAlignment="1">
      <alignment horizontal="center" vertical="center" wrapText="1"/>
    </xf>
    <xf numFmtId="1" fontId="85" fillId="32" borderId="6" xfId="15" applyNumberFormat="1" applyFont="1" applyFill="1" applyBorder="1" applyAlignment="1">
      <alignment horizontal="center" vertical="center" wrapText="1"/>
    </xf>
    <xf numFmtId="26" fontId="85" fillId="32" borderId="6" xfId="6" applyNumberFormat="1" applyFont="1" applyFill="1" applyBorder="1" applyAlignment="1">
      <alignment horizontal="center" vertical="center" wrapText="1"/>
    </xf>
    <xf numFmtId="194" fontId="75" fillId="32" borderId="6" xfId="13" applyFont="1" applyFill="1" applyBorder="1" applyAlignment="1">
      <alignment vertical="center" wrapText="1"/>
    </xf>
    <xf numFmtId="2" fontId="78" fillId="32" borderId="6" xfId="15" applyNumberFormat="1" applyFont="1" applyFill="1" applyBorder="1" applyAlignment="1">
      <alignment horizontal="left" vertical="center" wrapText="1"/>
    </xf>
    <xf numFmtId="194" fontId="76" fillId="9" borderId="6" xfId="13" applyFont="1" applyFill="1" applyBorder="1" applyAlignment="1">
      <alignment horizontal="left" vertical="center" wrapText="1"/>
    </xf>
    <xf numFmtId="0" fontId="76" fillId="0" borderId="8" xfId="15" applyNumberFormat="1" applyFont="1" applyBorder="1" applyAlignment="1">
      <alignment horizontal="center" vertical="center" wrapText="1"/>
    </xf>
    <xf numFmtId="2" fontId="76" fillId="9" borderId="6" xfId="13" applyNumberFormat="1" applyFont="1" applyFill="1" applyBorder="1" applyAlignment="1">
      <alignment horizontal="center" vertical="center" wrapText="1"/>
    </xf>
    <xf numFmtId="2" fontId="76" fillId="0" borderId="6" xfId="13" applyNumberFormat="1" applyFont="1" applyBorder="1" applyAlignment="1">
      <alignment horizontal="center" vertical="center" wrapText="1"/>
    </xf>
    <xf numFmtId="196" fontId="76" fillId="9" borderId="6" xfId="13" applyNumberFormat="1" applyFont="1" applyFill="1" applyBorder="1" applyAlignment="1">
      <alignment horizontal="center" vertical="center" wrapText="1"/>
    </xf>
    <xf numFmtId="197" fontId="76" fillId="9" borderId="6" xfId="13" applyNumberFormat="1" applyFont="1" applyFill="1" applyBorder="1" applyAlignment="1">
      <alignment horizontal="center" vertical="center" wrapText="1"/>
    </xf>
    <xf numFmtId="10" fontId="76" fillId="9" borderId="6" xfId="13" applyNumberFormat="1" applyFont="1" applyFill="1" applyBorder="1" applyAlignment="1">
      <alignment horizontal="center" vertical="center" wrapText="1"/>
    </xf>
    <xf numFmtId="196" fontId="76" fillId="19" borderId="6" xfId="13" applyNumberFormat="1" applyFont="1" applyFill="1" applyBorder="1" applyAlignment="1">
      <alignment horizontal="center" vertical="center" wrapText="1"/>
    </xf>
    <xf numFmtId="194" fontId="83" fillId="9" borderId="6" xfId="13" applyFont="1" applyFill="1" applyBorder="1" applyAlignment="1">
      <alignment vertical="center" wrapText="1"/>
    </xf>
    <xf numFmtId="194" fontId="83" fillId="19" borderId="0" xfId="13" applyFont="1" applyFill="1" applyAlignment="1">
      <alignment vertical="center" wrapText="1"/>
    </xf>
    <xf numFmtId="196" fontId="76" fillId="19" borderId="7" xfId="13" applyNumberFormat="1" applyFont="1" applyFill="1" applyBorder="1" applyAlignment="1">
      <alignment horizontal="left" vertical="center" wrapText="1"/>
    </xf>
    <xf numFmtId="196" fontId="76" fillId="19" borderId="62" xfId="13" applyNumberFormat="1" applyFont="1" applyFill="1" applyBorder="1" applyAlignment="1">
      <alignment horizontal="left" vertical="center" wrapText="1"/>
    </xf>
    <xf numFmtId="196" fontId="76" fillId="0" borderId="62" xfId="13" applyNumberFormat="1" applyFont="1" applyBorder="1" applyAlignment="1">
      <alignment vertical="center" wrapText="1"/>
    </xf>
    <xf numFmtId="196" fontId="76" fillId="0" borderId="8" xfId="13" applyNumberFormat="1" applyFont="1" applyBorder="1" applyAlignment="1">
      <alignment vertical="center" wrapText="1"/>
    </xf>
    <xf numFmtId="194" fontId="92" fillId="9" borderId="0" xfId="13" applyFont="1" applyFill="1" applyAlignment="1">
      <alignment vertical="center" wrapText="1"/>
    </xf>
    <xf numFmtId="194" fontId="74" fillId="9" borderId="0" xfId="13" applyFont="1" applyFill="1" applyAlignment="1">
      <alignment horizontal="left" vertical="center" wrapText="1"/>
    </xf>
    <xf numFmtId="2" fontId="74" fillId="9" borderId="0" xfId="13" applyNumberFormat="1" applyFont="1" applyFill="1" applyAlignment="1">
      <alignment vertical="center" wrapText="1"/>
    </xf>
    <xf numFmtId="2" fontId="74" fillId="0" borderId="0" xfId="13" applyNumberFormat="1" applyFont="1" applyAlignment="1">
      <alignment vertical="center" wrapText="1"/>
    </xf>
    <xf numFmtId="2" fontId="74" fillId="0" borderId="0" xfId="13" applyNumberFormat="1" applyFont="1" applyAlignment="1">
      <alignment horizontal="center" vertical="center" wrapText="1"/>
    </xf>
    <xf numFmtId="194" fontId="74" fillId="9" borderId="0" xfId="13" applyFont="1" applyFill="1" applyAlignment="1">
      <alignment horizontal="center" vertical="center" wrapText="1"/>
    </xf>
    <xf numFmtId="209" fontId="2" fillId="0" borderId="0" xfId="16"/>
    <xf numFmtId="209" fontId="2" fillId="0" borderId="0" xfId="16" applyAlignment="1">
      <alignment horizontal="center" vertical="center"/>
    </xf>
    <xf numFmtId="209" fontId="9" fillId="0" borderId="1" xfId="16" applyFont="1" applyBorder="1" applyAlignment="1">
      <alignment horizontal="center" vertical="center"/>
    </xf>
    <xf numFmtId="209" fontId="9" fillId="0" borderId="33" xfId="16" applyFont="1" applyBorder="1" applyAlignment="1">
      <alignment horizontal="center" vertical="center"/>
    </xf>
    <xf numFmtId="209" fontId="9" fillId="0" borderId="2" xfId="16" applyFont="1" applyBorder="1" applyAlignment="1">
      <alignment horizontal="center" vertical="center"/>
    </xf>
    <xf numFmtId="209" fontId="9" fillId="0" borderId="33" xfId="16" applyFont="1" applyBorder="1" applyAlignment="1">
      <alignment horizontal="center" vertical="center" wrapText="1"/>
    </xf>
    <xf numFmtId="209" fontId="9" fillId="0" borderId="2" xfId="16" applyFont="1" applyBorder="1" applyAlignment="1">
      <alignment horizontal="center" vertical="center" wrapText="1"/>
    </xf>
    <xf numFmtId="209" fontId="9" fillId="0" borderId="3" xfId="16" applyFont="1" applyBorder="1" applyAlignment="1">
      <alignment horizontal="center" vertical="center" wrapText="1"/>
    </xf>
    <xf numFmtId="209" fontId="0" fillId="3" borderId="19" xfId="16" applyFont="1" applyFill="1" applyBorder="1" applyAlignment="1">
      <alignment horizontal="left"/>
    </xf>
    <xf numFmtId="209" fontId="2" fillId="3" borderId="44" xfId="16" applyFill="1" applyBorder="1" applyAlignment="1">
      <alignment horizontal="left"/>
    </xf>
    <xf numFmtId="209" fontId="2" fillId="3" borderId="62" xfId="16" applyFill="1" applyBorder="1" applyAlignment="1">
      <alignment horizontal="left"/>
    </xf>
    <xf numFmtId="209" fontId="2" fillId="3" borderId="31" xfId="16" applyFill="1" applyBorder="1" applyAlignment="1">
      <alignment horizontal="center"/>
    </xf>
    <xf numFmtId="209" fontId="2" fillId="3" borderId="30" xfId="16" applyFill="1" applyBorder="1" applyAlignment="1">
      <alignment horizontal="left"/>
    </xf>
    <xf numFmtId="1" fontId="2" fillId="3" borderId="30" xfId="16" applyNumberFormat="1" applyFill="1" applyBorder="1" applyAlignment="1">
      <alignment horizontal="center" vertical="center"/>
    </xf>
    <xf numFmtId="1" fontId="2" fillId="3" borderId="44" xfId="16" applyNumberFormat="1" applyFill="1" applyBorder="1" applyAlignment="1">
      <alignment horizontal="center" vertical="center"/>
    </xf>
    <xf numFmtId="189" fontId="2" fillId="3" borderId="91" xfId="16" applyNumberFormat="1" applyFill="1" applyBorder="1" applyAlignment="1">
      <alignment horizontal="left" vertical="center"/>
    </xf>
    <xf numFmtId="189" fontId="2" fillId="0" borderId="20" xfId="2" applyNumberFormat="1" applyFont="1" applyFill="1" applyBorder="1" applyAlignment="1">
      <alignment horizontal="left" vertical="center"/>
    </xf>
    <xf numFmtId="210" fontId="0" fillId="0" borderId="10" xfId="2" applyNumberFormat="1" applyFont="1" applyBorder="1" applyAlignment="1">
      <alignment horizontal="left" vertical="center"/>
    </xf>
    <xf numFmtId="209" fontId="2" fillId="3" borderId="89" xfId="16" applyFill="1" applyBorder="1" applyAlignment="1">
      <alignment horizontal="left"/>
    </xf>
    <xf numFmtId="189" fontId="2" fillId="0" borderId="10" xfId="2" applyNumberFormat="1" applyFont="1" applyFill="1" applyBorder="1" applyAlignment="1">
      <alignment horizontal="left" vertical="center"/>
    </xf>
    <xf numFmtId="209" fontId="0" fillId="3" borderId="17" xfId="16" applyFont="1" applyFill="1" applyBorder="1" applyAlignment="1">
      <alignment horizontal="left"/>
    </xf>
    <xf numFmtId="189" fontId="2" fillId="0" borderId="92" xfId="2" applyNumberFormat="1" applyFont="1" applyFill="1" applyBorder="1" applyAlignment="1">
      <alignment horizontal="left" vertical="center"/>
    </xf>
    <xf numFmtId="209" fontId="0" fillId="3" borderId="27" xfId="16" applyFont="1" applyFill="1" applyBorder="1" applyAlignment="1">
      <alignment horizontal="left"/>
    </xf>
    <xf numFmtId="189" fontId="2" fillId="0" borderId="35" xfId="2" applyNumberFormat="1" applyFont="1" applyFill="1" applyBorder="1" applyAlignment="1">
      <alignment horizontal="left" vertical="center"/>
    </xf>
    <xf numFmtId="209" fontId="9" fillId="0" borderId="57" xfId="16" applyFont="1" applyBorder="1" applyAlignment="1">
      <alignment horizontal="left"/>
    </xf>
    <xf numFmtId="209" fontId="9" fillId="15" borderId="23" xfId="16" applyFont="1" applyFill="1" applyBorder="1" applyAlignment="1">
      <alignment horizontal="center"/>
    </xf>
    <xf numFmtId="181" fontId="9" fillId="0" borderId="50" xfId="2" applyNumberFormat="1" applyFont="1" applyFill="1" applyBorder="1" applyAlignment="1">
      <alignment horizontal="center"/>
    </xf>
    <xf numFmtId="210" fontId="0" fillId="0" borderId="52" xfId="2" applyNumberFormat="1" applyFont="1" applyBorder="1"/>
    <xf numFmtId="209" fontId="9" fillId="0" borderId="22" xfId="16" applyFont="1" applyBorder="1"/>
    <xf numFmtId="211" fontId="9" fillId="3" borderId="23" xfId="1" applyNumberFormat="1" applyFont="1" applyFill="1" applyBorder="1" applyAlignment="1">
      <alignment horizontal="center"/>
    </xf>
    <xf numFmtId="210" fontId="0" fillId="0" borderId="0" xfId="2" applyNumberFormat="1" applyFont="1"/>
    <xf numFmtId="209" fontId="9" fillId="0" borderId="1" xfId="16" applyFont="1" applyBorder="1"/>
    <xf numFmtId="209" fontId="9" fillId="15" borderId="50" xfId="16" applyFont="1" applyFill="1" applyBorder="1" applyAlignment="1">
      <alignment horizontal="center"/>
    </xf>
    <xf numFmtId="7" fontId="9" fillId="0" borderId="3" xfId="16" applyNumberFormat="1" applyFont="1" applyBorder="1" applyAlignment="1">
      <alignment horizontal="center"/>
    </xf>
    <xf numFmtId="178" fontId="0" fillId="0" borderId="33" xfId="2" applyFont="1" applyBorder="1"/>
    <xf numFmtId="0" fontId="2" fillId="0" borderId="0" xfId="16" applyNumberFormat="1"/>
    <xf numFmtId="209" fontId="9" fillId="4" borderId="6" xfId="16" applyFont="1" applyFill="1" applyBorder="1" applyAlignment="1">
      <alignment horizontal="center" vertical="center"/>
    </xf>
    <xf numFmtId="209" fontId="2" fillId="4" borderId="6" xfId="16" applyFill="1" applyBorder="1"/>
    <xf numFmtId="209" fontId="2" fillId="4" borderId="0" xfId="16" applyFill="1"/>
    <xf numFmtId="0" fontId="94" fillId="0" borderId="0" xfId="17" applyFont="1">
      <alignment vertical="center"/>
    </xf>
    <xf numFmtId="0" fontId="93" fillId="0" borderId="0" xfId="17">
      <alignment vertical="center"/>
    </xf>
    <xf numFmtId="0" fontId="95" fillId="33" borderId="93" xfId="17" applyFont="1" applyFill="1" applyBorder="1" applyAlignment="1">
      <alignment horizontal="center" vertical="center" wrapText="1"/>
    </xf>
    <xf numFmtId="0" fontId="95" fillId="33" borderId="94" xfId="17" applyFont="1" applyFill="1" applyBorder="1" applyAlignment="1">
      <alignment horizontal="center" vertical="center" wrapText="1"/>
    </xf>
    <xf numFmtId="0" fontId="94" fillId="33" borderId="93" xfId="17" applyFont="1" applyFill="1" applyBorder="1">
      <alignment vertical="center"/>
    </xf>
    <xf numFmtId="176" fontId="95" fillId="0" borderId="6" xfId="0" applyFont="1" applyBorder="1" applyAlignment="1">
      <alignment horizontal="center" vertical="center" wrapText="1"/>
    </xf>
    <xf numFmtId="176" fontId="9" fillId="0" borderId="6" xfId="0" applyFont="1" applyBorder="1" applyAlignment="1">
      <alignment horizontal="center"/>
    </xf>
    <xf numFmtId="178" fontId="0" fillId="0" borderId="6" xfId="2" applyFont="1" applyBorder="1" applyAlignment="1">
      <alignment horizontal="center"/>
    </xf>
    <xf numFmtId="188" fontId="0" fillId="8" borderId="6" xfId="0" applyNumberFormat="1" applyFill="1" applyBorder="1" applyAlignment="1">
      <alignment horizontal="center"/>
    </xf>
    <xf numFmtId="0" fontId="98" fillId="0" borderId="0" xfId="18" applyFont="1"/>
    <xf numFmtId="191" fontId="98" fillId="0" borderId="0" xfId="1" applyFont="1"/>
    <xf numFmtId="191" fontId="98" fillId="34" borderId="0" xfId="1" applyFont="1" applyFill="1"/>
    <xf numFmtId="211" fontId="98" fillId="34" borderId="0" xfId="1" applyNumberFormat="1" applyFont="1" applyFill="1"/>
    <xf numFmtId="9" fontId="98" fillId="34" borderId="0" xfId="3" applyFont="1" applyFill="1"/>
    <xf numFmtId="0" fontId="98" fillId="8" borderId="0" xfId="18" applyFont="1" applyFill="1"/>
    <xf numFmtId="176" fontId="0" fillId="9" borderId="6" xfId="0" applyFill="1" applyBorder="1"/>
    <xf numFmtId="176" fontId="31" fillId="0" borderId="6" xfId="0" applyFont="1" applyBorder="1"/>
    <xf numFmtId="0" fontId="27" fillId="0" borderId="7" xfId="0" applyNumberFormat="1" applyFont="1" applyBorder="1" applyAlignment="1">
      <alignment horizontal="center" vertical="center" wrapText="1"/>
    </xf>
    <xf numFmtId="176" fontId="8" fillId="0" borderId="6" xfId="0" applyFont="1" applyBorder="1" applyAlignment="1">
      <alignment horizontal="center"/>
    </xf>
    <xf numFmtId="203" fontId="9" fillId="0" borderId="6" xfId="0" applyNumberFormat="1" applyFont="1" applyBorder="1" applyAlignment="1">
      <alignment horizontal="center" vertical="center"/>
    </xf>
    <xf numFmtId="176" fontId="9" fillId="0" borderId="6" xfId="0" applyFont="1" applyBorder="1" applyAlignment="1">
      <alignment horizontal="center" vertical="center"/>
    </xf>
    <xf numFmtId="0" fontId="9" fillId="0" borderId="6" xfId="0" applyNumberFormat="1" applyFont="1" applyBorder="1" applyAlignment="1">
      <alignment horizontal="left" vertical="center"/>
    </xf>
    <xf numFmtId="0" fontId="0" fillId="0" borderId="6" xfId="0" applyNumberFormat="1" applyBorder="1" applyAlignment="1">
      <alignment horizontal="center" vertical="center"/>
    </xf>
    <xf numFmtId="176" fontId="99" fillId="0" borderId="0" xfId="0" applyFont="1"/>
    <xf numFmtId="176" fontId="0" fillId="0" borderId="6" xfId="0" applyBorder="1" applyAlignment="1">
      <alignment horizontal="center" vertical="center"/>
    </xf>
    <xf numFmtId="3" fontId="0" fillId="0" borderId="6" xfId="0" applyNumberFormat="1" applyBorder="1" applyAlignment="1">
      <alignment horizontal="center" vertical="center"/>
    </xf>
    <xf numFmtId="176" fontId="0" fillId="0" borderId="6" xfId="0" applyBorder="1" applyAlignment="1">
      <alignment horizontal="left" vertical="center"/>
    </xf>
    <xf numFmtId="14" fontId="0" fillId="0" borderId="6" xfId="0" applyNumberFormat="1" applyBorder="1" applyAlignment="1">
      <alignment horizontal="left" vertical="center"/>
    </xf>
    <xf numFmtId="176" fontId="0" fillId="0" borderId="6" xfId="0" applyBorder="1" applyAlignment="1">
      <alignment horizontal="left" vertical="distributed"/>
    </xf>
    <xf numFmtId="203" fontId="0" fillId="0" borderId="6" xfId="0" applyNumberFormat="1" applyBorder="1" applyAlignment="1">
      <alignment horizontal="left" vertical="center"/>
    </xf>
    <xf numFmtId="203" fontId="0" fillId="0" borderId="6" xfId="0" applyNumberFormat="1" applyBorder="1" applyAlignment="1">
      <alignment horizontal="center" vertical="center"/>
    </xf>
    <xf numFmtId="203" fontId="0" fillId="0" borderId="6" xfId="0" applyNumberFormat="1" applyBorder="1" applyAlignment="1">
      <alignment horizontal="left" vertical="center" wrapText="1"/>
    </xf>
    <xf numFmtId="176" fontId="0" fillId="0" borderId="6" xfId="0" applyBorder="1" applyAlignment="1">
      <alignment vertical="center"/>
    </xf>
    <xf numFmtId="176" fontId="0" fillId="0" borderId="6" xfId="0" applyBorder="1" applyAlignment="1">
      <alignment horizontal="left" vertical="center" wrapText="1"/>
    </xf>
    <xf numFmtId="14" fontId="0" fillId="0" borderId="6" xfId="0" applyNumberFormat="1" applyBorder="1" applyAlignment="1">
      <alignment horizontal="left"/>
    </xf>
    <xf numFmtId="203" fontId="0" fillId="0" borderId="0" xfId="0" applyNumberFormat="1"/>
    <xf numFmtId="0" fontId="0" fillId="0" borderId="0" xfId="0" applyNumberFormat="1" applyAlignment="1">
      <alignment horizontal="left"/>
    </xf>
    <xf numFmtId="0" fontId="102" fillId="36" borderId="10" xfId="10" applyFont="1" applyFill="1" applyBorder="1" applyAlignment="1">
      <alignment vertical="center"/>
    </xf>
    <xf numFmtId="0" fontId="103" fillId="36" borderId="13" xfId="10" applyFont="1" applyFill="1" applyBorder="1" applyAlignment="1">
      <alignment vertical="center"/>
    </xf>
    <xf numFmtId="0" fontId="102" fillId="36" borderId="13" xfId="10" applyFont="1" applyFill="1" applyBorder="1" applyAlignment="1">
      <alignment horizontal="center" vertical="center"/>
    </xf>
    <xf numFmtId="0" fontId="102" fillId="36" borderId="13" xfId="10" applyFont="1" applyFill="1" applyBorder="1" applyAlignment="1">
      <alignment horizontal="distributed" vertical="distributed"/>
    </xf>
    <xf numFmtId="0" fontId="102" fillId="36" borderId="13" xfId="10" applyFont="1" applyFill="1" applyBorder="1" applyAlignment="1">
      <alignment vertical="distributed"/>
    </xf>
    <xf numFmtId="0" fontId="102" fillId="36" borderId="23" xfId="10" applyFont="1" applyFill="1" applyBorder="1" applyAlignment="1">
      <alignment horizontal="center" vertical="center"/>
    </xf>
    <xf numFmtId="0" fontId="102" fillId="36" borderId="0" xfId="10" applyFont="1" applyFill="1" applyAlignment="1">
      <alignment horizontal="center" vertical="center"/>
    </xf>
    <xf numFmtId="0" fontId="65" fillId="0" borderId="0" xfId="19"/>
    <xf numFmtId="0" fontId="104" fillId="0" borderId="6" xfId="10" applyFont="1" applyBorder="1" applyAlignment="1">
      <alignment vertical="center"/>
    </xf>
    <xf numFmtId="178" fontId="0" fillId="0" borderId="6" xfId="11" applyFont="1" applyFill="1" applyBorder="1"/>
    <xf numFmtId="9" fontId="65" fillId="8" borderId="6" xfId="19" applyNumberFormat="1" applyFill="1" applyBorder="1"/>
    <xf numFmtId="9" fontId="65" fillId="0" borderId="6" xfId="10" applyNumberFormat="1" applyBorder="1"/>
    <xf numFmtId="0" fontId="0" fillId="0" borderId="6" xfId="19" applyFont="1" applyBorder="1"/>
    <xf numFmtId="25" fontId="0" fillId="0" borderId="6" xfId="11" applyNumberFormat="1" applyFont="1" applyFill="1" applyBorder="1"/>
    <xf numFmtId="0" fontId="0" fillId="0" borderId="6" xfId="19" applyFont="1" applyBorder="1" applyAlignment="1">
      <alignment vertical="top"/>
    </xf>
    <xf numFmtId="178" fontId="105" fillId="0" borderId="6" xfId="11" applyFont="1" applyFill="1" applyBorder="1"/>
    <xf numFmtId="9" fontId="65" fillId="0" borderId="6" xfId="19" applyNumberFormat="1" applyBorder="1"/>
    <xf numFmtId="0" fontId="94" fillId="0" borderId="6" xfId="19" applyFont="1" applyBorder="1"/>
    <xf numFmtId="0" fontId="94" fillId="0" borderId="6" xfId="19" applyFont="1" applyBorder="1" applyAlignment="1">
      <alignment vertical="top"/>
    </xf>
    <xf numFmtId="0" fontId="104" fillId="0" borderId="6" xfId="10" applyFont="1" applyBorder="1" applyAlignment="1">
      <alignment horizontal="left" vertical="center"/>
    </xf>
    <xf numFmtId="0" fontId="94" fillId="0" borderId="6" xfId="10" applyFont="1" applyBorder="1"/>
    <xf numFmtId="0" fontId="65" fillId="0" borderId="0" xfId="10"/>
    <xf numFmtId="0" fontId="1" fillId="0" borderId="0" xfId="20" applyAlignment="1"/>
    <xf numFmtId="9" fontId="0" fillId="0" borderId="0" xfId="21" applyFont="1"/>
    <xf numFmtId="178" fontId="0" fillId="8" borderId="0" xfId="11" applyFont="1" applyFill="1"/>
    <xf numFmtId="178" fontId="65" fillId="8" borderId="0" xfId="19" applyNumberFormat="1" applyFill="1"/>
    <xf numFmtId="0" fontId="65" fillId="8" borderId="0" xfId="19" applyFill="1"/>
    <xf numFmtId="178" fontId="0" fillId="0" borderId="0" xfId="11" applyFont="1"/>
    <xf numFmtId="9" fontId="65" fillId="0" borderId="0" xfId="3" applyFont="1"/>
    <xf numFmtId="176" fontId="9" fillId="8" borderId="6" xfId="0" applyFont="1" applyFill="1" applyBorder="1"/>
    <xf numFmtId="177" fontId="8" fillId="8" borderId="7" xfId="0" applyNumberFormat="1" applyFont="1" applyFill="1" applyBorder="1" applyAlignment="1">
      <alignment horizontal="center"/>
    </xf>
    <xf numFmtId="0" fontId="55" fillId="18" borderId="6" xfId="4" applyFont="1" applyFill="1" applyBorder="1" applyAlignment="1">
      <alignment horizontal="center" vertical="center" wrapText="1"/>
    </xf>
    <xf numFmtId="0" fontId="55" fillId="18" borderId="6" xfId="5" applyFont="1" applyFill="1" applyBorder="1" applyAlignment="1">
      <alignment horizontal="center" vertical="center"/>
    </xf>
    <xf numFmtId="0" fontId="55" fillId="18" borderId="7" xfId="5" applyFont="1" applyFill="1" applyBorder="1" applyAlignment="1">
      <alignment horizontal="center" vertical="center"/>
    </xf>
    <xf numFmtId="0" fontId="67" fillId="9" borderId="0" xfId="10" applyFont="1" applyFill="1" applyAlignment="1">
      <alignment horizontal="center" vertical="center"/>
    </xf>
    <xf numFmtId="0" fontId="58" fillId="0" borderId="78" xfId="10" applyFont="1" applyBorder="1" applyAlignment="1" applyProtection="1">
      <alignment horizontal="center" vertical="center"/>
      <protection locked="0"/>
    </xf>
    <xf numFmtId="0" fontId="58" fillId="0" borderId="74" xfId="10" applyFont="1" applyBorder="1" applyAlignment="1" applyProtection="1">
      <alignment horizontal="center" vertical="center"/>
      <protection locked="0"/>
    </xf>
    <xf numFmtId="194" fontId="76" fillId="9" borderId="6" xfId="13" applyFont="1" applyFill="1" applyBorder="1" applyAlignment="1">
      <alignment horizontal="left" vertical="center" wrapText="1"/>
    </xf>
    <xf numFmtId="194" fontId="79" fillId="9" borderId="6" xfId="13" applyFont="1" applyFill="1" applyBorder="1" applyAlignment="1">
      <alignment horizontal="center" vertical="center" wrapText="1"/>
    </xf>
    <xf numFmtId="2" fontId="76" fillId="0" borderId="6" xfId="13" applyNumberFormat="1" applyFont="1" applyBorder="1" applyAlignment="1">
      <alignment horizontal="center" vertical="center" wrapText="1"/>
    </xf>
    <xf numFmtId="0" fontId="6" fillId="0" borderId="6" xfId="0" applyNumberFormat="1" applyFont="1" applyFill="1" applyBorder="1" applyAlignment="1">
      <alignment wrapText="1"/>
    </xf>
    <xf numFmtId="176" fontId="6" fillId="37" borderId="20" xfId="0" applyFont="1" applyFill="1" applyBorder="1" applyAlignment="1">
      <alignment horizontal="center"/>
    </xf>
    <xf numFmtId="176" fontId="6" fillId="8" borderId="6" xfId="0" applyFont="1" applyFill="1" applyBorder="1" applyAlignment="1">
      <alignment wrapText="1"/>
    </xf>
    <xf numFmtId="194" fontId="81" fillId="19" borderId="6" xfId="13" applyFont="1" applyFill="1" applyBorder="1" applyAlignment="1">
      <alignment vertical="center" wrapText="1"/>
    </xf>
    <xf numFmtId="2" fontId="76" fillId="19" borderId="6" xfId="15" applyNumberFormat="1" applyFont="1" applyFill="1" applyBorder="1" applyAlignment="1">
      <alignment horizontal="center" vertical="center" wrapText="1"/>
    </xf>
    <xf numFmtId="176" fontId="26" fillId="0" borderId="0" xfId="0" applyFont="1"/>
    <xf numFmtId="176" fontId="27" fillId="0" borderId="0" xfId="0" applyFont="1"/>
    <xf numFmtId="179" fontId="108" fillId="0" borderId="6" xfId="0" applyNumberFormat="1" applyFont="1" applyBorder="1"/>
    <xf numFmtId="0" fontId="2" fillId="0" borderId="6" xfId="23" applyFont="1" applyBorder="1" applyAlignment="1">
      <alignment horizontal="center" vertical="center"/>
    </xf>
    <xf numFmtId="0" fontId="2" fillId="0" borderId="6" xfId="23" applyFont="1" applyBorder="1" applyAlignment="1">
      <alignment horizontal="left" vertical="center"/>
    </xf>
    <xf numFmtId="0" fontId="45" fillId="0" borderId="0" xfId="23">
      <alignment vertical="center"/>
    </xf>
    <xf numFmtId="0" fontId="21" fillId="0" borderId="6" xfId="23" applyFont="1" applyBorder="1" applyAlignment="1">
      <alignment horizontal="center" vertical="center" wrapText="1"/>
    </xf>
    <xf numFmtId="0" fontId="2" fillId="8" borderId="6" xfId="23" applyFont="1" applyFill="1" applyBorder="1" applyAlignment="1">
      <alignment horizontal="left" vertical="center"/>
    </xf>
    <xf numFmtId="0" fontId="28" fillId="0" borderId="6" xfId="23" applyFont="1" applyBorder="1" applyAlignment="1">
      <alignment horizontal="left" vertical="center"/>
    </xf>
    <xf numFmtId="0" fontId="110" fillId="0" borderId="0" xfId="23" applyFont="1">
      <alignment vertical="center"/>
    </xf>
    <xf numFmtId="0" fontId="111" fillId="0" borderId="6" xfId="23" applyFont="1" applyBorder="1" applyAlignment="1">
      <alignment horizontal="left" vertical="center"/>
    </xf>
    <xf numFmtId="0" fontId="111" fillId="0" borderId="6" xfId="23" applyFont="1" applyBorder="1" applyAlignment="1">
      <alignment horizontal="right" vertical="center"/>
    </xf>
    <xf numFmtId="0" fontId="2" fillId="0" borderId="0" xfId="23" applyFont="1" applyAlignment="1">
      <alignment horizontal="left" vertical="center"/>
    </xf>
    <xf numFmtId="0" fontId="2" fillId="28" borderId="6" xfId="23" applyFont="1" applyFill="1" applyBorder="1" applyAlignment="1">
      <alignment horizontal="left" vertical="center"/>
    </xf>
    <xf numFmtId="0" fontId="45" fillId="0" borderId="0" xfId="23" applyAlignment="1">
      <alignment horizontal="left" vertical="center"/>
    </xf>
    <xf numFmtId="179" fontId="6" fillId="39" borderId="6" xfId="0" applyNumberFormat="1" applyFont="1" applyFill="1" applyBorder="1"/>
    <xf numFmtId="0" fontId="2" fillId="8" borderId="6" xfId="23" applyFont="1" applyFill="1" applyBorder="1" applyAlignment="1">
      <alignment horizontal="center" vertical="center"/>
    </xf>
    <xf numFmtId="0" fontId="58" fillId="0" borderId="6" xfId="23" applyFont="1" applyBorder="1" applyAlignment="1">
      <alignment horizontal="left" vertical="center"/>
    </xf>
    <xf numFmtId="0" fontId="27" fillId="0" borderId="6" xfId="23" applyFont="1" applyBorder="1" applyAlignment="1">
      <alignment horizontal="left" vertical="center"/>
    </xf>
    <xf numFmtId="0" fontId="113" fillId="0" borderId="6" xfId="23" applyFont="1" applyBorder="1" applyAlignment="1">
      <alignment horizontal="center" vertical="center" wrapText="1"/>
    </xf>
    <xf numFmtId="0" fontId="27" fillId="0" borderId="6" xfId="23" applyFont="1" applyBorder="1" applyAlignment="1">
      <alignment horizontal="center" vertical="center"/>
    </xf>
    <xf numFmtId="0" fontId="21" fillId="8" borderId="6" xfId="23" applyFont="1" applyFill="1" applyBorder="1" applyAlignment="1">
      <alignment horizontal="center" vertical="center" wrapText="1"/>
    </xf>
    <xf numFmtId="0" fontId="15" fillId="0" borderId="6" xfId="23" applyFont="1" applyBorder="1" applyAlignment="1">
      <alignment horizontal="left" vertical="center"/>
    </xf>
    <xf numFmtId="0" fontId="27" fillId="8" borderId="6" xfId="23" applyFont="1" applyFill="1" applyBorder="1" applyAlignment="1">
      <alignment horizontal="left" vertical="center"/>
    </xf>
    <xf numFmtId="0" fontId="2" fillId="0" borderId="6" xfId="23" applyFont="1" applyFill="1" applyBorder="1" applyAlignment="1">
      <alignment horizontal="center" vertical="center"/>
    </xf>
    <xf numFmtId="0" fontId="15" fillId="0" borderId="6" xfId="23" applyFont="1" applyFill="1" applyBorder="1" applyAlignment="1">
      <alignment horizontal="center" vertical="center"/>
    </xf>
    <xf numFmtId="0" fontId="2" fillId="0" borderId="6" xfId="23" applyFont="1" applyFill="1" applyBorder="1" applyAlignment="1">
      <alignment horizontal="left" vertical="center"/>
    </xf>
    <xf numFmtId="0" fontId="45" fillId="0" borderId="0" xfId="23" applyFill="1">
      <alignment vertical="center"/>
    </xf>
    <xf numFmtId="0" fontId="2" fillId="40" borderId="6" xfId="23" applyFont="1" applyFill="1" applyBorder="1" applyAlignment="1">
      <alignment horizontal="left" vertical="center"/>
    </xf>
    <xf numFmtId="0" fontId="111" fillId="0" borderId="6" xfId="23" applyFont="1" applyFill="1" applyBorder="1" applyAlignment="1">
      <alignment horizontal="center" vertical="center"/>
    </xf>
    <xf numFmtId="183" fontId="111" fillId="0" borderId="6" xfId="23" applyNumberFormat="1" applyFont="1" applyFill="1" applyBorder="1" applyAlignment="1">
      <alignment horizontal="center" vertical="center"/>
    </xf>
    <xf numFmtId="0" fontId="112" fillId="0" borderId="50" xfId="23" applyFont="1" applyFill="1" applyBorder="1" applyAlignment="1">
      <alignment horizontal="center" vertical="center"/>
    </xf>
    <xf numFmtId="0" fontId="45" fillId="0" borderId="0" xfId="23" applyFill="1" applyAlignment="1">
      <alignment horizontal="center" vertical="center"/>
    </xf>
    <xf numFmtId="0" fontId="112" fillId="0" borderId="0" xfId="23" applyFont="1" applyFill="1" applyBorder="1" applyAlignment="1">
      <alignment horizontal="center" vertical="center"/>
    </xf>
    <xf numFmtId="0" fontId="2" fillId="41" borderId="6" xfId="23" applyFont="1" applyFill="1" applyBorder="1" applyAlignment="1">
      <alignment horizontal="left" vertical="center"/>
    </xf>
    <xf numFmtId="0" fontId="2" fillId="42" borderId="6" xfId="23" applyFont="1" applyFill="1" applyBorder="1" applyAlignment="1">
      <alignment horizontal="center" vertical="center"/>
    </xf>
    <xf numFmtId="0" fontId="2" fillId="42" borderId="6" xfId="23" applyFont="1" applyFill="1" applyBorder="1" applyAlignment="1">
      <alignment horizontal="left" vertical="center"/>
    </xf>
    <xf numFmtId="0" fontId="21" fillId="0" borderId="6" xfId="23" applyFont="1" applyFill="1" applyBorder="1" applyAlignment="1">
      <alignment horizontal="center" vertical="center" wrapText="1"/>
    </xf>
    <xf numFmtId="0" fontId="58" fillId="0" borderId="6" xfId="23" applyFont="1" applyFill="1" applyBorder="1" applyAlignment="1">
      <alignment horizontal="left" vertical="center"/>
    </xf>
    <xf numFmtId="0" fontId="114" fillId="0" borderId="6" xfId="23" applyFont="1" applyFill="1" applyBorder="1" applyAlignment="1">
      <alignment horizontal="center" vertical="center" wrapText="1"/>
    </xf>
    <xf numFmtId="0" fontId="58" fillId="0" borderId="6" xfId="23" applyFont="1" applyFill="1" applyBorder="1" applyAlignment="1">
      <alignment horizontal="center" vertical="center"/>
    </xf>
    <xf numFmtId="209" fontId="0" fillId="0" borderId="0" xfId="16" applyFont="1"/>
    <xf numFmtId="1" fontId="2" fillId="28" borderId="44" xfId="16" applyNumberFormat="1" applyFill="1" applyBorder="1" applyAlignment="1">
      <alignment horizontal="left" vertical="center"/>
    </xf>
    <xf numFmtId="1" fontId="2" fillId="28" borderId="44" xfId="16" applyNumberFormat="1" applyFill="1" applyBorder="1" applyAlignment="1">
      <alignment horizontal="center" vertical="center"/>
    </xf>
    <xf numFmtId="189" fontId="2" fillId="28" borderId="91" xfId="16" applyNumberFormat="1" applyFill="1" applyBorder="1" applyAlignment="1">
      <alignment horizontal="left" vertical="center"/>
    </xf>
    <xf numFmtId="209" fontId="2" fillId="28" borderId="0" xfId="16" applyFill="1" applyAlignment="1">
      <alignment horizontal="left"/>
    </xf>
    <xf numFmtId="1" fontId="2" fillId="28" borderId="0" xfId="16" applyNumberFormat="1" applyFill="1" applyAlignment="1">
      <alignment horizontal="center" vertical="center"/>
    </xf>
    <xf numFmtId="209" fontId="0" fillId="3" borderId="44" xfId="16" applyFont="1" applyFill="1" applyBorder="1" applyAlignment="1">
      <alignment horizontal="left"/>
    </xf>
    <xf numFmtId="177" fontId="8" fillId="35" borderId="7" xfId="0" applyNumberFormat="1" applyFont="1" applyFill="1" applyBorder="1" applyAlignment="1">
      <alignment horizontal="center"/>
    </xf>
    <xf numFmtId="0" fontId="0" fillId="8" borderId="6" xfId="0" applyNumberFormat="1" applyFill="1" applyBorder="1" applyAlignment="1">
      <alignment horizontal="center"/>
    </xf>
    <xf numFmtId="0" fontId="115" fillId="0" borderId="0" xfId="23" applyFont="1">
      <alignment vertical="center"/>
    </xf>
    <xf numFmtId="0" fontId="116" fillId="27" borderId="0" xfId="23" applyFont="1" applyFill="1">
      <alignment vertical="center"/>
    </xf>
    <xf numFmtId="0" fontId="115" fillId="0" borderId="0" xfId="23" applyFont="1" applyAlignment="1">
      <alignment horizontal="left" vertical="center"/>
    </xf>
    <xf numFmtId="0" fontId="115" fillId="0" borderId="0" xfId="23" applyFont="1" applyAlignment="1">
      <alignment horizontal="center" vertical="center"/>
    </xf>
    <xf numFmtId="0" fontId="116" fillId="27" borderId="6" xfId="23" applyFont="1" applyFill="1" applyBorder="1" applyAlignment="1">
      <alignment horizontal="center" vertical="center"/>
    </xf>
    <xf numFmtId="0" fontId="116" fillId="27" borderId="6" xfId="23" applyFont="1" applyFill="1" applyBorder="1" applyAlignment="1">
      <alignment horizontal="center" vertical="distributed"/>
    </xf>
    <xf numFmtId="0" fontId="116" fillId="27" borderId="6" xfId="23" applyFont="1" applyFill="1" applyBorder="1" applyAlignment="1">
      <alignment horizontal="left" vertical="center"/>
    </xf>
    <xf numFmtId="0" fontId="115" fillId="0" borderId="6" xfId="23" applyFont="1" applyBorder="1" applyAlignment="1">
      <alignment horizontal="center" vertical="center"/>
    </xf>
    <xf numFmtId="0" fontId="115" fillId="0" borderId="6" xfId="23" applyFont="1" applyBorder="1" applyAlignment="1">
      <alignment horizontal="left" vertical="center"/>
    </xf>
    <xf numFmtId="0" fontId="115" fillId="0" borderId="6" xfId="23" applyFont="1" applyBorder="1" applyAlignment="1">
      <alignment horizontal="center" vertical="center" wrapText="1"/>
    </xf>
    <xf numFmtId="0" fontId="115" fillId="43" borderId="6" xfId="23" applyFont="1" applyFill="1" applyBorder="1" applyAlignment="1">
      <alignment horizontal="left" vertical="center"/>
    </xf>
    <xf numFmtId="0" fontId="115" fillId="0" borderId="6" xfId="23" applyFont="1" applyBorder="1">
      <alignment vertical="center"/>
    </xf>
    <xf numFmtId="0" fontId="115" fillId="19" borderId="6" xfId="23" applyFont="1" applyFill="1" applyBorder="1" applyAlignment="1">
      <alignment horizontal="center" vertical="center"/>
    </xf>
    <xf numFmtId="0" fontId="115" fillId="19" borderId="6" xfId="23" applyFont="1" applyFill="1" applyBorder="1" applyAlignment="1">
      <alignment horizontal="left" vertical="center"/>
    </xf>
    <xf numFmtId="0" fontId="115" fillId="19" borderId="6" xfId="23" applyFont="1" applyFill="1" applyBorder="1" applyAlignment="1">
      <alignment horizontal="center" vertical="center" wrapText="1"/>
    </xf>
    <xf numFmtId="0" fontId="115" fillId="19" borderId="6" xfId="23" applyFont="1" applyFill="1" applyBorder="1">
      <alignment vertical="center"/>
    </xf>
    <xf numFmtId="0" fontId="115" fillId="19" borderId="0" xfId="23" applyFont="1" applyFill="1">
      <alignment vertical="center"/>
    </xf>
    <xf numFmtId="0" fontId="115" fillId="44" borderId="6" xfId="23" applyFont="1" applyFill="1" applyBorder="1" applyAlignment="1">
      <alignment horizontal="left" vertical="center"/>
    </xf>
    <xf numFmtId="0" fontId="115" fillId="44" borderId="6" xfId="23" applyFont="1" applyFill="1" applyBorder="1" applyAlignment="1">
      <alignment horizontal="center" vertical="center"/>
    </xf>
    <xf numFmtId="0" fontId="115" fillId="44" borderId="6" xfId="23" applyFont="1" applyFill="1" applyBorder="1" applyAlignment="1">
      <alignment horizontal="center" vertical="center" wrapText="1"/>
    </xf>
    <xf numFmtId="0" fontId="115" fillId="8" borderId="6" xfId="23" applyFont="1" applyFill="1" applyBorder="1" applyAlignment="1">
      <alignment horizontal="center" vertical="center"/>
    </xf>
    <xf numFmtId="0" fontId="115" fillId="8" borderId="6" xfId="23" applyFont="1" applyFill="1" applyBorder="1" applyAlignment="1">
      <alignment horizontal="left" vertical="center"/>
    </xf>
    <xf numFmtId="0" fontId="117" fillId="8" borderId="6" xfId="23" applyFont="1" applyFill="1" applyBorder="1" applyAlignment="1">
      <alignment horizontal="left" vertical="center"/>
    </xf>
    <xf numFmtId="0" fontId="118" fillId="8" borderId="0" xfId="23" applyFont="1" applyFill="1">
      <alignment vertical="center"/>
    </xf>
    <xf numFmtId="0" fontId="117" fillId="8" borderId="6" xfId="23" applyFont="1" applyFill="1" applyBorder="1" applyAlignment="1">
      <alignment horizontal="center" vertical="center"/>
    </xf>
    <xf numFmtId="0" fontId="115" fillId="8" borderId="6" xfId="23" applyFont="1" applyFill="1" applyBorder="1">
      <alignment vertical="center"/>
    </xf>
    <xf numFmtId="0" fontId="115" fillId="8" borderId="0" xfId="23" applyFont="1" applyFill="1">
      <alignment vertical="center"/>
    </xf>
    <xf numFmtId="0" fontId="99" fillId="43" borderId="6" xfId="23" applyFont="1" applyFill="1" applyBorder="1" applyAlignment="1">
      <alignment horizontal="left" vertical="center"/>
    </xf>
    <xf numFmtId="0" fontId="115" fillId="38" borderId="6" xfId="23" applyFont="1" applyFill="1" applyBorder="1" applyAlignment="1">
      <alignment horizontal="center" vertical="center"/>
    </xf>
    <xf numFmtId="0" fontId="117" fillId="44" borderId="6" xfId="23" applyFont="1" applyFill="1" applyBorder="1" applyAlignment="1">
      <alignment horizontal="left" vertical="center"/>
    </xf>
    <xf numFmtId="0" fontId="117" fillId="44" borderId="6" xfId="23" applyFont="1" applyFill="1" applyBorder="1" applyAlignment="1">
      <alignment horizontal="center" vertical="center"/>
    </xf>
    <xf numFmtId="0" fontId="117" fillId="44" borderId="6" xfId="23" applyFont="1" applyFill="1" applyBorder="1" applyAlignment="1">
      <alignment horizontal="center" vertical="center" wrapText="1"/>
    </xf>
    <xf numFmtId="0" fontId="119" fillId="0" borderId="6" xfId="23" applyFont="1" applyBorder="1" applyAlignment="1">
      <alignment horizontal="left" vertical="center"/>
    </xf>
    <xf numFmtId="0" fontId="117" fillId="0" borderId="6" xfId="23" applyFont="1" applyBorder="1" applyAlignment="1">
      <alignment horizontal="left" vertical="center"/>
    </xf>
    <xf numFmtId="0" fontId="117" fillId="0" borderId="6" xfId="23" applyFont="1" applyBorder="1" applyAlignment="1">
      <alignment horizontal="center" vertical="center"/>
    </xf>
    <xf numFmtId="0" fontId="117" fillId="0" borderId="6" xfId="23" applyFont="1" applyBorder="1" applyAlignment="1">
      <alignment horizontal="center" vertical="center" wrapText="1"/>
    </xf>
    <xf numFmtId="0" fontId="117" fillId="38" borderId="6" xfId="23" applyFont="1" applyFill="1" applyBorder="1" applyAlignment="1">
      <alignment horizontal="center" vertical="center"/>
    </xf>
    <xf numFmtId="0" fontId="115" fillId="28" borderId="6" xfId="23" applyFont="1" applyFill="1" applyBorder="1" applyAlignment="1">
      <alignment horizontal="left" vertical="center"/>
    </xf>
    <xf numFmtId="0" fontId="115" fillId="28" borderId="6" xfId="23" applyFont="1" applyFill="1" applyBorder="1" applyAlignment="1">
      <alignment horizontal="center" vertical="center"/>
    </xf>
    <xf numFmtId="0" fontId="115" fillId="28" borderId="6" xfId="23" applyFont="1" applyFill="1" applyBorder="1" applyAlignment="1">
      <alignment horizontal="center" vertical="center" wrapText="1"/>
    </xf>
    <xf numFmtId="0" fontId="119" fillId="44" borderId="6" xfId="23" applyFont="1" applyFill="1" applyBorder="1" applyAlignment="1">
      <alignment horizontal="left" vertical="center"/>
    </xf>
    <xf numFmtId="0" fontId="119" fillId="44" borderId="6" xfId="23" applyFont="1" applyFill="1" applyBorder="1" applyAlignment="1">
      <alignment horizontal="center" vertical="center"/>
    </xf>
    <xf numFmtId="0" fontId="119" fillId="44" borderId="6" xfId="23" applyFont="1" applyFill="1" applyBorder="1" applyAlignment="1">
      <alignment horizontal="center" vertical="center" wrapText="1"/>
    </xf>
    <xf numFmtId="0" fontId="119" fillId="0" borderId="6" xfId="23" applyFont="1" applyBorder="1" applyAlignment="1">
      <alignment horizontal="center" vertical="center"/>
    </xf>
    <xf numFmtId="0" fontId="119" fillId="0" borderId="6" xfId="23" applyFont="1" applyBorder="1" applyAlignment="1">
      <alignment horizontal="center" vertical="center" wrapText="1"/>
    </xf>
    <xf numFmtId="0" fontId="117" fillId="19" borderId="6" xfId="23" applyFont="1" applyFill="1" applyBorder="1" applyAlignment="1">
      <alignment horizontal="left" vertical="center"/>
    </xf>
    <xf numFmtId="0" fontId="120" fillId="0" borderId="6" xfId="23" applyFont="1" applyBorder="1" applyAlignment="1">
      <alignment horizontal="center" vertical="center"/>
    </xf>
    <xf numFmtId="0" fontId="120" fillId="0" borderId="6" xfId="23" applyFont="1" applyBorder="1" applyAlignment="1">
      <alignment horizontal="left" vertical="center"/>
    </xf>
    <xf numFmtId="0" fontId="120" fillId="0" borderId="6" xfId="23" applyFont="1" applyBorder="1" applyAlignment="1">
      <alignment horizontal="center" vertical="center" wrapText="1"/>
    </xf>
    <xf numFmtId="0" fontId="120" fillId="43" borderId="6" xfId="23" applyFont="1" applyFill="1" applyBorder="1" applyAlignment="1">
      <alignment horizontal="left" vertical="center"/>
    </xf>
    <xf numFmtId="0" fontId="121" fillId="0" borderId="6" xfId="23" applyFont="1" applyBorder="1">
      <alignment vertical="center"/>
    </xf>
    <xf numFmtId="0" fontId="115" fillId="45" borderId="6" xfId="23" applyFont="1" applyFill="1" applyBorder="1" applyAlignment="1">
      <alignment horizontal="center" vertical="center"/>
    </xf>
    <xf numFmtId="0" fontId="115" fillId="45" borderId="6" xfId="23" applyFont="1" applyFill="1" applyBorder="1" applyAlignment="1">
      <alignment horizontal="left" vertical="center"/>
    </xf>
    <xf numFmtId="0" fontId="115" fillId="45" borderId="6" xfId="23" applyFont="1" applyFill="1" applyBorder="1" applyAlignment="1">
      <alignment horizontal="center" vertical="center" wrapText="1"/>
    </xf>
    <xf numFmtId="0" fontId="115" fillId="45" borderId="6" xfId="23" applyFont="1" applyFill="1" applyBorder="1">
      <alignment vertical="center"/>
    </xf>
    <xf numFmtId="0" fontId="115" fillId="45" borderId="0" xfId="23" applyFont="1" applyFill="1">
      <alignment vertical="center"/>
    </xf>
    <xf numFmtId="0" fontId="115" fillId="43" borderId="0" xfId="23" applyFont="1" applyFill="1" applyAlignment="1">
      <alignment horizontal="left" vertical="center"/>
    </xf>
    <xf numFmtId="0" fontId="60" fillId="0" borderId="0" xfId="9"/>
    <xf numFmtId="0" fontId="60" fillId="0" borderId="0" xfId="9" applyAlignment="1">
      <alignment wrapText="1"/>
    </xf>
    <xf numFmtId="0" fontId="60" fillId="0" borderId="0" xfId="9" applyAlignment="1">
      <alignment horizontal="center" vertical="center" wrapText="1"/>
    </xf>
    <xf numFmtId="0" fontId="60" fillId="0" borderId="0" xfId="9" applyAlignment="1">
      <alignment vertical="center" wrapText="1"/>
    </xf>
    <xf numFmtId="0" fontId="122" fillId="0" borderId="0" xfId="9" applyFont="1" applyAlignment="1">
      <alignment horizontal="center" vertical="center"/>
    </xf>
    <xf numFmtId="176" fontId="123" fillId="0" borderId="97" xfId="0" applyFont="1" applyBorder="1" applyAlignment="1">
      <alignment vertical="center" wrapText="1"/>
    </xf>
    <xf numFmtId="187" fontId="123" fillId="0" borderId="97" xfId="0" applyNumberFormat="1" applyFont="1" applyBorder="1" applyAlignment="1">
      <alignment vertical="center" wrapText="1"/>
    </xf>
    <xf numFmtId="176" fontId="97" fillId="7" borderId="6" xfId="0" applyFont="1" applyFill="1" applyBorder="1" applyAlignment="1">
      <alignment horizontal="center" vertical="center" wrapText="1"/>
    </xf>
    <xf numFmtId="0" fontId="95" fillId="7" borderId="93" xfId="17" applyFont="1" applyFill="1" applyBorder="1" applyAlignment="1">
      <alignment horizontal="center" vertical="center" wrapText="1"/>
    </xf>
    <xf numFmtId="0" fontId="95" fillId="7" borderId="6" xfId="17" applyFont="1" applyFill="1" applyBorder="1" applyAlignment="1">
      <alignment horizontal="left" vertical="center" wrapText="1"/>
    </xf>
    <xf numFmtId="0" fontId="93" fillId="7" borderId="6" xfId="17" applyFill="1" applyBorder="1">
      <alignment vertical="center"/>
    </xf>
    <xf numFmtId="0" fontId="95" fillId="7" borderId="95" xfId="17" applyFont="1" applyFill="1" applyBorder="1" applyAlignment="1">
      <alignment horizontal="left" vertical="center" wrapText="1"/>
    </xf>
    <xf numFmtId="176" fontId="95" fillId="7" borderId="6" xfId="0" applyFont="1" applyFill="1" applyBorder="1" applyAlignment="1">
      <alignment horizontal="center" vertical="center" wrapText="1"/>
    </xf>
    <xf numFmtId="0" fontId="94" fillId="7" borderId="0" xfId="17" applyFont="1" applyFill="1">
      <alignment vertical="center"/>
    </xf>
    <xf numFmtId="0" fontId="93" fillId="7" borderId="0" xfId="17" applyFill="1">
      <alignment vertical="center"/>
    </xf>
    <xf numFmtId="0" fontId="122" fillId="7" borderId="0" xfId="17" applyFont="1" applyFill="1">
      <alignment vertical="center"/>
    </xf>
    <xf numFmtId="0" fontId="122" fillId="0" borderId="0" xfId="17" applyFont="1">
      <alignment vertical="center"/>
    </xf>
    <xf numFmtId="0" fontId="93" fillId="8" borderId="0" xfId="17" applyFill="1">
      <alignment vertical="center"/>
    </xf>
    <xf numFmtId="176" fontId="6" fillId="0" borderId="93" xfId="0" applyFont="1" applyBorder="1" applyAlignment="1">
      <alignment vertical="center" wrapText="1"/>
    </xf>
    <xf numFmtId="176" fontId="124" fillId="0" borderId="95" xfId="0" applyFont="1" applyBorder="1" applyAlignment="1">
      <alignment vertical="center" wrapText="1"/>
    </xf>
    <xf numFmtId="176" fontId="123" fillId="0" borderId="95" xfId="0" applyFont="1" applyBorder="1" applyAlignment="1">
      <alignment vertical="center" wrapText="1"/>
    </xf>
    <xf numFmtId="176" fontId="6" fillId="0" borderId="95" xfId="0" applyFont="1" applyBorder="1" applyAlignment="1">
      <alignment vertical="center" wrapText="1"/>
    </xf>
    <xf numFmtId="176" fontId="6" fillId="0" borderId="95" xfId="0" applyFont="1" applyBorder="1" applyAlignment="1">
      <alignment wrapText="1"/>
    </xf>
    <xf numFmtId="176" fontId="124" fillId="0" borderId="98" xfId="0" applyFont="1" applyBorder="1" applyAlignment="1">
      <alignment vertical="center" wrapText="1"/>
    </xf>
    <xf numFmtId="176" fontId="124" fillId="0" borderId="97" xfId="0" applyFont="1" applyBorder="1" applyAlignment="1">
      <alignment vertical="center" wrapText="1"/>
    </xf>
    <xf numFmtId="176" fontId="123" fillId="0" borderId="98" xfId="0" applyFont="1" applyBorder="1" applyAlignment="1">
      <alignment vertical="center" wrapText="1"/>
    </xf>
    <xf numFmtId="176" fontId="6" fillId="0" borderId="98" xfId="0" applyFont="1" applyBorder="1" applyAlignment="1">
      <alignment vertical="center" wrapText="1"/>
    </xf>
    <xf numFmtId="176" fontId="6" fillId="0" borderId="97" xfId="0" applyFont="1" applyBorder="1" applyAlignment="1">
      <alignment vertical="center" wrapText="1"/>
    </xf>
    <xf numFmtId="176" fontId="6" fillId="0" borderId="97" xfId="0" applyFont="1" applyBorder="1" applyAlignment="1">
      <alignment wrapText="1"/>
    </xf>
    <xf numFmtId="177" fontId="26" fillId="8" borderId="7" xfId="0" applyNumberFormat="1" applyFont="1" applyFill="1" applyBorder="1" applyAlignment="1">
      <alignment horizontal="center"/>
    </xf>
    <xf numFmtId="177" fontId="127" fillId="8" borderId="7" xfId="0" applyNumberFormat="1" applyFont="1" applyFill="1" applyBorder="1" applyAlignment="1">
      <alignment horizontal="center"/>
    </xf>
    <xf numFmtId="179" fontId="2" fillId="0" borderId="99" xfId="2" applyNumberFormat="1" applyFont="1" applyBorder="1" applyAlignment="1">
      <alignment horizontal="center"/>
    </xf>
    <xf numFmtId="179" fontId="18" fillId="0" borderId="99" xfId="2" applyNumberFormat="1" applyFont="1" applyBorder="1" applyAlignment="1">
      <alignment horizontal="center"/>
    </xf>
    <xf numFmtId="179" fontId="2" fillId="7" borderId="99" xfId="2" applyNumberFormat="1" applyFont="1" applyFill="1" applyBorder="1" applyAlignment="1">
      <alignment horizontal="center"/>
    </xf>
    <xf numFmtId="179" fontId="2" fillId="8" borderId="99" xfId="2" applyNumberFormat="1" applyFont="1" applyFill="1" applyBorder="1" applyAlignment="1">
      <alignment horizontal="center"/>
    </xf>
    <xf numFmtId="179" fontId="2" fillId="0" borderId="99" xfId="2" applyNumberFormat="1" applyFont="1" applyFill="1" applyBorder="1" applyAlignment="1">
      <alignment horizontal="center"/>
    </xf>
    <xf numFmtId="179" fontId="2" fillId="0" borderId="62" xfId="2" applyNumberFormat="1" applyFont="1" applyBorder="1" applyAlignment="1">
      <alignment horizontal="center"/>
    </xf>
    <xf numFmtId="179" fontId="2" fillId="0" borderId="58" xfId="2" applyNumberFormat="1" applyFont="1" applyBorder="1" applyAlignment="1">
      <alignment horizontal="center"/>
    </xf>
    <xf numFmtId="176" fontId="9" fillId="0" borderId="8" xfId="0" applyFont="1" applyBorder="1"/>
    <xf numFmtId="176" fontId="2" fillId="0" borderId="6" xfId="0" applyFont="1" applyBorder="1"/>
    <xf numFmtId="0" fontId="126" fillId="8" borderId="6" xfId="0" applyNumberFormat="1" applyFont="1" applyFill="1" applyBorder="1" applyAlignment="1">
      <alignment vertical="distributed"/>
    </xf>
    <xf numFmtId="0" fontId="0" fillId="8" borderId="6" xfId="0" applyNumberFormat="1" applyFill="1" applyBorder="1" applyAlignment="1">
      <alignment vertical="distributed"/>
    </xf>
    <xf numFmtId="176" fontId="18" fillId="0" borderId="6" xfId="0" applyFont="1" applyBorder="1"/>
    <xf numFmtId="180" fontId="0" fillId="0" borderId="6" xfId="0" applyNumberFormat="1" applyBorder="1"/>
    <xf numFmtId="176" fontId="0" fillId="8" borderId="6" xfId="0" applyFill="1" applyBorder="1"/>
    <xf numFmtId="176" fontId="0" fillId="8" borderId="6" xfId="0" applyFont="1" applyFill="1" applyBorder="1"/>
    <xf numFmtId="0" fontId="0" fillId="0" borderId="6" xfId="0" applyNumberFormat="1" applyFill="1" applyBorder="1" applyAlignment="1">
      <alignment vertical="distributed"/>
    </xf>
    <xf numFmtId="176" fontId="21" fillId="0" borderId="6" xfId="0" applyFont="1" applyBorder="1"/>
    <xf numFmtId="176" fontId="22" fillId="0" borderId="6" xfId="0" applyFont="1" applyBorder="1"/>
    <xf numFmtId="176" fontId="0" fillId="0" borderId="6" xfId="0" applyBorder="1" applyAlignment="1">
      <alignment wrapText="1"/>
    </xf>
    <xf numFmtId="0" fontId="16" fillId="0" borderId="6" xfId="2" applyNumberFormat="1" applyFont="1" applyFill="1" applyBorder="1" applyAlignment="1">
      <alignment horizontal="center" vertical="center"/>
    </xf>
    <xf numFmtId="176" fontId="128" fillId="23" borderId="6" xfId="0" applyFont="1" applyFill="1" applyBorder="1"/>
    <xf numFmtId="180" fontId="123" fillId="0" borderId="97" xfId="0" applyNumberFormat="1" applyFont="1" applyBorder="1" applyAlignment="1">
      <alignment vertical="center" wrapText="1"/>
    </xf>
    <xf numFmtId="44" fontId="115" fillId="0" borderId="0" xfId="23" applyNumberFormat="1" applyFont="1" applyAlignment="1">
      <alignment vertical="distributed"/>
    </xf>
    <xf numFmtId="0" fontId="117" fillId="0" borderId="0" xfId="23" applyFont="1" applyFill="1">
      <alignment vertical="center"/>
    </xf>
    <xf numFmtId="0" fontId="120" fillId="19" borderId="6" xfId="23" applyFont="1" applyFill="1" applyBorder="1" applyAlignment="1">
      <alignment horizontal="left" vertical="center"/>
    </xf>
    <xf numFmtId="0" fontId="115" fillId="46" borderId="6" xfId="23" applyFont="1" applyFill="1" applyBorder="1" applyAlignment="1">
      <alignment horizontal="center" vertical="center" wrapText="1"/>
    </xf>
    <xf numFmtId="0" fontId="120" fillId="46" borderId="6" xfId="23" applyFont="1" applyFill="1" applyBorder="1" applyAlignment="1">
      <alignment horizontal="center" vertical="center" wrapText="1"/>
    </xf>
    <xf numFmtId="0" fontId="120" fillId="19" borderId="6" xfId="23" applyFont="1" applyFill="1" applyBorder="1" applyAlignment="1">
      <alignment horizontal="center" vertical="center"/>
    </xf>
    <xf numFmtId="0" fontId="120" fillId="19" borderId="6" xfId="23" applyFont="1" applyFill="1" applyBorder="1">
      <alignment vertical="center"/>
    </xf>
    <xf numFmtId="0" fontId="120" fillId="0" borderId="6" xfId="23" applyFont="1" applyBorder="1">
      <alignment vertical="center"/>
    </xf>
    <xf numFmtId="0" fontId="131" fillId="43" borderId="6" xfId="23" applyFont="1" applyFill="1" applyBorder="1" applyAlignment="1">
      <alignment horizontal="left" vertical="center"/>
    </xf>
    <xf numFmtId="0" fontId="115" fillId="0" borderId="0" xfId="23" applyFont="1" applyBorder="1" applyAlignment="1">
      <alignment horizontal="left" vertical="center"/>
    </xf>
    <xf numFmtId="0" fontId="115" fillId="0" borderId="8" xfId="23" applyFont="1" applyBorder="1" applyAlignment="1">
      <alignment horizontal="center" vertical="center" wrapText="1"/>
    </xf>
    <xf numFmtId="0" fontId="115" fillId="0" borderId="6" xfId="0" applyNumberFormat="1" applyFont="1" applyBorder="1" applyAlignment="1">
      <alignment horizontal="left" vertical="center"/>
    </xf>
    <xf numFmtId="44" fontId="120" fillId="0" borderId="0" xfId="23" applyNumberFormat="1" applyFont="1" applyAlignment="1">
      <alignment vertical="distributed"/>
    </xf>
    <xf numFmtId="176" fontId="63" fillId="35" borderId="6" xfId="0" applyFont="1" applyFill="1" applyBorder="1"/>
    <xf numFmtId="0" fontId="120" fillId="44" borderId="6" xfId="23" applyFont="1" applyFill="1" applyBorder="1" applyAlignment="1">
      <alignment horizontal="left" vertical="center"/>
    </xf>
    <xf numFmtId="0" fontId="120" fillId="44" borderId="6" xfId="23" applyFont="1" applyFill="1" applyBorder="1" applyAlignment="1">
      <alignment horizontal="center" vertical="center"/>
    </xf>
    <xf numFmtId="0" fontId="120" fillId="44" borderId="6" xfId="23" applyFont="1" applyFill="1" applyBorder="1" applyAlignment="1">
      <alignment horizontal="center" vertical="center" wrapText="1"/>
    </xf>
    <xf numFmtId="176" fontId="6" fillId="8" borderId="6" xfId="0" applyFont="1" applyFill="1" applyBorder="1" applyAlignment="1">
      <alignment horizontal="center" wrapText="1"/>
    </xf>
    <xf numFmtId="0" fontId="117" fillId="19" borderId="0" xfId="23" applyFont="1" applyFill="1" applyAlignment="1">
      <alignment horizontal="left" vertical="center"/>
    </xf>
    <xf numFmtId="0" fontId="117" fillId="19" borderId="6" xfId="23" applyFont="1" applyFill="1" applyBorder="1" applyAlignment="1">
      <alignment horizontal="center" vertical="center"/>
    </xf>
    <xf numFmtId="0" fontId="117" fillId="43" borderId="6" xfId="23" applyFont="1" applyFill="1" applyBorder="1" applyAlignment="1">
      <alignment horizontal="left" vertical="center"/>
    </xf>
    <xf numFmtId="212" fontId="117" fillId="19" borderId="0" xfId="23" applyNumberFormat="1" applyFont="1" applyFill="1" applyAlignment="1">
      <alignment horizontal="left" vertical="center"/>
    </xf>
    <xf numFmtId="0" fontId="115" fillId="0" borderId="6" xfId="23" applyFont="1" applyFill="1" applyBorder="1" applyAlignment="1">
      <alignment horizontal="left" vertical="center"/>
    </xf>
    <xf numFmtId="0" fontId="115" fillId="0" borderId="6" xfId="23" applyFont="1" applyFill="1" applyBorder="1" applyAlignment="1">
      <alignment horizontal="center" vertical="center"/>
    </xf>
    <xf numFmtId="0" fontId="115" fillId="0" borderId="6" xfId="23" applyFont="1" applyFill="1" applyBorder="1" applyAlignment="1">
      <alignment horizontal="center" vertical="center" wrapText="1"/>
    </xf>
    <xf numFmtId="0" fontId="115" fillId="0" borderId="6" xfId="23" applyFont="1" applyFill="1" applyBorder="1">
      <alignment vertical="center"/>
    </xf>
    <xf numFmtId="0" fontId="118" fillId="0" borderId="0" xfId="23" applyFont="1" applyFill="1">
      <alignment vertical="center"/>
    </xf>
    <xf numFmtId="0" fontId="117" fillId="0" borderId="6" xfId="23" applyFont="1" applyFill="1" applyBorder="1" applyAlignment="1">
      <alignment horizontal="left" vertical="center"/>
    </xf>
    <xf numFmtId="0" fontId="117" fillId="0" borderId="6" xfId="23" applyFont="1" applyFill="1" applyBorder="1" applyAlignment="1">
      <alignment horizontal="center" vertical="center"/>
    </xf>
    <xf numFmtId="0" fontId="120" fillId="0" borderId="6" xfId="23" applyFont="1" applyFill="1" applyBorder="1" applyAlignment="1">
      <alignment horizontal="left" vertical="center"/>
    </xf>
    <xf numFmtId="0" fontId="120" fillId="0" borderId="6" xfId="23" applyFont="1" applyFill="1" applyBorder="1" applyAlignment="1">
      <alignment horizontal="center" vertical="center"/>
    </xf>
    <xf numFmtId="0" fontId="120" fillId="0" borderId="6" xfId="23" applyFont="1" applyFill="1" applyBorder="1" applyAlignment="1">
      <alignment horizontal="center" vertical="center" wrapText="1"/>
    </xf>
    <xf numFmtId="0" fontId="120" fillId="0" borderId="6" xfId="23" applyFont="1" applyFill="1" applyBorder="1">
      <alignment vertical="center"/>
    </xf>
    <xf numFmtId="0" fontId="131" fillId="0" borderId="6" xfId="23" applyFont="1" applyFill="1" applyBorder="1" applyAlignment="1">
      <alignment horizontal="left" vertical="center"/>
    </xf>
    <xf numFmtId="0" fontId="99" fillId="0" borderId="6" xfId="23" applyFont="1" applyFill="1" applyBorder="1" applyAlignment="1">
      <alignment horizontal="left" vertical="center"/>
    </xf>
    <xf numFmtId="0" fontId="119" fillId="0" borderId="6" xfId="23" applyFont="1" applyFill="1" applyBorder="1" applyAlignment="1">
      <alignment horizontal="left" vertical="center"/>
    </xf>
    <xf numFmtId="0" fontId="119" fillId="0" borderId="6" xfId="23" applyFont="1" applyFill="1" applyBorder="1" applyAlignment="1">
      <alignment horizontal="center" vertical="center"/>
    </xf>
    <xf numFmtId="0" fontId="119" fillId="0" borderId="6" xfId="23" applyFont="1" applyFill="1" applyBorder="1" applyAlignment="1">
      <alignment horizontal="center" vertical="center" wrapText="1"/>
    </xf>
    <xf numFmtId="0" fontId="115" fillId="0" borderId="0" xfId="23" applyFont="1" applyFill="1">
      <alignment vertical="center"/>
    </xf>
    <xf numFmtId="0" fontId="117" fillId="0" borderId="0" xfId="23" applyFont="1" applyFill="1" applyAlignment="1">
      <alignment horizontal="left" vertical="center"/>
    </xf>
    <xf numFmtId="212" fontId="117" fillId="0" borderId="0" xfId="23" applyNumberFormat="1" applyFont="1" applyFill="1" applyAlignment="1">
      <alignment horizontal="left" vertical="center"/>
    </xf>
    <xf numFmtId="0" fontId="121" fillId="0" borderId="6" xfId="23" applyFont="1" applyFill="1" applyBorder="1">
      <alignment vertical="center"/>
    </xf>
    <xf numFmtId="0" fontId="115" fillId="0" borderId="8" xfId="23" applyFont="1" applyFill="1" applyBorder="1" applyAlignment="1">
      <alignment horizontal="center" vertical="center" wrapText="1"/>
    </xf>
    <xf numFmtId="0" fontId="115" fillId="0" borderId="6" xfId="0" applyNumberFormat="1" applyFont="1" applyFill="1" applyBorder="1" applyAlignment="1">
      <alignment horizontal="left" vertical="center"/>
    </xf>
    <xf numFmtId="176" fontId="0" fillId="0" borderId="6" xfId="0" applyFill="1" applyBorder="1"/>
    <xf numFmtId="0" fontId="115" fillId="0" borderId="0" xfId="23" applyFont="1" applyFill="1" applyBorder="1" applyAlignment="1">
      <alignment horizontal="left" vertical="center"/>
    </xf>
    <xf numFmtId="0" fontId="115" fillId="0" borderId="0" xfId="23" applyFont="1" applyFill="1" applyAlignment="1">
      <alignment horizontal="left" vertical="center"/>
    </xf>
    <xf numFmtId="0" fontId="115" fillId="0" borderId="0" xfId="23" applyFont="1" applyFill="1" applyAlignment="1">
      <alignment horizontal="center" vertical="center"/>
    </xf>
    <xf numFmtId="0" fontId="116" fillId="0" borderId="0" xfId="23" applyFont="1" applyFill="1">
      <alignment vertical="center"/>
    </xf>
    <xf numFmtId="44" fontId="115" fillId="0" borderId="0" xfId="23" applyNumberFormat="1" applyFont="1" applyFill="1" applyAlignment="1">
      <alignment vertical="distributed"/>
    </xf>
    <xf numFmtId="176" fontId="63" fillId="0" borderId="6" xfId="0" applyFont="1" applyFill="1" applyBorder="1"/>
    <xf numFmtId="44" fontId="120" fillId="0" borderId="0" xfId="23" applyNumberFormat="1" applyFont="1" applyFill="1" applyAlignment="1">
      <alignment vertical="distributed"/>
    </xf>
    <xf numFmtId="0" fontId="133" fillId="0" borderId="6" xfId="23" applyFont="1" applyFill="1" applyBorder="1" applyAlignment="1">
      <alignment horizontal="center" vertical="center"/>
    </xf>
    <xf numFmtId="0" fontId="133" fillId="0" borderId="6" xfId="23" applyFont="1" applyFill="1" applyBorder="1" applyAlignment="1">
      <alignment horizontal="center" vertical="distributed"/>
    </xf>
    <xf numFmtId="0" fontId="133" fillId="0" borderId="6" xfId="23" applyFont="1" applyFill="1" applyBorder="1" applyAlignment="1">
      <alignment horizontal="left" vertical="center"/>
    </xf>
    <xf numFmtId="0" fontId="119" fillId="0" borderId="0" xfId="23" applyFont="1" applyFill="1">
      <alignment vertical="center"/>
    </xf>
    <xf numFmtId="0" fontId="119" fillId="0" borderId="0" xfId="23" applyFont="1">
      <alignment vertical="center"/>
    </xf>
    <xf numFmtId="0" fontId="115" fillId="46" borderId="0" xfId="23" applyFont="1" applyFill="1" applyBorder="1" applyAlignment="1">
      <alignment horizontal="left" vertical="center"/>
    </xf>
    <xf numFmtId="176" fontId="18" fillId="37" borderId="20" xfId="0" applyFont="1" applyFill="1" applyBorder="1" applyAlignment="1">
      <alignment horizontal="center"/>
    </xf>
    <xf numFmtId="176" fontId="6" fillId="40" borderId="6" xfId="0" applyFont="1" applyFill="1" applyBorder="1" applyAlignment="1">
      <alignment wrapText="1"/>
    </xf>
    <xf numFmtId="0" fontId="6" fillId="40" borderId="6" xfId="0" applyNumberFormat="1" applyFont="1" applyFill="1" applyBorder="1" applyAlignment="1">
      <alignment wrapText="1"/>
    </xf>
    <xf numFmtId="177" fontId="8" fillId="40" borderId="7" xfId="0" applyNumberFormat="1" applyFont="1" applyFill="1" applyBorder="1" applyAlignment="1">
      <alignment horizontal="center"/>
    </xf>
    <xf numFmtId="176" fontId="6" fillId="47" borderId="20" xfId="0" applyFont="1" applyFill="1" applyBorder="1" applyAlignment="1">
      <alignment horizontal="center"/>
    </xf>
    <xf numFmtId="179" fontId="2" fillId="40" borderId="99" xfId="2" applyNumberFormat="1" applyFont="1" applyFill="1" applyBorder="1" applyAlignment="1">
      <alignment horizontal="center"/>
    </xf>
    <xf numFmtId="176" fontId="2" fillId="40" borderId="6" xfId="0" applyFont="1" applyFill="1" applyBorder="1"/>
    <xf numFmtId="0" fontId="0" fillId="40" borderId="6" xfId="0" applyNumberFormat="1" applyFill="1" applyBorder="1" applyAlignment="1">
      <alignment vertical="distributed"/>
    </xf>
    <xf numFmtId="0" fontId="0" fillId="0" borderId="8" xfId="0" applyNumberFormat="1" applyBorder="1" applyAlignment="1">
      <alignment horizontal="center"/>
    </xf>
    <xf numFmtId="176" fontId="0" fillId="0" borderId="8" xfId="0" applyBorder="1"/>
    <xf numFmtId="0" fontId="0" fillId="8" borderId="8" xfId="0" applyNumberFormat="1" applyFill="1" applyBorder="1" applyAlignment="1">
      <alignment horizontal="center"/>
    </xf>
    <xf numFmtId="176" fontId="6" fillId="10" borderId="16" xfId="2" applyNumberFormat="1" applyFont="1" applyFill="1" applyBorder="1" applyAlignment="1">
      <alignment horizontal="center"/>
    </xf>
    <xf numFmtId="176" fontId="6" fillId="3" borderId="26" xfId="0" applyFont="1" applyFill="1" applyBorder="1"/>
    <xf numFmtId="176" fontId="6" fillId="10" borderId="42" xfId="2" applyNumberFormat="1" applyFont="1" applyFill="1" applyBorder="1" applyAlignment="1">
      <alignment horizontal="center"/>
    </xf>
    <xf numFmtId="182" fontId="6" fillId="11" borderId="41" xfId="0" applyNumberFormat="1" applyFont="1" applyFill="1" applyBorder="1" applyAlignment="1">
      <alignment horizontal="center"/>
    </xf>
    <xf numFmtId="176" fontId="6" fillId="12" borderId="42" xfId="2" applyNumberFormat="1" applyFont="1" applyFill="1" applyBorder="1" applyAlignment="1">
      <alignment horizontal="center"/>
    </xf>
    <xf numFmtId="176" fontId="6" fillId="0" borderId="42" xfId="0" applyFont="1" applyBorder="1" applyAlignment="1">
      <alignment horizontal="center"/>
    </xf>
    <xf numFmtId="184" fontId="6" fillId="11" borderId="42" xfId="0" applyNumberFormat="1" applyFont="1" applyFill="1" applyBorder="1" applyAlignment="1">
      <alignment horizontal="center"/>
    </xf>
    <xf numFmtId="176" fontId="6" fillId="11" borderId="42" xfId="0" applyFont="1" applyFill="1" applyBorder="1" applyAlignment="1">
      <alignment horizontal="center"/>
    </xf>
    <xf numFmtId="176" fontId="6" fillId="12" borderId="43" xfId="2" applyNumberFormat="1" applyFont="1" applyFill="1" applyBorder="1" applyAlignment="1">
      <alignment horizontal="center"/>
    </xf>
    <xf numFmtId="176" fontId="6" fillId="3" borderId="100" xfId="0" applyFont="1" applyFill="1" applyBorder="1"/>
    <xf numFmtId="176" fontId="6" fillId="10" borderId="35" xfId="2" applyNumberFormat="1" applyFont="1" applyFill="1" applyBorder="1" applyAlignment="1">
      <alignment horizontal="center"/>
    </xf>
    <xf numFmtId="182" fontId="6" fillId="11" borderId="101" xfId="0" applyNumberFormat="1" applyFont="1" applyFill="1" applyBorder="1" applyAlignment="1">
      <alignment horizontal="center"/>
    </xf>
    <xf numFmtId="176" fontId="6" fillId="12" borderId="35" xfId="2" applyNumberFormat="1" applyFont="1" applyFill="1" applyBorder="1" applyAlignment="1">
      <alignment horizontal="center"/>
    </xf>
    <xf numFmtId="2" fontId="0" fillId="9" borderId="35" xfId="0" applyNumberFormat="1" applyFill="1" applyBorder="1" applyAlignment="1">
      <alignment horizontal="center"/>
    </xf>
    <xf numFmtId="2" fontId="0" fillId="8" borderId="35" xfId="0" applyNumberFormat="1" applyFill="1" applyBorder="1" applyAlignment="1">
      <alignment horizontal="center"/>
    </xf>
    <xf numFmtId="176" fontId="6" fillId="0" borderId="35" xfId="0" applyFont="1" applyBorder="1" applyAlignment="1">
      <alignment horizontal="center"/>
    </xf>
    <xf numFmtId="184" fontId="6" fillId="11" borderId="35" xfId="0" applyNumberFormat="1" applyFont="1" applyFill="1" applyBorder="1" applyAlignment="1">
      <alignment horizontal="center"/>
    </xf>
    <xf numFmtId="176" fontId="6" fillId="11" borderId="35" xfId="0" applyFont="1" applyFill="1" applyBorder="1" applyAlignment="1">
      <alignment horizontal="center"/>
    </xf>
    <xf numFmtId="176" fontId="6" fillId="12" borderId="36" xfId="2" applyNumberFormat="1" applyFont="1" applyFill="1" applyBorder="1" applyAlignment="1">
      <alignment horizontal="center"/>
    </xf>
    <xf numFmtId="176" fontId="6" fillId="3" borderId="102" xfId="0" applyFont="1" applyFill="1" applyBorder="1"/>
    <xf numFmtId="176" fontId="6" fillId="10" borderId="28" xfId="2" applyNumberFormat="1" applyFont="1" applyFill="1" applyBorder="1" applyAlignment="1">
      <alignment horizontal="center"/>
    </xf>
    <xf numFmtId="2" fontId="0" fillId="9" borderId="103" xfId="0" applyNumberFormat="1" applyFill="1" applyBorder="1" applyAlignment="1">
      <alignment horizontal="center"/>
    </xf>
    <xf numFmtId="2" fontId="0" fillId="0" borderId="103" xfId="0" applyNumberFormat="1" applyBorder="1" applyAlignment="1">
      <alignment horizontal="center"/>
    </xf>
    <xf numFmtId="176" fontId="13" fillId="4" borderId="14" xfId="0" applyFont="1" applyFill="1" applyBorder="1" applyAlignment="1">
      <alignment vertical="center" textRotation="90" wrapText="1"/>
    </xf>
    <xf numFmtId="176" fontId="13" fillId="4" borderId="51" xfId="0" applyFont="1" applyFill="1" applyBorder="1" applyAlignment="1">
      <alignment vertical="center" textRotation="90" wrapText="1"/>
    </xf>
    <xf numFmtId="0" fontId="0" fillId="9" borderId="8" xfId="0" applyNumberFormat="1" applyFill="1" applyBorder="1" applyAlignment="1">
      <alignment horizontal="center"/>
    </xf>
    <xf numFmtId="2" fontId="0" fillId="8" borderId="103" xfId="0" applyNumberFormat="1" applyFill="1" applyBorder="1" applyAlignment="1">
      <alignment horizontal="center"/>
    </xf>
    <xf numFmtId="30" fontId="9" fillId="8" borderId="6" xfId="0" applyNumberFormat="1" applyFont="1" applyFill="1" applyBorder="1" applyAlignment="1">
      <alignment horizontal="center"/>
    </xf>
    <xf numFmtId="176" fontId="9" fillId="35" borderId="6" xfId="0" applyFont="1" applyFill="1" applyBorder="1" applyAlignment="1">
      <alignment horizontal="center" vertical="center"/>
    </xf>
    <xf numFmtId="176" fontId="9" fillId="35" borderId="7" xfId="0" applyFont="1" applyFill="1" applyBorder="1" applyAlignment="1">
      <alignment horizontal="center" vertical="center"/>
    </xf>
    <xf numFmtId="176" fontId="9" fillId="35" borderId="62" xfId="0" applyFont="1" applyFill="1" applyBorder="1" applyAlignment="1">
      <alignment horizontal="center" vertical="center"/>
    </xf>
    <xf numFmtId="176" fontId="9" fillId="35" borderId="8" xfId="0" applyFont="1" applyFill="1" applyBorder="1" applyAlignment="1">
      <alignment horizontal="center" vertical="center"/>
    </xf>
    <xf numFmtId="0" fontId="102" fillId="36" borderId="0" xfId="10" applyFont="1" applyFill="1" applyAlignment="1">
      <alignment horizontal="center" vertical="center"/>
    </xf>
    <xf numFmtId="0" fontId="65" fillId="0" borderId="6" xfId="10" applyBorder="1" applyAlignment="1">
      <alignment horizontal="left"/>
    </xf>
    <xf numFmtId="0" fontId="94" fillId="0" borderId="6" xfId="10" applyFont="1" applyBorder="1" applyAlignment="1">
      <alignment horizontal="left"/>
    </xf>
    <xf numFmtId="176" fontId="0" fillId="0" borderId="0" xfId="0" applyAlignment="1">
      <alignment horizontal="center"/>
    </xf>
    <xf numFmtId="176" fontId="0" fillId="0" borderId="9" xfId="0" applyBorder="1" applyAlignment="1">
      <alignment horizontal="center"/>
    </xf>
    <xf numFmtId="176" fontId="4" fillId="2" borderId="1" xfId="0" applyFont="1" applyFill="1" applyBorder="1" applyAlignment="1">
      <alignment horizontal="center"/>
    </xf>
    <xf numFmtId="176" fontId="4" fillId="2" borderId="2" xfId="0" applyFont="1" applyFill="1" applyBorder="1" applyAlignment="1">
      <alignment horizontal="center"/>
    </xf>
    <xf numFmtId="176" fontId="4" fillId="2" borderId="3" xfId="0" applyFont="1" applyFill="1" applyBorder="1" applyAlignment="1">
      <alignment horizontal="center"/>
    </xf>
    <xf numFmtId="176" fontId="6" fillId="0" borderId="4" xfId="0" applyFont="1" applyBorder="1" applyAlignment="1">
      <alignment horizontal="center"/>
    </xf>
    <xf numFmtId="176" fontId="6" fillId="0" borderId="5" xfId="0" applyFont="1" applyBorder="1" applyAlignment="1">
      <alignment horizontal="center"/>
    </xf>
    <xf numFmtId="176" fontId="8" fillId="8" borderId="7" xfId="0" applyFont="1" applyFill="1" applyBorder="1" applyAlignment="1">
      <alignment horizontal="center" wrapText="1"/>
    </xf>
    <xf numFmtId="176" fontId="8" fillId="8" borderId="8" xfId="0" applyFont="1" applyFill="1" applyBorder="1" applyAlignment="1">
      <alignment horizontal="center"/>
    </xf>
    <xf numFmtId="176" fontId="0" fillId="0" borderId="10" xfId="0" applyBorder="1" applyAlignment="1">
      <alignment horizontal="center"/>
    </xf>
    <xf numFmtId="176" fontId="0" fillId="0" borderId="14" xfId="0" applyBorder="1" applyAlignment="1">
      <alignment horizontal="center"/>
    </xf>
    <xf numFmtId="176" fontId="8" fillId="0" borderId="15" xfId="0" applyFont="1" applyBorder="1" applyAlignment="1">
      <alignment horizontal="center" vertical="center" wrapText="1"/>
    </xf>
    <xf numFmtId="176" fontId="8" fillId="0" borderId="17" xfId="0" applyFont="1" applyBorder="1" applyAlignment="1">
      <alignment horizontal="center" vertical="center" wrapText="1"/>
    </xf>
    <xf numFmtId="176" fontId="8" fillId="0" borderId="16" xfId="0" applyFont="1" applyBorder="1" applyAlignment="1">
      <alignment horizontal="center" vertical="center" wrapText="1"/>
    </xf>
    <xf numFmtId="176" fontId="8" fillId="0" borderId="18" xfId="0" applyFont="1" applyBorder="1" applyAlignment="1">
      <alignment horizontal="center" vertical="center" wrapText="1"/>
    </xf>
    <xf numFmtId="176" fontId="13" fillId="4" borderId="19" xfId="0" applyFont="1" applyFill="1" applyBorder="1" applyAlignment="1">
      <alignment horizontal="center" vertical="center" textRotation="90" wrapText="1"/>
    </xf>
    <xf numFmtId="176" fontId="13" fillId="4" borderId="22" xfId="0" applyFont="1" applyFill="1" applyBorder="1" applyAlignment="1">
      <alignment horizontal="center" vertical="center" textRotation="90" wrapText="1"/>
    </xf>
    <xf numFmtId="176" fontId="13" fillId="4" borderId="26" xfId="0" applyFont="1" applyFill="1" applyBorder="1" applyAlignment="1">
      <alignment horizontal="center" vertical="center" textRotation="90" wrapText="1"/>
    </xf>
    <xf numFmtId="176" fontId="8" fillId="0" borderId="0" xfId="0" applyFont="1" applyAlignment="1">
      <alignment horizontal="right"/>
    </xf>
    <xf numFmtId="176" fontId="8" fillId="0" borderId="22" xfId="0" applyFont="1" applyBorder="1" applyAlignment="1">
      <alignment horizontal="right"/>
    </xf>
    <xf numFmtId="176" fontId="2" fillId="0" borderId="22" xfId="0" applyFont="1" applyBorder="1" applyAlignment="1">
      <alignment horizontal="center"/>
    </xf>
    <xf numFmtId="176" fontId="8" fillId="0" borderId="34" xfId="0" applyFont="1" applyBorder="1" applyAlignment="1">
      <alignment horizontal="center" vertical="center" wrapText="1"/>
    </xf>
    <xf numFmtId="176" fontId="8" fillId="0" borderId="25" xfId="0" applyFont="1" applyBorder="1" applyAlignment="1">
      <alignment horizontal="center" vertical="center" wrapText="1"/>
    </xf>
    <xf numFmtId="176" fontId="8" fillId="0" borderId="27" xfId="0" applyFont="1" applyBorder="1" applyAlignment="1">
      <alignment horizontal="center" vertical="center" wrapText="1"/>
    </xf>
    <xf numFmtId="176" fontId="8" fillId="0" borderId="35" xfId="0" applyFont="1" applyBorder="1" applyAlignment="1">
      <alignment horizontal="center" vertical="center" wrapText="1"/>
    </xf>
    <xf numFmtId="176" fontId="8" fillId="0" borderId="6" xfId="0" applyFont="1" applyBorder="1" applyAlignment="1">
      <alignment horizontal="center" vertical="center" wrapText="1"/>
    </xf>
    <xf numFmtId="176" fontId="8" fillId="0" borderId="28" xfId="0" applyFont="1" applyBorder="1" applyAlignment="1">
      <alignment horizontal="center" vertical="center" wrapText="1"/>
    </xf>
    <xf numFmtId="176" fontId="8" fillId="0" borderId="36" xfId="0" applyFont="1" applyBorder="1" applyAlignment="1">
      <alignment horizontal="center" vertical="center" wrapText="1"/>
    </xf>
    <xf numFmtId="176" fontId="8" fillId="0" borderId="37" xfId="0" applyFont="1" applyBorder="1" applyAlignment="1">
      <alignment horizontal="center" vertical="center" wrapText="1"/>
    </xf>
    <xf numFmtId="176" fontId="8" fillId="0" borderId="29" xfId="0" applyFont="1" applyBorder="1" applyAlignment="1">
      <alignment horizontal="center" vertical="center" wrapText="1"/>
    </xf>
    <xf numFmtId="177" fontId="8" fillId="38" borderId="61" xfId="0" applyNumberFormat="1" applyFont="1" applyFill="1" applyBorder="1" applyAlignment="1">
      <alignment horizontal="center"/>
    </xf>
    <xf numFmtId="177" fontId="8" fillId="38" borderId="96" xfId="0" applyNumberFormat="1" applyFont="1" applyFill="1" applyBorder="1" applyAlignment="1">
      <alignment horizontal="center"/>
    </xf>
    <xf numFmtId="177" fontId="8" fillId="38" borderId="59" xfId="0" applyNumberFormat="1" applyFont="1" applyFill="1" applyBorder="1" applyAlignment="1">
      <alignment horizontal="center"/>
    </xf>
    <xf numFmtId="176" fontId="24" fillId="4" borderId="30" xfId="0" applyFont="1" applyFill="1" applyBorder="1" applyAlignment="1">
      <alignment horizontal="center" textRotation="90" wrapText="1"/>
    </xf>
    <xf numFmtId="176" fontId="24" fillId="4" borderId="14" xfId="0" applyFont="1" applyFill="1" applyBorder="1" applyAlignment="1">
      <alignment horizontal="center" textRotation="90" wrapText="1"/>
    </xf>
    <xf numFmtId="176" fontId="24" fillId="4" borderId="26" xfId="0" applyFont="1" applyFill="1" applyBorder="1" applyAlignment="1">
      <alignment horizontal="center" textRotation="90" wrapText="1"/>
    </xf>
    <xf numFmtId="176" fontId="8" fillId="0" borderId="1" xfId="0" applyFont="1" applyBorder="1" applyAlignment="1">
      <alignment horizontal="center"/>
    </xf>
    <xf numFmtId="176" fontId="8" fillId="0" borderId="2" xfId="0" quotePrefix="1" applyFont="1" applyBorder="1" applyAlignment="1">
      <alignment horizontal="center"/>
    </xf>
    <xf numFmtId="176" fontId="8" fillId="0" borderId="3" xfId="0" quotePrefix="1" applyFont="1" applyBorder="1" applyAlignment="1">
      <alignment horizontal="center"/>
    </xf>
    <xf numFmtId="176" fontId="25" fillId="0" borderId="1" xfId="0" applyFont="1" applyBorder="1" applyAlignment="1">
      <alignment horizontal="center"/>
    </xf>
    <xf numFmtId="176" fontId="25" fillId="0" borderId="2" xfId="0" applyFont="1" applyBorder="1" applyAlignment="1">
      <alignment horizontal="center"/>
    </xf>
    <xf numFmtId="176" fontId="25" fillId="0" borderId="3" xfId="0" applyFont="1" applyBorder="1" applyAlignment="1">
      <alignment horizontal="center"/>
    </xf>
    <xf numFmtId="176" fontId="8" fillId="0" borderId="10" xfId="0" applyFont="1" applyBorder="1" applyAlignment="1">
      <alignment horizontal="center" vertical="center" wrapText="1"/>
    </xf>
    <xf numFmtId="176" fontId="8" fillId="0" borderId="14" xfId="0" applyFont="1" applyBorder="1" applyAlignment="1">
      <alignment horizontal="center" vertical="center" wrapText="1"/>
    </xf>
    <xf numFmtId="176" fontId="26" fillId="0" borderId="22" xfId="0" applyFont="1" applyBorder="1" applyAlignment="1">
      <alignment horizontal="left"/>
    </xf>
    <xf numFmtId="176" fontId="26" fillId="0" borderId="0" xfId="0" applyFont="1" applyAlignment="1">
      <alignment horizontal="left"/>
    </xf>
    <xf numFmtId="0" fontId="0" fillId="8" borderId="90" xfId="0" applyNumberFormat="1" applyFill="1" applyBorder="1" applyAlignment="1">
      <alignment horizontal="center"/>
    </xf>
    <xf numFmtId="0" fontId="0" fillId="8" borderId="5" xfId="0" applyNumberFormat="1" applyFill="1" applyBorder="1" applyAlignment="1">
      <alignment horizontal="center"/>
    </xf>
    <xf numFmtId="0" fontId="0" fillId="8" borderId="41" xfId="0" applyNumberFormat="1" applyFill="1" applyBorder="1" applyAlignment="1">
      <alignment horizontal="center"/>
    </xf>
    <xf numFmtId="176" fontId="31" fillId="8" borderId="16" xfId="0" applyFont="1" applyFill="1" applyBorder="1" applyAlignment="1">
      <alignment horizontal="center"/>
    </xf>
    <xf numFmtId="176" fontId="31" fillId="8" borderId="18" xfId="0" applyFont="1" applyFill="1" applyBorder="1" applyAlignment="1">
      <alignment horizontal="center"/>
    </xf>
    <xf numFmtId="176" fontId="31" fillId="8" borderId="42" xfId="0" applyFont="1" applyFill="1" applyBorder="1" applyAlignment="1">
      <alignment horizontal="center"/>
    </xf>
    <xf numFmtId="176" fontId="13" fillId="4" borderId="10" xfId="0" applyFont="1" applyFill="1" applyBorder="1" applyAlignment="1">
      <alignment horizontal="center" vertical="center" textRotation="90" wrapText="1"/>
    </xf>
    <xf numFmtId="176" fontId="13" fillId="4" borderId="14" xfId="0" applyFont="1" applyFill="1" applyBorder="1" applyAlignment="1">
      <alignment horizontal="center" vertical="center" textRotation="90" wrapText="1"/>
    </xf>
    <xf numFmtId="176" fontId="13" fillId="4" borderId="52" xfId="0" applyFont="1" applyFill="1" applyBorder="1" applyAlignment="1">
      <alignment horizontal="center" vertical="center" textRotation="90" wrapText="1"/>
    </xf>
    <xf numFmtId="176" fontId="9" fillId="0" borderId="60" xfId="0" applyFont="1" applyBorder="1" applyAlignment="1">
      <alignment horizontal="center" vertical="center" textRotation="90" wrapText="1"/>
    </xf>
    <xf numFmtId="176" fontId="9" fillId="0" borderId="4" xfId="0" applyFont="1" applyBorder="1" applyAlignment="1">
      <alignment horizontal="center" vertical="center" textRotation="90" wrapText="1"/>
    </xf>
    <xf numFmtId="176" fontId="9" fillId="0" borderId="43" xfId="0" applyFont="1" applyBorder="1" applyAlignment="1">
      <alignment horizontal="center" vertical="center" textRotation="90" wrapText="1"/>
    </xf>
    <xf numFmtId="176" fontId="9" fillId="0" borderId="27" xfId="0" applyFont="1" applyBorder="1" applyAlignment="1">
      <alignment horizontal="center"/>
    </xf>
    <xf numFmtId="176" fontId="9" fillId="0" borderId="16" xfId="0" applyFont="1" applyBorder="1" applyAlignment="1">
      <alignment horizontal="center"/>
    </xf>
    <xf numFmtId="176" fontId="37" fillId="4" borderId="25" xfId="0" applyFont="1" applyFill="1" applyBorder="1" applyAlignment="1">
      <alignment horizontal="center" vertical="center"/>
    </xf>
    <xf numFmtId="176" fontId="37" fillId="4" borderId="27" xfId="0" applyFont="1" applyFill="1" applyBorder="1" applyAlignment="1">
      <alignment horizontal="center" vertical="center"/>
    </xf>
    <xf numFmtId="176" fontId="38" fillId="0" borderId="37" xfId="0" applyFont="1" applyBorder="1" applyAlignment="1">
      <alignment horizontal="center" vertical="center"/>
    </xf>
    <xf numFmtId="176" fontId="38" fillId="0" borderId="48" xfId="0" applyFont="1" applyBorder="1" applyAlignment="1">
      <alignment horizontal="center" vertical="center"/>
    </xf>
    <xf numFmtId="176" fontId="39" fillId="0" borderId="27" xfId="0" applyFont="1" applyBorder="1" applyAlignment="1">
      <alignment horizontal="left"/>
    </xf>
    <xf numFmtId="176" fontId="39" fillId="0" borderId="29" xfId="0" applyFont="1" applyBorder="1" applyAlignment="1">
      <alignment horizontal="left"/>
    </xf>
    <xf numFmtId="0" fontId="54" fillId="17" borderId="7" xfId="5" applyFont="1" applyFill="1" applyBorder="1" applyAlignment="1">
      <alignment horizontal="center" vertical="center" wrapText="1"/>
    </xf>
    <xf numFmtId="0" fontId="50" fillId="17" borderId="62" xfId="5" applyFont="1" applyFill="1" applyBorder="1" applyAlignment="1">
      <alignment horizontal="center" vertical="center" wrapText="1"/>
    </xf>
    <xf numFmtId="0" fontId="46" fillId="0" borderId="4" xfId="5" applyFont="1" applyBorder="1" applyAlignment="1">
      <alignment horizontal="center" vertical="center"/>
    </xf>
    <xf numFmtId="0" fontId="46" fillId="0" borderId="0" xfId="5" applyFont="1" applyAlignment="1">
      <alignment horizontal="center" vertical="center"/>
    </xf>
    <xf numFmtId="0" fontId="37" fillId="0" borderId="4" xfId="5" applyFont="1" applyBorder="1" applyAlignment="1">
      <alignment horizontal="left" vertical="center"/>
    </xf>
    <xf numFmtId="0" fontId="37" fillId="0" borderId="0" xfId="5" applyFont="1" applyAlignment="1">
      <alignment horizontal="left" vertical="center"/>
    </xf>
    <xf numFmtId="0" fontId="48" fillId="15" borderId="4" xfId="5" applyFont="1" applyFill="1" applyBorder="1" applyAlignment="1">
      <alignment horizontal="left" vertical="center" wrapText="1"/>
    </xf>
    <xf numFmtId="0" fontId="48" fillId="15" borderId="0" xfId="5" applyFont="1" applyFill="1" applyAlignment="1">
      <alignment horizontal="left" vertical="center" wrapText="1"/>
    </xf>
    <xf numFmtId="0" fontId="48" fillId="15" borderId="23" xfId="5" applyFont="1" applyFill="1" applyBorder="1" applyAlignment="1">
      <alignment horizontal="left" vertical="center" wrapText="1"/>
    </xf>
    <xf numFmtId="0" fontId="52" fillId="15" borderId="31" xfId="5" applyFont="1" applyFill="1" applyBorder="1" applyAlignment="1">
      <alignment horizontal="left" vertical="center" wrapText="1"/>
    </xf>
    <xf numFmtId="0" fontId="48" fillId="15" borderId="31" xfId="5" applyFont="1" applyFill="1" applyBorder="1" applyAlignment="1">
      <alignment horizontal="center" vertical="center" wrapText="1"/>
    </xf>
    <xf numFmtId="0" fontId="48" fillId="15" borderId="7" xfId="5" applyFont="1" applyFill="1" applyBorder="1" applyAlignment="1">
      <alignment horizontal="left" vertical="center" wrapText="1"/>
    </xf>
    <xf numFmtId="0" fontId="48" fillId="15" borderId="62" xfId="5" applyFont="1" applyFill="1" applyBorder="1" applyAlignment="1">
      <alignment horizontal="left" vertical="center" wrapText="1"/>
    </xf>
    <xf numFmtId="0" fontId="48" fillId="15" borderId="8" xfId="5" applyFont="1" applyFill="1" applyBorder="1" applyAlignment="1">
      <alignment horizontal="left" vertical="center" wrapText="1"/>
    </xf>
    <xf numFmtId="0" fontId="55" fillId="18" borderId="6" xfId="5" applyFont="1" applyFill="1" applyBorder="1" applyAlignment="1">
      <alignment horizontal="center" vertical="center" wrapText="1"/>
    </xf>
    <xf numFmtId="0" fontId="55" fillId="18" borderId="6" xfId="4" applyFont="1" applyFill="1" applyBorder="1" applyAlignment="1">
      <alignment horizontal="center" vertical="center" wrapText="1"/>
    </xf>
    <xf numFmtId="0" fontId="55" fillId="18" borderId="6" xfId="5" applyFont="1" applyFill="1" applyBorder="1" applyAlignment="1">
      <alignment horizontal="center" vertical="center"/>
    </xf>
    <xf numFmtId="0" fontId="55" fillId="18" borderId="7" xfId="5" applyFont="1" applyFill="1" applyBorder="1" applyAlignment="1">
      <alignment horizontal="center" vertical="center"/>
    </xf>
    <xf numFmtId="0" fontId="55" fillId="18" borderId="62" xfId="5" applyFont="1" applyFill="1" applyBorder="1" applyAlignment="1">
      <alignment horizontal="center" vertical="center"/>
    </xf>
    <xf numFmtId="0" fontId="55" fillId="18" borderId="8" xfId="5" applyFont="1" applyFill="1" applyBorder="1" applyAlignment="1">
      <alignment horizontal="center" vertical="center"/>
    </xf>
    <xf numFmtId="0" fontId="67" fillId="9" borderId="0" xfId="10" applyFont="1" applyFill="1" applyAlignment="1">
      <alignment horizontal="center" vertical="center"/>
    </xf>
    <xf numFmtId="0" fontId="67" fillId="9" borderId="70" xfId="10" applyFont="1" applyFill="1" applyBorder="1" applyAlignment="1">
      <alignment horizontal="center" vertical="center"/>
    </xf>
    <xf numFmtId="0" fontId="58" fillId="0" borderId="69" xfId="10" applyFont="1" applyBorder="1" applyAlignment="1" applyProtection="1">
      <alignment horizontal="center" vertical="center"/>
      <protection locked="0"/>
    </xf>
    <xf numFmtId="0" fontId="58" fillId="0" borderId="73" xfId="10" applyFont="1" applyBorder="1" applyAlignment="1" applyProtection="1">
      <alignment horizontal="center" vertical="center"/>
      <protection locked="0"/>
    </xf>
    <xf numFmtId="0" fontId="58" fillId="0" borderId="76" xfId="10" applyFont="1" applyBorder="1" applyAlignment="1" applyProtection="1">
      <alignment horizontal="center" vertical="center"/>
      <protection locked="0"/>
    </xf>
    <xf numFmtId="0" fontId="58" fillId="0" borderId="0" xfId="10" applyFont="1" applyAlignment="1" applyProtection="1">
      <alignment horizontal="center" vertical="center"/>
      <protection locked="0"/>
    </xf>
    <xf numFmtId="0" fontId="58" fillId="0" borderId="78" xfId="10" applyFont="1" applyBorder="1" applyAlignment="1" applyProtection="1">
      <alignment horizontal="center" vertical="center"/>
      <protection locked="0"/>
    </xf>
    <xf numFmtId="0" fontId="58" fillId="0" borderId="74" xfId="10" applyFont="1" applyBorder="1" applyAlignment="1" applyProtection="1">
      <alignment horizontal="center" vertical="center"/>
      <protection locked="0"/>
    </xf>
    <xf numFmtId="0" fontId="58" fillId="0" borderId="65" xfId="10" applyFont="1" applyBorder="1" applyAlignment="1" applyProtection="1">
      <alignment horizontal="center" vertical="center"/>
      <protection locked="0"/>
    </xf>
    <xf numFmtId="0" fontId="58" fillId="0" borderId="67" xfId="10" applyFont="1" applyBorder="1" applyAlignment="1" applyProtection="1">
      <alignment horizontal="center" vertical="center"/>
      <protection locked="0"/>
    </xf>
    <xf numFmtId="209" fontId="9" fillId="15" borderId="22" xfId="16" applyFont="1" applyFill="1" applyBorder="1" applyAlignment="1">
      <alignment horizontal="center"/>
    </xf>
    <xf numFmtId="209" fontId="9" fillId="15" borderId="0" xfId="16" applyFont="1" applyFill="1" applyAlignment="1">
      <alignment horizontal="center"/>
    </xf>
    <xf numFmtId="209" fontId="9" fillId="15" borderId="23" xfId="16" applyFont="1" applyFill="1" applyBorder="1" applyAlignment="1">
      <alignment horizontal="center"/>
    </xf>
    <xf numFmtId="209" fontId="9" fillId="15" borderId="57" xfId="16" applyFont="1" applyFill="1" applyBorder="1" applyAlignment="1">
      <alignment horizontal="center"/>
    </xf>
    <xf numFmtId="209" fontId="9" fillId="15" borderId="9" xfId="16" applyFont="1" applyFill="1" applyBorder="1" applyAlignment="1">
      <alignment horizontal="center"/>
    </xf>
    <xf numFmtId="209" fontId="9" fillId="15" borderId="50" xfId="16" applyFont="1" applyFill="1" applyBorder="1" applyAlignment="1">
      <alignment horizontal="center"/>
    </xf>
    <xf numFmtId="209" fontId="9" fillId="0" borderId="10" xfId="16" applyFont="1" applyBorder="1" applyAlignment="1">
      <alignment horizontal="center" vertical="center"/>
    </xf>
    <xf numFmtId="209" fontId="9" fillId="0" borderId="52" xfId="16" applyFont="1" applyBorder="1" applyAlignment="1">
      <alignment horizontal="center" vertical="center"/>
    </xf>
    <xf numFmtId="209" fontId="9" fillId="4" borderId="8" xfId="16" applyFont="1" applyFill="1" applyBorder="1" applyAlignment="1">
      <alignment horizontal="left"/>
    </xf>
    <xf numFmtId="209" fontId="9" fillId="4" borderId="6" xfId="16" applyFont="1" applyFill="1" applyBorder="1" applyAlignment="1">
      <alignment horizontal="left"/>
    </xf>
    <xf numFmtId="209" fontId="0" fillId="28" borderId="22" xfId="16" applyFont="1" applyFill="1" applyBorder="1" applyAlignment="1">
      <alignment horizontal="center"/>
    </xf>
    <xf numFmtId="209" fontId="2" fillId="28" borderId="22" xfId="16" applyFill="1" applyBorder="1" applyAlignment="1">
      <alignment horizontal="center"/>
    </xf>
    <xf numFmtId="194" fontId="73" fillId="9" borderId="6" xfId="13" applyFont="1" applyFill="1" applyBorder="1" applyAlignment="1">
      <alignment horizontal="center" vertical="center" wrapText="1"/>
    </xf>
    <xf numFmtId="194" fontId="75" fillId="0" borderId="6" xfId="13" applyFont="1" applyBorder="1" applyAlignment="1">
      <alignment horizontal="right" vertical="center" wrapText="1"/>
    </xf>
    <xf numFmtId="194" fontId="76" fillId="0" borderId="6" xfId="13" applyFont="1" applyBorder="1" applyAlignment="1">
      <alignment horizontal="left" vertical="center" wrapText="1"/>
    </xf>
    <xf numFmtId="194" fontId="76" fillId="0" borderId="6" xfId="13" applyFont="1" applyBorder="1" applyAlignment="1">
      <alignment horizontal="right" vertical="center" wrapText="1"/>
    </xf>
    <xf numFmtId="206" fontId="76" fillId="31" borderId="6" xfId="13" applyNumberFormat="1" applyFont="1" applyFill="1" applyBorder="1" applyAlignment="1">
      <alignment horizontal="center" vertical="center" wrapText="1"/>
    </xf>
    <xf numFmtId="194" fontId="75" fillId="0" borderId="7" xfId="13" applyFont="1" applyBorder="1" applyAlignment="1">
      <alignment horizontal="right" vertical="center" wrapText="1"/>
    </xf>
    <xf numFmtId="194" fontId="75" fillId="0" borderId="62" xfId="13" applyFont="1" applyBorder="1" applyAlignment="1">
      <alignment horizontal="right" vertical="center" wrapText="1"/>
    </xf>
    <xf numFmtId="194" fontId="77" fillId="9" borderId="60" xfId="13" applyFont="1" applyFill="1" applyBorder="1" applyAlignment="1">
      <alignment horizontal="center" vertical="center" wrapText="1"/>
    </xf>
    <xf numFmtId="194" fontId="77" fillId="9" borderId="89" xfId="13" applyFont="1" applyFill="1" applyBorder="1" applyAlignment="1">
      <alignment horizontal="center" vertical="center" wrapText="1"/>
    </xf>
    <xf numFmtId="194" fontId="77" fillId="9" borderId="90" xfId="13" applyFont="1" applyFill="1" applyBorder="1" applyAlignment="1">
      <alignment horizontal="center" vertical="center" wrapText="1"/>
    </xf>
    <xf numFmtId="194" fontId="77" fillId="9" borderId="4" xfId="13" applyFont="1" applyFill="1" applyBorder="1" applyAlignment="1">
      <alignment horizontal="center" vertical="center" wrapText="1"/>
    </xf>
    <xf numFmtId="194" fontId="77" fillId="9" borderId="0" xfId="13" applyFont="1" applyFill="1" applyAlignment="1">
      <alignment horizontal="center" vertical="center" wrapText="1"/>
    </xf>
    <xf numFmtId="194" fontId="77" fillId="9" borderId="5" xfId="13" applyFont="1" applyFill="1" applyBorder="1" applyAlignment="1">
      <alignment horizontal="center" vertical="center" wrapText="1"/>
    </xf>
    <xf numFmtId="194" fontId="76" fillId="0" borderId="6" xfId="13" applyFont="1" applyBorder="1" applyAlignment="1">
      <alignment horizontal="right" vertical="center"/>
    </xf>
    <xf numFmtId="205" fontId="76" fillId="0" borderId="6" xfId="13" applyNumberFormat="1" applyFont="1" applyBorder="1" applyAlignment="1">
      <alignment horizontal="center" vertical="center" wrapText="1"/>
    </xf>
    <xf numFmtId="9" fontId="76" fillId="0" borderId="6" xfId="14" applyFont="1" applyFill="1" applyBorder="1" applyAlignment="1">
      <alignment horizontal="center" vertical="center" wrapText="1"/>
    </xf>
    <xf numFmtId="208" fontId="76" fillId="31" borderId="6" xfId="13" applyNumberFormat="1" applyFont="1" applyFill="1" applyBorder="1" applyAlignment="1">
      <alignment horizontal="center" vertical="center" wrapText="1"/>
    </xf>
    <xf numFmtId="2" fontId="76" fillId="0" borderId="6" xfId="13" applyNumberFormat="1" applyFont="1" applyBorder="1" applyAlignment="1">
      <alignment horizontal="center" vertical="center" wrapText="1"/>
    </xf>
    <xf numFmtId="9" fontId="76" fillId="0" borderId="6" xfId="14" applyFont="1" applyFill="1" applyBorder="1" applyAlignment="1">
      <alignment horizontal="right" vertical="center" wrapText="1"/>
    </xf>
    <xf numFmtId="208" fontId="76" fillId="31" borderId="7" xfId="13" applyNumberFormat="1" applyFont="1" applyFill="1" applyBorder="1" applyAlignment="1">
      <alignment horizontal="center" vertical="center" wrapText="1"/>
    </xf>
    <xf numFmtId="208" fontId="76" fillId="31" borderId="8" xfId="13" applyNumberFormat="1" applyFont="1" applyFill="1" applyBorder="1" applyAlignment="1">
      <alignment horizontal="center" vertical="center" wrapText="1"/>
    </xf>
    <xf numFmtId="14" fontId="76" fillId="0" borderId="6" xfId="13" applyNumberFormat="1" applyFont="1" applyBorder="1" applyAlignment="1">
      <alignment horizontal="left" vertical="center" wrapText="1"/>
    </xf>
    <xf numFmtId="205" fontId="76" fillId="0" borderId="6" xfId="13" applyNumberFormat="1" applyFont="1" applyBorder="1" applyAlignment="1">
      <alignment horizontal="right" vertical="center" wrapText="1"/>
    </xf>
    <xf numFmtId="1" fontId="76" fillId="0" borderId="6" xfId="13" applyNumberFormat="1" applyFont="1" applyBorder="1" applyAlignment="1">
      <alignment horizontal="center" vertical="center" wrapText="1"/>
    </xf>
    <xf numFmtId="2" fontId="76" fillId="9" borderId="7" xfId="13" applyNumberFormat="1" applyFont="1" applyFill="1" applyBorder="1" applyAlignment="1">
      <alignment horizontal="right" vertical="center" wrapText="1"/>
    </xf>
    <xf numFmtId="2" fontId="76" fillId="9" borderId="62" xfId="13" applyNumberFormat="1" applyFont="1" applyFill="1" applyBorder="1" applyAlignment="1">
      <alignment horizontal="right" vertical="center" wrapText="1"/>
    </xf>
    <xf numFmtId="2" fontId="76" fillId="9" borderId="8" xfId="13" applyNumberFormat="1" applyFont="1" applyFill="1" applyBorder="1" applyAlignment="1">
      <alignment horizontal="right" vertical="center" wrapText="1"/>
    </xf>
    <xf numFmtId="196" fontId="76" fillId="9" borderId="6" xfId="13" applyNumberFormat="1" applyFont="1" applyFill="1" applyBorder="1" applyAlignment="1">
      <alignment horizontal="left" vertical="center" wrapText="1"/>
    </xf>
    <xf numFmtId="194" fontId="76" fillId="9" borderId="6" xfId="13" applyFont="1" applyFill="1" applyBorder="1" applyAlignment="1">
      <alignment horizontal="left" vertical="center" wrapText="1"/>
    </xf>
    <xf numFmtId="194" fontId="82" fillId="9" borderId="6" xfId="13" applyFont="1" applyFill="1" applyBorder="1" applyAlignment="1">
      <alignment horizontal="center" vertical="center" wrapText="1"/>
    </xf>
    <xf numFmtId="194" fontId="79" fillId="9" borderId="7" xfId="13" applyFont="1" applyFill="1" applyBorder="1" applyAlignment="1">
      <alignment horizontal="center" vertical="center" wrapText="1"/>
    </xf>
    <xf numFmtId="194" fontId="79" fillId="9" borderId="62" xfId="13" applyFont="1" applyFill="1" applyBorder="1" applyAlignment="1">
      <alignment horizontal="center" vertical="center" wrapText="1"/>
    </xf>
    <xf numFmtId="194" fontId="79" fillId="9" borderId="8" xfId="13" applyFont="1" applyFill="1" applyBorder="1" applyAlignment="1">
      <alignment horizontal="center" vertical="center" wrapText="1"/>
    </xf>
    <xf numFmtId="2" fontId="76" fillId="19" borderId="6" xfId="15" applyNumberFormat="1" applyFont="1" applyFill="1" applyBorder="1" applyAlignment="1">
      <alignment horizontal="center" vertical="center" wrapText="1"/>
    </xf>
    <xf numFmtId="194" fontId="76" fillId="9" borderId="60" xfId="6" applyNumberFormat="1" applyFont="1" applyFill="1" applyBorder="1" applyAlignment="1">
      <alignment horizontal="center" vertical="center" wrapText="1"/>
    </xf>
    <xf numFmtId="194" fontId="76" fillId="9" borderId="90" xfId="6" applyNumberFormat="1" applyFont="1" applyFill="1" applyBorder="1" applyAlignment="1">
      <alignment horizontal="center" vertical="center" wrapText="1"/>
    </xf>
    <xf numFmtId="194" fontId="76" fillId="9" borderId="43" xfId="6" applyNumberFormat="1" applyFont="1" applyFill="1" applyBorder="1" applyAlignment="1">
      <alignment horizontal="center" vertical="center" wrapText="1"/>
    </xf>
    <xf numFmtId="194" fontId="76" fillId="9" borderId="41" xfId="6" applyNumberFormat="1" applyFont="1" applyFill="1" applyBorder="1" applyAlignment="1">
      <alignment horizontal="center" vertical="center" wrapText="1"/>
    </xf>
    <xf numFmtId="26" fontId="86" fillId="0" borderId="16" xfId="6" applyNumberFormat="1" applyFont="1" applyFill="1" applyBorder="1" applyAlignment="1">
      <alignment horizontal="center" vertical="center" wrapText="1"/>
    </xf>
    <xf numFmtId="26" fontId="86" fillId="0" borderId="42" xfId="6" applyNumberFormat="1" applyFont="1" applyFill="1" applyBorder="1" applyAlignment="1">
      <alignment horizontal="center" vertical="center" wrapText="1"/>
    </xf>
    <xf numFmtId="194" fontId="79" fillId="9" borderId="6" xfId="13" applyFont="1" applyFill="1" applyBorder="1" applyAlignment="1">
      <alignment horizontal="center" vertical="center" wrapText="1"/>
    </xf>
    <xf numFmtId="194" fontId="79" fillId="9" borderId="6" xfId="15" applyFont="1" applyFill="1" applyBorder="1" applyAlignment="1">
      <alignment horizontal="left" vertical="center" wrapText="1"/>
    </xf>
    <xf numFmtId="194" fontId="81" fillId="19" borderId="7" xfId="13" applyFont="1" applyFill="1" applyBorder="1" applyAlignment="1">
      <alignment horizontal="center" vertical="center" wrapText="1"/>
    </xf>
    <xf numFmtId="194" fontId="81" fillId="19" borderId="62" xfId="13" applyFont="1" applyFill="1" applyBorder="1" applyAlignment="1">
      <alignment horizontal="center" vertical="center" wrapText="1"/>
    </xf>
    <xf numFmtId="194" fontId="81" fillId="19" borderId="8" xfId="13" applyFont="1" applyFill="1" applyBorder="1" applyAlignment="1">
      <alignment horizontal="center" vertical="center" wrapText="1"/>
    </xf>
    <xf numFmtId="2" fontId="76" fillId="19" borderId="18" xfId="15" applyNumberFormat="1" applyFont="1" applyFill="1" applyBorder="1" applyAlignment="1">
      <alignment horizontal="center" vertical="center" wrapText="1"/>
    </xf>
    <xf numFmtId="2" fontId="76" fillId="19" borderId="42" xfId="15" applyNumberFormat="1" applyFont="1" applyFill="1" applyBorder="1" applyAlignment="1">
      <alignment horizontal="center" vertical="center" wrapText="1"/>
    </xf>
    <xf numFmtId="0" fontId="134" fillId="0" borderId="0" xfId="23" applyFont="1" applyFill="1">
      <alignment vertical="center"/>
    </xf>
    <xf numFmtId="14" fontId="0" fillId="0" borderId="6" xfId="0" applyNumberFormat="1" applyBorder="1" applyAlignment="1">
      <alignment vertical="center"/>
    </xf>
  </cellXfs>
  <cellStyles count="24">
    <cellStyle name="Comma_template of RFQ" xfId="6" xr:uid="{5D986456-101A-480F-AE0D-F5F111181E0F}"/>
    <cellStyle name="Comma_template of RFQ 2" xfId="8" xr:uid="{ACD65585-ED00-4479-ABA2-0C39E5AD5726}"/>
    <cellStyle name="Normal_template of RFQ" xfId="13" xr:uid="{2FA60269-8FB5-4867-8900-D672C1689A3A}"/>
    <cellStyle name="Normal_template of RFQ 2" xfId="5" xr:uid="{C0BDB5C6-5A71-41C0-AD41-B9B9A077EC36}"/>
    <cellStyle name="Style 1 2 2" xfId="15" xr:uid="{F5B0492D-209A-46AC-AEC7-F72D54FEE32F}"/>
    <cellStyle name="Style 1 3" xfId="4" xr:uid="{56B019D3-E08F-4D24-A2E5-44E7E59AF726}"/>
    <cellStyle name="百分比" xfId="3" builtinId="5"/>
    <cellStyle name="百分比 2" xfId="14" xr:uid="{E1CBCED7-15CF-48A8-9158-E0CF75D5D20D}"/>
    <cellStyle name="百分比 3" xfId="12" xr:uid="{6FEFE4C6-1019-4F32-BB50-0AD88711C69A}"/>
    <cellStyle name="百分比 6" xfId="21" xr:uid="{D3AC5ECB-BCCA-455F-8703-0A34F965DC0C}"/>
    <cellStyle name="常规" xfId="0" builtinId="0"/>
    <cellStyle name="常规 2" xfId="23" xr:uid="{2C95A787-829E-4C3A-8028-EAFC97C91C3F}"/>
    <cellStyle name="常规 2 2" xfId="7" xr:uid="{C8362DB7-BCC4-4E73-9F38-A3064F7681A6}"/>
    <cellStyle name="常规 2 3" xfId="20" xr:uid="{607D4680-C635-4607-8CAE-98F13CE352ED}"/>
    <cellStyle name="常规 3" xfId="10" xr:uid="{FD06AB3E-30AC-44CB-A2CC-E0AA0551342B}"/>
    <cellStyle name="常规 4 2" xfId="9" xr:uid="{10DEC015-B17A-427A-BE9C-25265B1EF0D1}"/>
    <cellStyle name="常规 5" xfId="17" xr:uid="{4A4722A5-0183-4F1F-A040-33F73C87273B}"/>
    <cellStyle name="常规 6" xfId="16" xr:uid="{DAEAB8D3-FBB7-4811-98DD-74567617CCBC}"/>
    <cellStyle name="常规 6 2" xfId="18" xr:uid="{2F14A12C-97AA-42E7-9D06-584E5D27D6DE}"/>
    <cellStyle name="常规 7" xfId="19" xr:uid="{8744E9CA-7A44-4B64-B9B7-FE2A6C631995}"/>
    <cellStyle name="货币" xfId="2" builtinId="4"/>
    <cellStyle name="货币 2" xfId="11" xr:uid="{717EFADF-3F31-49A5-AAD0-621B6AC75A1B}"/>
    <cellStyle name="千位分隔" xfId="1" builtinId="3"/>
    <cellStyle name="千位分隔 2" xfId="22" xr:uid="{0FA55511-3203-4749-91CF-BC158C4133FC}"/>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border>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auto="1"/>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289393</xdr:colOff>
      <xdr:row>11</xdr:row>
      <xdr:rowOff>296929</xdr:rowOff>
    </xdr:from>
    <xdr:to>
      <xdr:col>13</xdr:col>
      <xdr:colOff>1620659</xdr:colOff>
      <xdr:row>13</xdr:row>
      <xdr:rowOff>382397</xdr:rowOff>
    </xdr:to>
    <xdr:pic>
      <xdr:nvPicPr>
        <xdr:cNvPr id="2" name="图片 1">
          <a:extLst>
            <a:ext uri="{FF2B5EF4-FFF2-40B4-BE49-F238E27FC236}">
              <a16:creationId xmlns:a16="http://schemas.microsoft.com/office/drawing/2014/main" id="{EEBB569A-EDB8-4424-91A7-BA1F9B7F1A52}"/>
            </a:ext>
          </a:extLst>
        </xdr:cNvPr>
        <xdr:cNvPicPr>
          <a:picLocks noChangeAspect="1"/>
        </xdr:cNvPicPr>
      </xdr:nvPicPr>
      <xdr:blipFill>
        <a:blip xmlns:r="http://schemas.openxmlformats.org/officeDocument/2006/relationships" r:embed="rId1"/>
        <a:stretch>
          <a:fillRect/>
        </a:stretch>
      </xdr:blipFill>
      <xdr:spPr>
        <a:xfrm>
          <a:off x="19806824" y="2933943"/>
          <a:ext cx="4153488" cy="13466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2221</xdr:colOff>
      <xdr:row>29</xdr:row>
      <xdr:rowOff>23519</xdr:rowOff>
    </xdr:from>
    <xdr:to>
      <xdr:col>1</xdr:col>
      <xdr:colOff>657972</xdr:colOff>
      <xdr:row>30</xdr:row>
      <xdr:rowOff>714</xdr:rowOff>
    </xdr:to>
    <xdr:sp macro="" textlink="">
      <xdr:nvSpPr>
        <xdr:cNvPr id="2" name="文本框 1" descr="$[#最终审核.date]">
          <a:extLst>
            <a:ext uri="{FF2B5EF4-FFF2-40B4-BE49-F238E27FC236}">
              <a16:creationId xmlns:a16="http://schemas.microsoft.com/office/drawing/2014/main" id="{67AFCA23-9B4F-4E39-BAE7-201DD7338027}"/>
            </a:ext>
          </a:extLst>
        </xdr:cNvPr>
        <xdr:cNvSpPr txBox="1"/>
      </xdr:nvSpPr>
      <xdr:spPr>
        <a:xfrm>
          <a:off x="662621" y="5687719"/>
          <a:ext cx="655751" cy="174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zh-CN"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8571</xdr:colOff>
      <xdr:row>30</xdr:row>
      <xdr:rowOff>23519</xdr:rowOff>
    </xdr:from>
    <xdr:to>
      <xdr:col>1</xdr:col>
      <xdr:colOff>1578705</xdr:colOff>
      <xdr:row>31</xdr:row>
      <xdr:rowOff>714</xdr:rowOff>
    </xdr:to>
    <xdr:sp macro="" textlink="">
      <xdr:nvSpPr>
        <xdr:cNvPr id="2" name="文本框 1" descr="$[#最终审核.date]">
          <a:extLst>
            <a:ext uri="{FF2B5EF4-FFF2-40B4-BE49-F238E27FC236}">
              <a16:creationId xmlns:a16="http://schemas.microsoft.com/office/drawing/2014/main" id="{875BE15C-4211-4066-BEFE-EAC6AA2C15A2}"/>
            </a:ext>
          </a:extLst>
        </xdr:cNvPr>
        <xdr:cNvSpPr txBox="1"/>
      </xdr:nvSpPr>
      <xdr:spPr>
        <a:xfrm>
          <a:off x="872171" y="7186319"/>
          <a:ext cx="1570134" cy="174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zh-CN" altLang="en-US"/>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74476</xdr:colOff>
      <xdr:row>1</xdr:row>
      <xdr:rowOff>71723</xdr:rowOff>
    </xdr:from>
    <xdr:to>
      <xdr:col>2</xdr:col>
      <xdr:colOff>522817</xdr:colOff>
      <xdr:row>8</xdr:row>
      <xdr:rowOff>56114</xdr:rowOff>
    </xdr:to>
    <xdr:pic>
      <xdr:nvPicPr>
        <xdr:cNvPr id="2" name="Picture 6">
          <a:extLst>
            <a:ext uri="{FF2B5EF4-FFF2-40B4-BE49-F238E27FC236}">
              <a16:creationId xmlns:a16="http://schemas.microsoft.com/office/drawing/2014/main" id="{F191074D-B31F-46FB-BC3F-28717FE9B102}"/>
            </a:ext>
          </a:extLst>
        </xdr:cNvPr>
        <xdr:cNvPicPr>
          <a:picLocks noChangeAspect="1"/>
        </xdr:cNvPicPr>
      </xdr:nvPicPr>
      <xdr:blipFill>
        <a:blip xmlns:r="http://schemas.openxmlformats.org/officeDocument/2006/relationships" r:embed="rId1"/>
        <a:stretch>
          <a:fillRect/>
        </a:stretch>
      </xdr:blipFill>
      <xdr:spPr>
        <a:xfrm>
          <a:off x="207826" y="230473"/>
          <a:ext cx="1064291" cy="1463941"/>
        </a:xfrm>
        <a:prstGeom prst="rect">
          <a:avLst/>
        </a:prstGeom>
      </xdr:spPr>
    </xdr:pic>
    <xdr:clientData/>
  </xdr:twoCellAnchor>
  <xdr:twoCellAnchor>
    <xdr:from>
      <xdr:col>24</xdr:col>
      <xdr:colOff>102972</xdr:colOff>
      <xdr:row>2</xdr:row>
      <xdr:rowOff>17162</xdr:rowOff>
    </xdr:from>
    <xdr:to>
      <xdr:col>37</xdr:col>
      <xdr:colOff>806620</xdr:colOff>
      <xdr:row>219</xdr:row>
      <xdr:rowOff>129477</xdr:rowOff>
    </xdr:to>
    <xdr:sp macro="" textlink="">
      <xdr:nvSpPr>
        <xdr:cNvPr id="3" name="AutoShape 125">
          <a:extLst>
            <a:ext uri="{FF2B5EF4-FFF2-40B4-BE49-F238E27FC236}">
              <a16:creationId xmlns:a16="http://schemas.microsoft.com/office/drawing/2014/main" id="{2B277161-50F8-4C3C-8BEF-34203ECF5037}"/>
            </a:ext>
          </a:extLst>
        </xdr:cNvPr>
        <xdr:cNvSpPr>
          <a:spLocks noChangeArrowheads="1"/>
        </xdr:cNvSpPr>
      </xdr:nvSpPr>
      <xdr:spPr bwMode="auto">
        <a:xfrm>
          <a:off x="41631972" y="252112"/>
          <a:ext cx="10533448" cy="45876765"/>
        </a:xfrm>
        <a:prstGeom prst="roundRect">
          <a:avLst>
            <a:gd name="adj" fmla="val 4019"/>
          </a:avLst>
        </a:prstGeom>
        <a:noFill/>
        <a:ln w="3175">
          <a:solidFill>
            <a:srgbClr val="000000"/>
          </a:solidFill>
          <a:round/>
          <a:headEnd/>
          <a:tailEnd/>
        </a:ln>
      </xdr:spPr>
    </xdr:sp>
    <xdr:clientData/>
  </xdr:twoCellAnchor>
  <xdr:twoCellAnchor>
    <xdr:from>
      <xdr:col>24</xdr:col>
      <xdr:colOff>158752</xdr:colOff>
      <xdr:row>3</xdr:row>
      <xdr:rowOff>86176</xdr:rowOff>
    </xdr:from>
    <xdr:to>
      <xdr:col>37</xdr:col>
      <xdr:colOff>431800</xdr:colOff>
      <xdr:row>5</xdr:row>
      <xdr:rowOff>101599</xdr:rowOff>
    </xdr:to>
    <xdr:sp macro="" textlink="">
      <xdr:nvSpPr>
        <xdr:cNvPr id="4" name="AutoShape 125">
          <a:extLst>
            <a:ext uri="{FF2B5EF4-FFF2-40B4-BE49-F238E27FC236}">
              <a16:creationId xmlns:a16="http://schemas.microsoft.com/office/drawing/2014/main" id="{7B5EFA13-3D0C-4574-8134-24DC68A4D670}"/>
            </a:ext>
          </a:extLst>
        </xdr:cNvPr>
        <xdr:cNvSpPr>
          <a:spLocks noChangeArrowheads="1"/>
        </xdr:cNvSpPr>
      </xdr:nvSpPr>
      <xdr:spPr bwMode="auto">
        <a:xfrm>
          <a:off x="41687752" y="676726"/>
          <a:ext cx="10102848" cy="434523"/>
        </a:xfrm>
        <a:prstGeom prst="roundRect">
          <a:avLst>
            <a:gd name="adj" fmla="val 28919"/>
          </a:avLst>
        </a:prstGeom>
        <a:solidFill>
          <a:schemeClr val="bg1">
            <a:lumMod val="65000"/>
          </a:schemeClr>
        </a:solidFill>
        <a:ln w="3175">
          <a:solidFill>
            <a:srgbClr val="000000"/>
          </a:solidFill>
          <a:round/>
          <a:headEnd/>
          <a:tailEnd/>
        </a:ln>
      </xdr:spPr>
      <xdr:txBody>
        <a:bodyPr/>
        <a:lstStyle/>
        <a:p>
          <a:pPr algn="ctr"/>
          <a:r>
            <a:rPr lang="en-US" sz="1600">
              <a:latin typeface="Arial" panose="020B0604020202020204" pitchFamily="34" charset="0"/>
              <a:cs typeface="Arial" panose="020B0604020202020204" pitchFamily="34" charset="0"/>
            </a:rPr>
            <a:t>Layout</a:t>
          </a:r>
        </a:p>
      </xdr:txBody>
    </xdr:sp>
    <xdr:clientData/>
  </xdr:twoCellAnchor>
  <xdr:twoCellAnchor>
    <xdr:from>
      <xdr:col>24</xdr:col>
      <xdr:colOff>623457</xdr:colOff>
      <xdr:row>89</xdr:row>
      <xdr:rowOff>3591</xdr:rowOff>
    </xdr:from>
    <xdr:to>
      <xdr:col>25</xdr:col>
      <xdr:colOff>570926</xdr:colOff>
      <xdr:row>90</xdr:row>
      <xdr:rowOff>177517</xdr:rowOff>
    </xdr:to>
    <xdr:sp macro="" textlink="">
      <xdr:nvSpPr>
        <xdr:cNvPr id="5" name="矩形 264">
          <a:extLst>
            <a:ext uri="{FF2B5EF4-FFF2-40B4-BE49-F238E27FC236}">
              <a16:creationId xmlns:a16="http://schemas.microsoft.com/office/drawing/2014/main" id="{5FA22D4D-DE92-4E72-9668-056A302E47B9}"/>
            </a:ext>
          </a:extLst>
        </xdr:cNvPr>
        <xdr:cNvSpPr/>
      </xdr:nvSpPr>
      <xdr:spPr>
        <a:xfrm>
          <a:off x="42152457" y="19117091"/>
          <a:ext cx="823769" cy="383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 </a:t>
          </a:r>
          <a:endParaRPr lang="zh-CN" altLang="en-US" sz="2400">
            <a:solidFill>
              <a:srgbClr val="00B0F0"/>
            </a:solidFill>
          </a:endParaRPr>
        </a:p>
      </xdr:txBody>
    </xdr:sp>
    <xdr:clientData/>
  </xdr:twoCellAnchor>
  <xdr:twoCellAnchor>
    <xdr:from>
      <xdr:col>25</xdr:col>
      <xdr:colOff>127000</xdr:colOff>
      <xdr:row>84</xdr:row>
      <xdr:rowOff>168690</xdr:rowOff>
    </xdr:from>
    <xdr:to>
      <xdr:col>26</xdr:col>
      <xdr:colOff>74469</xdr:colOff>
      <xdr:row>86</xdr:row>
      <xdr:rowOff>126716</xdr:rowOff>
    </xdr:to>
    <xdr:sp macro="" textlink="">
      <xdr:nvSpPr>
        <xdr:cNvPr id="6" name="矩形 264">
          <a:extLst>
            <a:ext uri="{FF2B5EF4-FFF2-40B4-BE49-F238E27FC236}">
              <a16:creationId xmlns:a16="http://schemas.microsoft.com/office/drawing/2014/main" id="{E26A0DB9-AEA5-4CFE-846E-FCDA2EA0A36A}"/>
            </a:ext>
          </a:extLst>
        </xdr:cNvPr>
        <xdr:cNvSpPr/>
      </xdr:nvSpPr>
      <xdr:spPr>
        <a:xfrm>
          <a:off x="42532300" y="18234440"/>
          <a:ext cx="823769" cy="3771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 </a:t>
          </a:r>
          <a:endParaRPr lang="zh-CN" altLang="en-US" sz="2400">
            <a:solidFill>
              <a:srgbClr val="00B0F0"/>
            </a:solidFill>
          </a:endParaRPr>
        </a:p>
      </xdr:txBody>
    </xdr:sp>
    <xdr:clientData/>
  </xdr:twoCellAnchor>
  <xdr:twoCellAnchor>
    <xdr:from>
      <xdr:col>25</xdr:col>
      <xdr:colOff>341745</xdr:colOff>
      <xdr:row>9</xdr:row>
      <xdr:rowOff>155864</xdr:rowOff>
    </xdr:from>
    <xdr:to>
      <xdr:col>36</xdr:col>
      <xdr:colOff>783068</xdr:colOff>
      <xdr:row>81</xdr:row>
      <xdr:rowOff>14146</xdr:rowOff>
    </xdr:to>
    <xdr:sp macro="" textlink="">
      <xdr:nvSpPr>
        <xdr:cNvPr id="7" name="矩形 6">
          <a:extLst>
            <a:ext uri="{FF2B5EF4-FFF2-40B4-BE49-F238E27FC236}">
              <a16:creationId xmlns:a16="http://schemas.microsoft.com/office/drawing/2014/main" id="{530DF660-02D3-4086-86B6-96F673EDD4F0}"/>
            </a:ext>
          </a:extLst>
        </xdr:cNvPr>
        <xdr:cNvSpPr/>
      </xdr:nvSpPr>
      <xdr:spPr>
        <a:xfrm>
          <a:off x="42747045" y="1984664"/>
          <a:ext cx="8518523" cy="15466582"/>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26</xdr:col>
      <xdr:colOff>444137</xdr:colOff>
      <xdr:row>11</xdr:row>
      <xdr:rowOff>527741</xdr:rowOff>
    </xdr:from>
    <xdr:to>
      <xdr:col>26</xdr:col>
      <xdr:colOff>593679</xdr:colOff>
      <xdr:row>20</xdr:row>
      <xdr:rowOff>116137</xdr:rowOff>
    </xdr:to>
    <xdr:sp macro="" textlink="">
      <xdr:nvSpPr>
        <xdr:cNvPr id="8" name="下箭头 111">
          <a:extLst>
            <a:ext uri="{FF2B5EF4-FFF2-40B4-BE49-F238E27FC236}">
              <a16:creationId xmlns:a16="http://schemas.microsoft.com/office/drawing/2014/main" id="{876C08FD-E36B-43CE-A096-2CEC2E12D6FA}"/>
            </a:ext>
          </a:extLst>
        </xdr:cNvPr>
        <xdr:cNvSpPr/>
      </xdr:nvSpPr>
      <xdr:spPr>
        <a:xfrm>
          <a:off x="43725737" y="2775641"/>
          <a:ext cx="149542" cy="19886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26</xdr:col>
      <xdr:colOff>109205</xdr:colOff>
      <xdr:row>11</xdr:row>
      <xdr:rowOff>60256</xdr:rowOff>
    </xdr:from>
    <xdr:to>
      <xdr:col>28</xdr:col>
      <xdr:colOff>215307</xdr:colOff>
      <xdr:row>11</xdr:row>
      <xdr:rowOff>618601</xdr:rowOff>
    </xdr:to>
    <xdr:sp macro="" textlink="">
      <xdr:nvSpPr>
        <xdr:cNvPr id="9" name="矩形 8">
          <a:extLst>
            <a:ext uri="{FF2B5EF4-FFF2-40B4-BE49-F238E27FC236}">
              <a16:creationId xmlns:a16="http://schemas.microsoft.com/office/drawing/2014/main" id="{E384C743-E08F-464F-97B9-C0B748572782}"/>
            </a:ext>
          </a:extLst>
        </xdr:cNvPr>
        <xdr:cNvSpPr/>
      </xdr:nvSpPr>
      <xdr:spPr>
        <a:xfrm>
          <a:off x="43390805" y="2308156"/>
          <a:ext cx="1858702" cy="5583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Side-B</a:t>
          </a:r>
          <a:endParaRPr lang="zh-CN" altLang="en-US" sz="1800">
            <a:solidFill>
              <a:schemeClr val="tx1"/>
            </a:solidFill>
          </a:endParaRPr>
        </a:p>
      </xdr:txBody>
    </xdr:sp>
    <xdr:clientData/>
  </xdr:twoCellAnchor>
  <xdr:twoCellAnchor>
    <xdr:from>
      <xdr:col>27</xdr:col>
      <xdr:colOff>39585</xdr:colOff>
      <xdr:row>17</xdr:row>
      <xdr:rowOff>185018</xdr:rowOff>
    </xdr:from>
    <xdr:to>
      <xdr:col>29</xdr:col>
      <xdr:colOff>145687</xdr:colOff>
      <xdr:row>21</xdr:row>
      <xdr:rowOff>104489</xdr:rowOff>
    </xdr:to>
    <xdr:sp macro="" textlink="">
      <xdr:nvSpPr>
        <xdr:cNvPr id="10" name="矩形 9">
          <a:extLst>
            <a:ext uri="{FF2B5EF4-FFF2-40B4-BE49-F238E27FC236}">
              <a16:creationId xmlns:a16="http://schemas.microsoft.com/office/drawing/2014/main" id="{F6B88CD1-15F0-4D1B-886D-26C9F1285561}"/>
            </a:ext>
          </a:extLst>
        </xdr:cNvPr>
        <xdr:cNvSpPr/>
      </xdr:nvSpPr>
      <xdr:spPr>
        <a:xfrm>
          <a:off x="44197485" y="4204568"/>
          <a:ext cx="1858702" cy="757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Manpower*0.8</a:t>
          </a:r>
          <a:endParaRPr lang="zh-CN" altLang="en-US" sz="1800">
            <a:solidFill>
              <a:schemeClr val="tx1"/>
            </a:solidFill>
          </a:endParaRPr>
        </a:p>
      </xdr:txBody>
    </xdr:sp>
    <xdr:clientData/>
  </xdr:twoCellAnchor>
  <xdr:twoCellAnchor>
    <xdr:from>
      <xdr:col>25</xdr:col>
      <xdr:colOff>479467</xdr:colOff>
      <xdr:row>7</xdr:row>
      <xdr:rowOff>101600</xdr:rowOff>
    </xdr:from>
    <xdr:to>
      <xdr:col>26</xdr:col>
      <xdr:colOff>424627</xdr:colOff>
      <xdr:row>9</xdr:row>
      <xdr:rowOff>107832</xdr:rowOff>
    </xdr:to>
    <xdr:sp macro="" textlink="">
      <xdr:nvSpPr>
        <xdr:cNvPr id="11" name="矩形 10">
          <a:extLst>
            <a:ext uri="{FF2B5EF4-FFF2-40B4-BE49-F238E27FC236}">
              <a16:creationId xmlns:a16="http://schemas.microsoft.com/office/drawing/2014/main" id="{D3C4B27E-799B-4870-8A51-B1AE572E6E82}"/>
            </a:ext>
          </a:extLst>
        </xdr:cNvPr>
        <xdr:cNvSpPr/>
      </xdr:nvSpPr>
      <xdr:spPr>
        <a:xfrm>
          <a:off x="42884767" y="1530350"/>
          <a:ext cx="821460" cy="4062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1/2 </a:t>
          </a:r>
          <a:endParaRPr lang="zh-CN" altLang="en-US" sz="2400">
            <a:solidFill>
              <a:srgbClr val="00B0F0"/>
            </a:solidFill>
          </a:endParaRPr>
        </a:p>
      </xdr:txBody>
    </xdr:sp>
    <xdr:clientData/>
  </xdr:twoCellAnchor>
  <xdr:twoCellAnchor>
    <xdr:from>
      <xdr:col>25</xdr:col>
      <xdr:colOff>447138</xdr:colOff>
      <xdr:row>85</xdr:row>
      <xdr:rowOff>121808</xdr:rowOff>
    </xdr:from>
    <xdr:to>
      <xdr:col>37</xdr:col>
      <xdr:colOff>80281</xdr:colOff>
      <xdr:row>104</xdr:row>
      <xdr:rowOff>42723</xdr:rowOff>
    </xdr:to>
    <xdr:sp macro="" textlink="">
      <xdr:nvSpPr>
        <xdr:cNvPr id="12" name="矩形 11">
          <a:extLst>
            <a:ext uri="{FF2B5EF4-FFF2-40B4-BE49-F238E27FC236}">
              <a16:creationId xmlns:a16="http://schemas.microsoft.com/office/drawing/2014/main" id="{4E30123A-B875-42C6-9FD0-1E0006C8D3A8}"/>
            </a:ext>
          </a:extLst>
        </xdr:cNvPr>
        <xdr:cNvSpPr/>
      </xdr:nvSpPr>
      <xdr:spPr>
        <a:xfrm>
          <a:off x="42852438" y="18397108"/>
          <a:ext cx="8586643" cy="3902365"/>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25</xdr:col>
      <xdr:colOff>533153</xdr:colOff>
      <xdr:row>86</xdr:row>
      <xdr:rowOff>90347</xdr:rowOff>
    </xdr:from>
    <xdr:to>
      <xdr:col>27</xdr:col>
      <xdr:colOff>629441</xdr:colOff>
      <xdr:row>90</xdr:row>
      <xdr:rowOff>43876</xdr:rowOff>
    </xdr:to>
    <xdr:sp macro="" textlink="">
      <xdr:nvSpPr>
        <xdr:cNvPr id="13" name="矩形 12">
          <a:extLst>
            <a:ext uri="{FF2B5EF4-FFF2-40B4-BE49-F238E27FC236}">
              <a16:creationId xmlns:a16="http://schemas.microsoft.com/office/drawing/2014/main" id="{A1E959D7-D0FB-43A3-9E7A-925BEDC25986}"/>
            </a:ext>
          </a:extLst>
        </xdr:cNvPr>
        <xdr:cNvSpPr/>
      </xdr:nvSpPr>
      <xdr:spPr>
        <a:xfrm>
          <a:off x="42938453" y="18575197"/>
          <a:ext cx="1848888" cy="7917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Manpower*0.5</a:t>
          </a:r>
          <a:endParaRPr lang="zh-CN" altLang="en-US" sz="1800">
            <a:solidFill>
              <a:schemeClr val="tx1"/>
            </a:solidFill>
          </a:endParaRPr>
        </a:p>
      </xdr:txBody>
    </xdr:sp>
    <xdr:clientData/>
  </xdr:twoCellAnchor>
  <xdr:twoCellAnchor>
    <xdr:from>
      <xdr:col>25</xdr:col>
      <xdr:colOff>716148</xdr:colOff>
      <xdr:row>97</xdr:row>
      <xdr:rowOff>4</xdr:rowOff>
    </xdr:from>
    <xdr:to>
      <xdr:col>27</xdr:col>
      <xdr:colOff>822250</xdr:colOff>
      <xdr:row>100</xdr:row>
      <xdr:rowOff>126715</xdr:rowOff>
    </xdr:to>
    <xdr:sp macro="" textlink="">
      <xdr:nvSpPr>
        <xdr:cNvPr id="14" name="矩形 13">
          <a:extLst>
            <a:ext uri="{FF2B5EF4-FFF2-40B4-BE49-F238E27FC236}">
              <a16:creationId xmlns:a16="http://schemas.microsoft.com/office/drawing/2014/main" id="{386CB2A6-7C2A-4F46-86B0-BCC96B5D429D}"/>
            </a:ext>
          </a:extLst>
        </xdr:cNvPr>
        <xdr:cNvSpPr/>
      </xdr:nvSpPr>
      <xdr:spPr>
        <a:xfrm>
          <a:off x="43121448" y="20789904"/>
          <a:ext cx="1858702" cy="755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Manpower*0.5</a:t>
          </a:r>
          <a:endParaRPr lang="zh-CN" altLang="en-US" sz="1800">
            <a:solidFill>
              <a:schemeClr val="tx1"/>
            </a:solidFill>
          </a:endParaRPr>
        </a:p>
      </xdr:txBody>
    </xdr:sp>
    <xdr:clientData/>
  </xdr:twoCellAnchor>
  <xdr:twoCellAnchor>
    <xdr:from>
      <xdr:col>25</xdr:col>
      <xdr:colOff>463013</xdr:colOff>
      <xdr:row>108</xdr:row>
      <xdr:rowOff>57452</xdr:rowOff>
    </xdr:from>
    <xdr:to>
      <xdr:col>37</xdr:col>
      <xdr:colOff>77107</xdr:colOff>
      <xdr:row>119</xdr:row>
      <xdr:rowOff>53499</xdr:rowOff>
    </xdr:to>
    <xdr:sp macro="" textlink="">
      <xdr:nvSpPr>
        <xdr:cNvPr id="15" name="矩形 14">
          <a:extLst>
            <a:ext uri="{FF2B5EF4-FFF2-40B4-BE49-F238E27FC236}">
              <a16:creationId xmlns:a16="http://schemas.microsoft.com/office/drawing/2014/main" id="{73514EE8-A07D-4E3D-BEA4-7C25794F00D6}"/>
            </a:ext>
          </a:extLst>
        </xdr:cNvPr>
        <xdr:cNvSpPr/>
      </xdr:nvSpPr>
      <xdr:spPr>
        <a:xfrm>
          <a:off x="42868313" y="23152402"/>
          <a:ext cx="8567594" cy="2301097"/>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25</xdr:col>
      <xdr:colOff>349003</xdr:colOff>
      <xdr:row>105</xdr:row>
      <xdr:rowOff>185317</xdr:rowOff>
    </xdr:from>
    <xdr:to>
      <xdr:col>26</xdr:col>
      <xdr:colOff>294163</xdr:colOff>
      <xdr:row>107</xdr:row>
      <xdr:rowOff>124583</xdr:rowOff>
    </xdr:to>
    <xdr:sp macro="" textlink="">
      <xdr:nvSpPr>
        <xdr:cNvPr id="16" name="矩形 15">
          <a:extLst>
            <a:ext uri="{FF2B5EF4-FFF2-40B4-BE49-F238E27FC236}">
              <a16:creationId xmlns:a16="http://schemas.microsoft.com/office/drawing/2014/main" id="{71DE1E55-DCC2-4302-B5BC-A433ADF3F2D2}"/>
            </a:ext>
          </a:extLst>
        </xdr:cNvPr>
        <xdr:cNvSpPr/>
      </xdr:nvSpPr>
      <xdr:spPr>
        <a:xfrm>
          <a:off x="42754303" y="22651617"/>
          <a:ext cx="821460" cy="3583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4 </a:t>
          </a:r>
          <a:endParaRPr lang="zh-CN" altLang="en-US" sz="2400">
            <a:solidFill>
              <a:srgbClr val="00B0F0"/>
            </a:solidFill>
          </a:endParaRPr>
        </a:p>
      </xdr:txBody>
    </xdr:sp>
    <xdr:clientData/>
  </xdr:twoCellAnchor>
  <xdr:twoCellAnchor>
    <xdr:from>
      <xdr:col>25</xdr:col>
      <xdr:colOff>450313</xdr:colOff>
      <xdr:row>122</xdr:row>
      <xdr:rowOff>137106</xdr:rowOff>
    </xdr:from>
    <xdr:to>
      <xdr:col>37</xdr:col>
      <xdr:colOff>77106</xdr:colOff>
      <xdr:row>132</xdr:row>
      <xdr:rowOff>200606</xdr:rowOff>
    </xdr:to>
    <xdr:sp macro="" textlink="">
      <xdr:nvSpPr>
        <xdr:cNvPr id="17" name="矩形 16">
          <a:extLst>
            <a:ext uri="{FF2B5EF4-FFF2-40B4-BE49-F238E27FC236}">
              <a16:creationId xmlns:a16="http://schemas.microsoft.com/office/drawing/2014/main" id="{7B5B9203-8183-4E01-BC00-F19CD96E0587}"/>
            </a:ext>
          </a:extLst>
        </xdr:cNvPr>
        <xdr:cNvSpPr/>
      </xdr:nvSpPr>
      <xdr:spPr>
        <a:xfrm>
          <a:off x="42855613" y="26165756"/>
          <a:ext cx="8580293" cy="2159000"/>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25</xdr:col>
      <xdr:colOff>402978</xdr:colOff>
      <xdr:row>120</xdr:row>
      <xdr:rowOff>55420</xdr:rowOff>
    </xdr:from>
    <xdr:to>
      <xdr:col>26</xdr:col>
      <xdr:colOff>360838</xdr:colOff>
      <xdr:row>122</xdr:row>
      <xdr:rowOff>5653</xdr:rowOff>
    </xdr:to>
    <xdr:sp macro="" textlink="">
      <xdr:nvSpPr>
        <xdr:cNvPr id="18" name="矩形 17">
          <a:extLst>
            <a:ext uri="{FF2B5EF4-FFF2-40B4-BE49-F238E27FC236}">
              <a16:creationId xmlns:a16="http://schemas.microsoft.com/office/drawing/2014/main" id="{E04CBAA6-EE6F-431A-B695-2D485F4681D9}"/>
            </a:ext>
          </a:extLst>
        </xdr:cNvPr>
        <xdr:cNvSpPr/>
      </xdr:nvSpPr>
      <xdr:spPr>
        <a:xfrm>
          <a:off x="42808278" y="25664970"/>
          <a:ext cx="834160" cy="3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5</a:t>
          </a:r>
          <a:endParaRPr lang="zh-CN" altLang="en-US" sz="2400">
            <a:solidFill>
              <a:srgbClr val="00B0F0"/>
            </a:solidFill>
          </a:endParaRPr>
        </a:p>
      </xdr:txBody>
    </xdr:sp>
    <xdr:clientData/>
  </xdr:twoCellAnchor>
  <xdr:twoCellAnchor>
    <xdr:from>
      <xdr:col>27</xdr:col>
      <xdr:colOff>458352</xdr:colOff>
      <xdr:row>116</xdr:row>
      <xdr:rowOff>47061</xdr:rowOff>
    </xdr:from>
    <xdr:to>
      <xdr:col>28</xdr:col>
      <xdr:colOff>197427</xdr:colOff>
      <xdr:row>118</xdr:row>
      <xdr:rowOff>122271</xdr:rowOff>
    </xdr:to>
    <xdr:pic>
      <xdr:nvPicPr>
        <xdr:cNvPr id="19" name="Picture 29" descr="op">
          <a:extLst>
            <a:ext uri="{FF2B5EF4-FFF2-40B4-BE49-F238E27FC236}">
              <a16:creationId xmlns:a16="http://schemas.microsoft.com/office/drawing/2014/main" id="{20F7F0F2-E22F-40BA-8847-18D7208CDBE6}"/>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a:xfrm rot="16200000">
          <a:off x="44676785" y="24757878"/>
          <a:ext cx="494310" cy="615375"/>
        </a:xfrm>
        <a:prstGeom prst="rect">
          <a:avLst/>
        </a:prstGeom>
        <a:noFill/>
        <a:ln w="9525">
          <a:noFill/>
          <a:miter lim="800000"/>
          <a:headEnd/>
          <a:tailEnd/>
        </a:ln>
      </xdr:spPr>
    </xdr:pic>
    <xdr:clientData/>
  </xdr:twoCellAnchor>
  <xdr:twoCellAnchor>
    <xdr:from>
      <xdr:col>28</xdr:col>
      <xdr:colOff>310570</xdr:colOff>
      <xdr:row>116</xdr:row>
      <xdr:rowOff>144043</xdr:rowOff>
    </xdr:from>
    <xdr:to>
      <xdr:col>30</xdr:col>
      <xdr:colOff>393580</xdr:colOff>
      <xdr:row>120</xdr:row>
      <xdr:rowOff>58029</xdr:rowOff>
    </xdr:to>
    <xdr:sp macro="" textlink="">
      <xdr:nvSpPr>
        <xdr:cNvPr id="20" name="矩形 19">
          <a:extLst>
            <a:ext uri="{FF2B5EF4-FFF2-40B4-BE49-F238E27FC236}">
              <a16:creationId xmlns:a16="http://schemas.microsoft.com/office/drawing/2014/main" id="{D95D2EE8-74D7-4538-BA9C-563937949187}"/>
            </a:ext>
          </a:extLst>
        </xdr:cNvPr>
        <xdr:cNvSpPr/>
      </xdr:nvSpPr>
      <xdr:spPr>
        <a:xfrm>
          <a:off x="45344770" y="24915393"/>
          <a:ext cx="1835610" cy="7521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Manpower*0.5</a:t>
          </a:r>
          <a:endParaRPr lang="zh-CN" altLang="en-US" sz="1800">
            <a:solidFill>
              <a:schemeClr val="tx1"/>
            </a:solidFill>
          </a:endParaRPr>
        </a:p>
      </xdr:txBody>
    </xdr:sp>
    <xdr:clientData/>
  </xdr:twoCellAnchor>
  <xdr:twoCellAnchor>
    <xdr:from>
      <xdr:col>26</xdr:col>
      <xdr:colOff>757380</xdr:colOff>
      <xdr:row>129</xdr:row>
      <xdr:rowOff>88324</xdr:rowOff>
    </xdr:from>
    <xdr:to>
      <xdr:col>27</xdr:col>
      <xdr:colOff>480292</xdr:colOff>
      <xdr:row>131</xdr:row>
      <xdr:rowOff>152276</xdr:rowOff>
    </xdr:to>
    <xdr:pic>
      <xdr:nvPicPr>
        <xdr:cNvPr id="21" name="Picture 29" descr="op">
          <a:extLst>
            <a:ext uri="{FF2B5EF4-FFF2-40B4-BE49-F238E27FC236}">
              <a16:creationId xmlns:a16="http://schemas.microsoft.com/office/drawing/2014/main" id="{308C9669-176E-43EC-BEB3-B6E2411FF94B}"/>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a:xfrm rot="16200000">
          <a:off x="44097060" y="27525744"/>
          <a:ext cx="483052" cy="599212"/>
        </a:xfrm>
        <a:prstGeom prst="rect">
          <a:avLst/>
        </a:prstGeom>
        <a:noFill/>
        <a:ln w="9525">
          <a:noFill/>
          <a:miter lim="800000"/>
          <a:headEnd/>
          <a:tailEnd/>
        </a:ln>
      </xdr:spPr>
    </xdr:pic>
    <xdr:clientData/>
  </xdr:twoCellAnchor>
  <xdr:twoCellAnchor>
    <xdr:from>
      <xdr:col>27</xdr:col>
      <xdr:colOff>593435</xdr:colOff>
      <xdr:row>129</xdr:row>
      <xdr:rowOff>151824</xdr:rowOff>
    </xdr:from>
    <xdr:to>
      <xdr:col>29</xdr:col>
      <xdr:colOff>699537</xdr:colOff>
      <xdr:row>133</xdr:row>
      <xdr:rowOff>30885</xdr:rowOff>
    </xdr:to>
    <xdr:sp macro="" textlink="">
      <xdr:nvSpPr>
        <xdr:cNvPr id="22" name="矩形 21">
          <a:extLst>
            <a:ext uri="{FF2B5EF4-FFF2-40B4-BE49-F238E27FC236}">
              <a16:creationId xmlns:a16="http://schemas.microsoft.com/office/drawing/2014/main" id="{69EDEFD8-E3E3-4EF2-8BC6-11FB06184B96}"/>
            </a:ext>
          </a:extLst>
        </xdr:cNvPr>
        <xdr:cNvSpPr/>
      </xdr:nvSpPr>
      <xdr:spPr>
        <a:xfrm>
          <a:off x="44751335" y="27647324"/>
          <a:ext cx="1858702" cy="7172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Manpower*0.8</a:t>
          </a:r>
          <a:endParaRPr lang="zh-CN" altLang="en-US" sz="1800">
            <a:solidFill>
              <a:schemeClr val="tx1"/>
            </a:solidFill>
          </a:endParaRPr>
        </a:p>
      </xdr:txBody>
    </xdr:sp>
    <xdr:clientData/>
  </xdr:twoCellAnchor>
  <xdr:twoCellAnchor>
    <xdr:from>
      <xdr:col>25</xdr:col>
      <xdr:colOff>466722</xdr:colOff>
      <xdr:row>83</xdr:row>
      <xdr:rowOff>105644</xdr:rowOff>
    </xdr:from>
    <xdr:to>
      <xdr:col>26</xdr:col>
      <xdr:colOff>400337</xdr:colOff>
      <xdr:row>85</xdr:row>
      <xdr:rowOff>86184</xdr:rowOff>
    </xdr:to>
    <xdr:sp macro="" textlink="">
      <xdr:nvSpPr>
        <xdr:cNvPr id="23" name="矩形 22">
          <a:extLst>
            <a:ext uri="{FF2B5EF4-FFF2-40B4-BE49-F238E27FC236}">
              <a16:creationId xmlns:a16="http://schemas.microsoft.com/office/drawing/2014/main" id="{490E4C01-215E-4E4D-B920-6AB7E55026E8}"/>
            </a:ext>
          </a:extLst>
        </xdr:cNvPr>
        <xdr:cNvSpPr/>
      </xdr:nvSpPr>
      <xdr:spPr>
        <a:xfrm>
          <a:off x="42872022" y="17961844"/>
          <a:ext cx="809915" cy="399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3</a:t>
          </a:r>
          <a:endParaRPr lang="zh-CN" altLang="en-US" sz="2400">
            <a:solidFill>
              <a:srgbClr val="00B0F0"/>
            </a:solidFill>
          </a:endParaRPr>
        </a:p>
      </xdr:txBody>
    </xdr:sp>
    <xdr:clientData/>
  </xdr:twoCellAnchor>
  <xdr:twoCellAnchor>
    <xdr:from>
      <xdr:col>27</xdr:col>
      <xdr:colOff>625131</xdr:colOff>
      <xdr:row>86</xdr:row>
      <xdr:rowOff>47421</xdr:rowOff>
    </xdr:from>
    <xdr:to>
      <xdr:col>29</xdr:col>
      <xdr:colOff>525524</xdr:colOff>
      <xdr:row>103</xdr:row>
      <xdr:rowOff>184729</xdr:rowOff>
    </xdr:to>
    <xdr:grpSp>
      <xdr:nvGrpSpPr>
        <xdr:cNvPr id="24" name="组合 23">
          <a:extLst>
            <a:ext uri="{FF2B5EF4-FFF2-40B4-BE49-F238E27FC236}">
              <a16:creationId xmlns:a16="http://schemas.microsoft.com/office/drawing/2014/main" id="{57BD8DB9-E429-4A1C-99BD-04FA89523608}"/>
            </a:ext>
          </a:extLst>
        </xdr:cNvPr>
        <xdr:cNvGrpSpPr/>
      </xdr:nvGrpSpPr>
      <xdr:grpSpPr>
        <a:xfrm>
          <a:off x="44783374" y="18265056"/>
          <a:ext cx="1650934" cy="3638389"/>
          <a:chOff x="36837216" y="23536646"/>
          <a:chExt cx="1661271" cy="4416057"/>
        </a:xfrm>
      </xdr:grpSpPr>
      <xdr:pic>
        <xdr:nvPicPr>
          <xdr:cNvPr id="25" name="图片 24">
            <a:extLst>
              <a:ext uri="{FF2B5EF4-FFF2-40B4-BE49-F238E27FC236}">
                <a16:creationId xmlns:a16="http://schemas.microsoft.com/office/drawing/2014/main" id="{7B6D333C-FAB7-859B-A418-B153333FABA7}"/>
              </a:ext>
            </a:extLst>
          </xdr:cNvPr>
          <xdr:cNvPicPr>
            <a:picLocks noChangeAspect="1"/>
          </xdr:cNvPicPr>
        </xdr:nvPicPr>
        <xdr:blipFill>
          <a:blip xmlns:r="http://schemas.openxmlformats.org/officeDocument/2006/relationships" r:embed="rId3"/>
          <a:stretch>
            <a:fillRect/>
          </a:stretch>
        </xdr:blipFill>
        <xdr:spPr>
          <a:xfrm rot="5400000">
            <a:off x="35463680" y="24917896"/>
            <a:ext cx="4416057" cy="1653557"/>
          </a:xfrm>
          <a:prstGeom prst="rect">
            <a:avLst/>
          </a:prstGeom>
        </xdr:spPr>
      </xdr:pic>
      <xdr:pic>
        <xdr:nvPicPr>
          <xdr:cNvPr id="26" name="Picture 29" descr="op">
            <a:extLst>
              <a:ext uri="{FF2B5EF4-FFF2-40B4-BE49-F238E27FC236}">
                <a16:creationId xmlns:a16="http://schemas.microsoft.com/office/drawing/2014/main" id="{9DD86D47-BED7-58BA-5D5D-725120E02538}"/>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36837216" y="23951048"/>
            <a:ext cx="475401" cy="510831"/>
          </a:xfrm>
          <a:prstGeom prst="rect">
            <a:avLst/>
          </a:prstGeom>
          <a:noFill/>
          <a:ln w="9525">
            <a:noFill/>
            <a:miter lim="800000"/>
            <a:headEnd/>
            <a:tailEnd/>
          </a:ln>
        </xdr:spPr>
      </xdr:pic>
      <xdr:pic>
        <xdr:nvPicPr>
          <xdr:cNvPr id="27" name="Picture 29" descr="op">
            <a:extLst>
              <a:ext uri="{FF2B5EF4-FFF2-40B4-BE49-F238E27FC236}">
                <a16:creationId xmlns:a16="http://schemas.microsoft.com/office/drawing/2014/main" id="{35E82494-D455-B7CD-2766-2506A092E0BE}"/>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36900716" y="26491336"/>
            <a:ext cx="475401" cy="550375"/>
          </a:xfrm>
          <a:prstGeom prst="rect">
            <a:avLst/>
          </a:prstGeom>
          <a:noFill/>
          <a:ln w="9525">
            <a:noFill/>
            <a:miter lim="800000"/>
            <a:headEnd/>
            <a:tailEnd/>
          </a:ln>
        </xdr:spPr>
      </xdr:pic>
    </xdr:grpSp>
    <xdr:clientData/>
  </xdr:twoCellAnchor>
  <xdr:twoCellAnchor>
    <xdr:from>
      <xdr:col>26</xdr:col>
      <xdr:colOff>402611</xdr:colOff>
      <xdr:row>109</xdr:row>
      <xdr:rowOff>69187</xdr:rowOff>
    </xdr:from>
    <xdr:to>
      <xdr:col>29</xdr:col>
      <xdr:colOff>337436</xdr:colOff>
      <xdr:row>116</xdr:row>
      <xdr:rowOff>143469</xdr:rowOff>
    </xdr:to>
    <xdr:grpSp>
      <xdr:nvGrpSpPr>
        <xdr:cNvPr id="28" name="组合 27">
          <a:extLst>
            <a:ext uri="{FF2B5EF4-FFF2-40B4-BE49-F238E27FC236}">
              <a16:creationId xmlns:a16="http://schemas.microsoft.com/office/drawing/2014/main" id="{A526EA68-2640-4C65-A441-D105A76960B1}"/>
            </a:ext>
          </a:extLst>
        </xdr:cNvPr>
        <xdr:cNvGrpSpPr/>
      </xdr:nvGrpSpPr>
      <xdr:grpSpPr>
        <a:xfrm>
          <a:off x="43685584" y="23023579"/>
          <a:ext cx="2560636" cy="1515904"/>
          <a:chOff x="35832688" y="28769743"/>
          <a:chExt cx="2583035" cy="1751259"/>
        </a:xfrm>
      </xdr:grpSpPr>
      <xdr:pic>
        <xdr:nvPicPr>
          <xdr:cNvPr id="29" name="图片 28">
            <a:extLst>
              <a:ext uri="{FF2B5EF4-FFF2-40B4-BE49-F238E27FC236}">
                <a16:creationId xmlns:a16="http://schemas.microsoft.com/office/drawing/2014/main" id="{4082510C-23E8-5E3C-D78F-A0362C76C281}"/>
              </a:ext>
            </a:extLst>
          </xdr:cNvPr>
          <xdr:cNvPicPr>
            <a:picLocks noChangeAspect="1"/>
          </xdr:cNvPicPr>
        </xdr:nvPicPr>
        <xdr:blipFill rotWithShape="1">
          <a:blip xmlns:r="http://schemas.openxmlformats.org/officeDocument/2006/relationships" r:embed="rId4"/>
          <a:srcRect l="72071" t="33518"/>
          <a:stretch/>
        </xdr:blipFill>
        <xdr:spPr>
          <a:xfrm>
            <a:off x="35832688" y="28998799"/>
            <a:ext cx="627084" cy="891174"/>
          </a:xfrm>
          <a:prstGeom prst="rect">
            <a:avLst/>
          </a:prstGeom>
        </xdr:spPr>
      </xdr:pic>
      <xdr:pic>
        <xdr:nvPicPr>
          <xdr:cNvPr id="30" name="图片 29">
            <a:extLst>
              <a:ext uri="{FF2B5EF4-FFF2-40B4-BE49-F238E27FC236}">
                <a16:creationId xmlns:a16="http://schemas.microsoft.com/office/drawing/2014/main" id="{4C14087C-C8CC-F306-BF54-6C93F6D3E20A}"/>
              </a:ext>
            </a:extLst>
          </xdr:cNvPr>
          <xdr:cNvPicPr>
            <a:picLocks noChangeAspect="1"/>
          </xdr:cNvPicPr>
        </xdr:nvPicPr>
        <xdr:blipFill>
          <a:blip xmlns:r="http://schemas.openxmlformats.org/officeDocument/2006/relationships" r:embed="rId5"/>
          <a:stretch>
            <a:fillRect/>
          </a:stretch>
        </xdr:blipFill>
        <xdr:spPr>
          <a:xfrm rot="5400000">
            <a:off x="36130532" y="28983898"/>
            <a:ext cx="1751259" cy="1322949"/>
          </a:xfrm>
          <a:prstGeom prst="rect">
            <a:avLst/>
          </a:prstGeom>
        </xdr:spPr>
      </xdr:pic>
      <xdr:pic>
        <xdr:nvPicPr>
          <xdr:cNvPr id="31" name="图片 30">
            <a:extLst>
              <a:ext uri="{FF2B5EF4-FFF2-40B4-BE49-F238E27FC236}">
                <a16:creationId xmlns:a16="http://schemas.microsoft.com/office/drawing/2014/main" id="{4E16B2C6-7B1E-8D82-0FB3-EF3108CC81CD}"/>
              </a:ext>
            </a:extLst>
          </xdr:cNvPr>
          <xdr:cNvPicPr>
            <a:picLocks noChangeAspect="1"/>
          </xdr:cNvPicPr>
        </xdr:nvPicPr>
        <xdr:blipFill rotWithShape="1">
          <a:blip xmlns:r="http://schemas.openxmlformats.org/officeDocument/2006/relationships" r:embed="rId4"/>
          <a:srcRect l="72071" t="33518"/>
          <a:stretch/>
        </xdr:blipFill>
        <xdr:spPr>
          <a:xfrm>
            <a:off x="37788639" y="29017937"/>
            <a:ext cx="627084" cy="875299"/>
          </a:xfrm>
          <a:prstGeom prst="rect">
            <a:avLst/>
          </a:prstGeom>
        </xdr:spPr>
      </xdr:pic>
    </xdr:grpSp>
    <xdr:clientData/>
  </xdr:twoCellAnchor>
  <xdr:twoCellAnchor>
    <xdr:from>
      <xdr:col>26</xdr:col>
      <xdr:colOff>128493</xdr:colOff>
      <xdr:row>123</xdr:row>
      <xdr:rowOff>120720</xdr:rowOff>
    </xdr:from>
    <xdr:to>
      <xdr:col>30</xdr:col>
      <xdr:colOff>320609</xdr:colOff>
      <xdr:row>129</xdr:row>
      <xdr:rowOff>160733</xdr:rowOff>
    </xdr:to>
    <xdr:pic>
      <xdr:nvPicPr>
        <xdr:cNvPr id="32" name="图片 31">
          <a:extLst>
            <a:ext uri="{FF2B5EF4-FFF2-40B4-BE49-F238E27FC236}">
              <a16:creationId xmlns:a16="http://schemas.microsoft.com/office/drawing/2014/main" id="{06C1439D-466D-4407-AF3A-75878A05A241}"/>
            </a:ext>
          </a:extLst>
        </xdr:cNvPr>
        <xdr:cNvPicPr>
          <a:picLocks noChangeAspect="1"/>
        </xdr:cNvPicPr>
      </xdr:nvPicPr>
      <xdr:blipFill>
        <a:blip xmlns:r="http://schemas.openxmlformats.org/officeDocument/2006/relationships" r:embed="rId6"/>
        <a:stretch>
          <a:fillRect/>
        </a:stretch>
      </xdr:blipFill>
      <xdr:spPr>
        <a:xfrm>
          <a:off x="43410093" y="26358920"/>
          <a:ext cx="3697316" cy="1297313"/>
        </a:xfrm>
        <a:prstGeom prst="rect">
          <a:avLst/>
        </a:prstGeom>
      </xdr:spPr>
    </xdr:pic>
    <xdr:clientData/>
  </xdr:twoCellAnchor>
  <xdr:twoCellAnchor editAs="oneCell">
    <xdr:from>
      <xdr:col>29</xdr:col>
      <xdr:colOff>143597</xdr:colOff>
      <xdr:row>10</xdr:row>
      <xdr:rowOff>87745</xdr:rowOff>
    </xdr:from>
    <xdr:to>
      <xdr:col>33</xdr:col>
      <xdr:colOff>104238</xdr:colOff>
      <xdr:row>80</xdr:row>
      <xdr:rowOff>25402</xdr:rowOff>
    </xdr:to>
    <xdr:pic>
      <xdr:nvPicPr>
        <xdr:cNvPr id="33" name="图片 32">
          <a:extLst>
            <a:ext uri="{FF2B5EF4-FFF2-40B4-BE49-F238E27FC236}">
              <a16:creationId xmlns:a16="http://schemas.microsoft.com/office/drawing/2014/main" id="{D0A9173E-1FE4-4670-ACD4-551D3B85441A}"/>
            </a:ext>
          </a:extLst>
        </xdr:cNvPr>
        <xdr:cNvPicPr>
          <a:picLocks noChangeAspect="1"/>
        </xdr:cNvPicPr>
      </xdr:nvPicPr>
      <xdr:blipFill>
        <a:blip xmlns:r="http://schemas.openxmlformats.org/officeDocument/2006/relationships" r:embed="rId7"/>
        <a:stretch>
          <a:fillRect/>
        </a:stretch>
      </xdr:blipFill>
      <xdr:spPr>
        <a:xfrm rot="5400000">
          <a:off x="39433014" y="8728128"/>
          <a:ext cx="15145907" cy="1903741"/>
        </a:xfrm>
        <a:prstGeom prst="rect">
          <a:avLst/>
        </a:prstGeom>
      </xdr:spPr>
    </xdr:pic>
    <xdr:clientData/>
  </xdr:twoCellAnchor>
  <xdr:twoCellAnchor>
    <xdr:from>
      <xdr:col>28</xdr:col>
      <xdr:colOff>606467</xdr:colOff>
      <xdr:row>19</xdr:row>
      <xdr:rowOff>148937</xdr:rowOff>
    </xdr:from>
    <xdr:to>
      <xdr:col>29</xdr:col>
      <xdr:colOff>317578</xdr:colOff>
      <xdr:row>22</xdr:row>
      <xdr:rowOff>58882</xdr:rowOff>
    </xdr:to>
    <xdr:pic>
      <xdr:nvPicPr>
        <xdr:cNvPr id="34" name="Picture 29" descr="op">
          <a:extLst>
            <a:ext uri="{FF2B5EF4-FFF2-40B4-BE49-F238E27FC236}">
              <a16:creationId xmlns:a16="http://schemas.microsoft.com/office/drawing/2014/main" id="{86D1C671-24C7-4C3F-8F17-8CA79894F68C}"/>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45640667" y="4587587"/>
          <a:ext cx="587411" cy="538595"/>
        </a:xfrm>
        <a:prstGeom prst="rect">
          <a:avLst/>
        </a:prstGeom>
        <a:noFill/>
        <a:ln w="9525">
          <a:noFill/>
          <a:miter lim="800000"/>
          <a:headEnd/>
          <a:tailEnd/>
        </a:ln>
      </xdr:spPr>
    </xdr:pic>
    <xdr:clientData/>
  </xdr:twoCellAnchor>
  <xdr:twoCellAnchor>
    <xdr:from>
      <xdr:col>28</xdr:col>
      <xdr:colOff>488992</xdr:colOff>
      <xdr:row>32</xdr:row>
      <xdr:rowOff>121228</xdr:rowOff>
    </xdr:from>
    <xdr:to>
      <xdr:col>29</xdr:col>
      <xdr:colOff>187403</xdr:colOff>
      <xdr:row>35</xdr:row>
      <xdr:rowOff>43873</xdr:rowOff>
    </xdr:to>
    <xdr:pic>
      <xdr:nvPicPr>
        <xdr:cNvPr id="35" name="Picture 29" descr="op">
          <a:extLst>
            <a:ext uri="{FF2B5EF4-FFF2-40B4-BE49-F238E27FC236}">
              <a16:creationId xmlns:a16="http://schemas.microsoft.com/office/drawing/2014/main" id="{7D105193-9833-4CB5-971E-39F69FA74D90}"/>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45523192" y="7271328"/>
          <a:ext cx="574711" cy="551295"/>
        </a:xfrm>
        <a:prstGeom prst="rect">
          <a:avLst/>
        </a:prstGeom>
        <a:noFill/>
        <a:ln w="9525">
          <a:noFill/>
          <a:miter lim="800000"/>
          <a:headEnd/>
          <a:tailEnd/>
        </a:ln>
      </xdr:spPr>
    </xdr:pic>
    <xdr:clientData/>
  </xdr:twoCellAnchor>
  <xdr:twoCellAnchor>
    <xdr:from>
      <xdr:col>28</xdr:col>
      <xdr:colOff>809667</xdr:colOff>
      <xdr:row>67</xdr:row>
      <xdr:rowOff>27710</xdr:rowOff>
    </xdr:from>
    <xdr:to>
      <xdr:col>29</xdr:col>
      <xdr:colOff>520778</xdr:colOff>
      <xdr:row>69</xdr:row>
      <xdr:rowOff>158173</xdr:rowOff>
    </xdr:to>
    <xdr:pic>
      <xdr:nvPicPr>
        <xdr:cNvPr id="36" name="Picture 29" descr="op">
          <a:extLst>
            <a:ext uri="{FF2B5EF4-FFF2-40B4-BE49-F238E27FC236}">
              <a16:creationId xmlns:a16="http://schemas.microsoft.com/office/drawing/2014/main" id="{F23845B0-0CB5-444A-B6BD-50A48F72930A}"/>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45843867" y="14531110"/>
          <a:ext cx="587411" cy="549563"/>
        </a:xfrm>
        <a:prstGeom prst="rect">
          <a:avLst/>
        </a:prstGeom>
        <a:noFill/>
        <a:ln w="9525">
          <a:noFill/>
          <a:miter lim="800000"/>
          <a:headEnd/>
          <a:tailEnd/>
        </a:ln>
      </xdr:spPr>
    </xdr:pic>
    <xdr:clientData/>
  </xdr:twoCellAnchor>
  <xdr:twoCellAnchor>
    <xdr:from>
      <xdr:col>33</xdr:col>
      <xdr:colOff>269339</xdr:colOff>
      <xdr:row>32</xdr:row>
      <xdr:rowOff>67253</xdr:rowOff>
    </xdr:from>
    <xdr:to>
      <xdr:col>34</xdr:col>
      <xdr:colOff>31250</xdr:colOff>
      <xdr:row>34</xdr:row>
      <xdr:rowOff>180398</xdr:rowOff>
    </xdr:to>
    <xdr:pic>
      <xdr:nvPicPr>
        <xdr:cNvPr id="37" name="Picture 29" descr="op">
          <a:extLst>
            <a:ext uri="{FF2B5EF4-FFF2-40B4-BE49-F238E27FC236}">
              <a16:creationId xmlns:a16="http://schemas.microsoft.com/office/drawing/2014/main" id="{8C00B48F-1D4D-46B1-B633-3C80A0C07014}"/>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rot="11024836">
          <a:off x="48122939" y="7217353"/>
          <a:ext cx="638211" cy="532245"/>
        </a:xfrm>
        <a:prstGeom prst="rect">
          <a:avLst/>
        </a:prstGeom>
        <a:noFill/>
        <a:ln w="9525">
          <a:noFill/>
          <a:miter lim="800000"/>
          <a:headEnd/>
          <a:tailEnd/>
        </a:ln>
      </xdr:spPr>
    </xdr:pic>
    <xdr:clientData/>
  </xdr:twoCellAnchor>
  <xdr:twoCellAnchor>
    <xdr:from>
      <xdr:col>25</xdr:col>
      <xdr:colOff>519543</xdr:colOff>
      <xdr:row>135</xdr:row>
      <xdr:rowOff>38099</xdr:rowOff>
    </xdr:from>
    <xdr:to>
      <xdr:col>26</xdr:col>
      <xdr:colOff>232303</xdr:colOff>
      <xdr:row>137</xdr:row>
      <xdr:rowOff>64069</xdr:rowOff>
    </xdr:to>
    <xdr:sp macro="" textlink="">
      <xdr:nvSpPr>
        <xdr:cNvPr id="38" name="矩形 168">
          <a:extLst>
            <a:ext uri="{FF2B5EF4-FFF2-40B4-BE49-F238E27FC236}">
              <a16:creationId xmlns:a16="http://schemas.microsoft.com/office/drawing/2014/main" id="{A3C9D711-AF78-451F-BA66-371F51057301}"/>
            </a:ext>
          </a:extLst>
        </xdr:cNvPr>
        <xdr:cNvSpPr/>
      </xdr:nvSpPr>
      <xdr:spPr>
        <a:xfrm>
          <a:off x="42924843" y="28790899"/>
          <a:ext cx="589060" cy="445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6 </a:t>
          </a:r>
          <a:endParaRPr lang="zh-CN" altLang="en-US" sz="2400">
            <a:solidFill>
              <a:srgbClr val="00B0F0"/>
            </a:solidFill>
          </a:endParaRPr>
        </a:p>
      </xdr:txBody>
    </xdr:sp>
    <xdr:clientData/>
  </xdr:twoCellAnchor>
  <xdr:twoCellAnchor>
    <xdr:from>
      <xdr:col>27</xdr:col>
      <xdr:colOff>707113</xdr:colOff>
      <xdr:row>144</xdr:row>
      <xdr:rowOff>170284</xdr:rowOff>
    </xdr:from>
    <xdr:to>
      <xdr:col>28</xdr:col>
      <xdr:colOff>289869</xdr:colOff>
      <xdr:row>146</xdr:row>
      <xdr:rowOff>113692</xdr:rowOff>
    </xdr:to>
    <xdr:pic>
      <xdr:nvPicPr>
        <xdr:cNvPr id="39" name="Picture 29" descr="op">
          <a:extLst>
            <a:ext uri="{FF2B5EF4-FFF2-40B4-BE49-F238E27FC236}">
              <a16:creationId xmlns:a16="http://schemas.microsoft.com/office/drawing/2014/main" id="{F1423F4D-E343-48C6-93CE-8C4309D75F27}"/>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a:xfrm rot="16200000">
          <a:off x="44913287" y="30760760"/>
          <a:ext cx="362508" cy="459056"/>
        </a:xfrm>
        <a:prstGeom prst="rect">
          <a:avLst/>
        </a:prstGeom>
        <a:noFill/>
        <a:ln w="9525">
          <a:noFill/>
          <a:miter lim="800000"/>
          <a:headEnd/>
          <a:tailEnd/>
        </a:ln>
      </xdr:spPr>
    </xdr:pic>
    <xdr:clientData/>
  </xdr:twoCellAnchor>
  <xdr:twoCellAnchor>
    <xdr:from>
      <xdr:col>25</xdr:col>
      <xdr:colOff>610256</xdr:colOff>
      <xdr:row>122</xdr:row>
      <xdr:rowOff>199571</xdr:rowOff>
    </xdr:from>
    <xdr:to>
      <xdr:col>28</xdr:col>
      <xdr:colOff>631968</xdr:colOff>
      <xdr:row>125</xdr:row>
      <xdr:rowOff>57726</xdr:rowOff>
    </xdr:to>
    <xdr:sp macro="" textlink="">
      <xdr:nvSpPr>
        <xdr:cNvPr id="40" name="矩形 269">
          <a:extLst>
            <a:ext uri="{FF2B5EF4-FFF2-40B4-BE49-F238E27FC236}">
              <a16:creationId xmlns:a16="http://schemas.microsoft.com/office/drawing/2014/main" id="{1C8C5A3A-C7FA-4B69-AB03-0292850D73AC}"/>
            </a:ext>
          </a:extLst>
        </xdr:cNvPr>
        <xdr:cNvSpPr/>
      </xdr:nvSpPr>
      <xdr:spPr>
        <a:xfrm>
          <a:off x="43015556" y="26228221"/>
          <a:ext cx="2650612" cy="4868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de-panel </a:t>
          </a:r>
          <a:r>
            <a:rPr lang="zh-CN" altLang="en-US" sz="1800">
              <a:solidFill>
                <a:schemeClr val="tx1"/>
              </a:solidFill>
            </a:rPr>
            <a:t>：</a:t>
          </a:r>
        </a:p>
      </xdr:txBody>
    </xdr:sp>
    <xdr:clientData/>
  </xdr:twoCellAnchor>
  <xdr:twoCellAnchor>
    <xdr:from>
      <xdr:col>25</xdr:col>
      <xdr:colOff>501400</xdr:colOff>
      <xdr:row>108</xdr:row>
      <xdr:rowOff>68942</xdr:rowOff>
    </xdr:from>
    <xdr:to>
      <xdr:col>28</xdr:col>
      <xdr:colOff>523112</xdr:colOff>
      <xdr:row>110</xdr:row>
      <xdr:rowOff>148439</xdr:rowOff>
    </xdr:to>
    <xdr:sp macro="" textlink="">
      <xdr:nvSpPr>
        <xdr:cNvPr id="41" name="矩形 269">
          <a:extLst>
            <a:ext uri="{FF2B5EF4-FFF2-40B4-BE49-F238E27FC236}">
              <a16:creationId xmlns:a16="http://schemas.microsoft.com/office/drawing/2014/main" id="{79EA3A61-15CD-491D-9649-DBC068ABE5B8}"/>
            </a:ext>
          </a:extLst>
        </xdr:cNvPr>
        <xdr:cNvSpPr/>
      </xdr:nvSpPr>
      <xdr:spPr>
        <a:xfrm>
          <a:off x="42906700" y="23163892"/>
          <a:ext cx="2650612" cy="4985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ICT </a:t>
          </a:r>
          <a:r>
            <a:rPr lang="zh-CN" altLang="en-US" sz="1800">
              <a:solidFill>
                <a:schemeClr val="tx1"/>
              </a:solidFill>
            </a:rPr>
            <a:t>：</a:t>
          </a:r>
        </a:p>
      </xdr:txBody>
    </xdr:sp>
    <xdr:clientData/>
  </xdr:twoCellAnchor>
  <xdr:twoCellAnchor>
    <xdr:from>
      <xdr:col>25</xdr:col>
      <xdr:colOff>564900</xdr:colOff>
      <xdr:row>85</xdr:row>
      <xdr:rowOff>61684</xdr:rowOff>
    </xdr:from>
    <xdr:to>
      <xdr:col>28</xdr:col>
      <xdr:colOff>586612</xdr:colOff>
      <xdr:row>87</xdr:row>
      <xdr:rowOff>141182</xdr:rowOff>
    </xdr:to>
    <xdr:sp macro="" textlink="">
      <xdr:nvSpPr>
        <xdr:cNvPr id="42" name="矩形 269">
          <a:extLst>
            <a:ext uri="{FF2B5EF4-FFF2-40B4-BE49-F238E27FC236}">
              <a16:creationId xmlns:a16="http://schemas.microsoft.com/office/drawing/2014/main" id="{EFBCFD56-2037-4AAE-BBEB-3FB876BBA718}"/>
            </a:ext>
          </a:extLst>
        </xdr:cNvPr>
        <xdr:cNvSpPr/>
      </xdr:nvSpPr>
      <xdr:spPr>
        <a:xfrm>
          <a:off x="42970200" y="18336984"/>
          <a:ext cx="2650612" cy="4985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AXI </a:t>
          </a:r>
          <a:r>
            <a:rPr lang="zh-CN" altLang="en-US" sz="1800">
              <a:solidFill>
                <a:schemeClr val="tx1"/>
              </a:solidFill>
            </a:rPr>
            <a:t>：</a:t>
          </a:r>
        </a:p>
      </xdr:txBody>
    </xdr:sp>
    <xdr:clientData/>
  </xdr:twoCellAnchor>
  <xdr:twoCellAnchor>
    <xdr:from>
      <xdr:col>28</xdr:col>
      <xdr:colOff>530267</xdr:colOff>
      <xdr:row>37</xdr:row>
      <xdr:rowOff>83128</xdr:rowOff>
    </xdr:from>
    <xdr:to>
      <xdr:col>29</xdr:col>
      <xdr:colOff>228678</xdr:colOff>
      <xdr:row>40</xdr:row>
      <xdr:rowOff>5773</xdr:rowOff>
    </xdr:to>
    <xdr:pic>
      <xdr:nvPicPr>
        <xdr:cNvPr id="43" name="Picture 29" descr="op">
          <a:extLst>
            <a:ext uri="{FF2B5EF4-FFF2-40B4-BE49-F238E27FC236}">
              <a16:creationId xmlns:a16="http://schemas.microsoft.com/office/drawing/2014/main" id="{C97E4C0E-2E0F-4360-94E4-4861884B802A}"/>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45564467" y="8280978"/>
          <a:ext cx="574711" cy="551295"/>
        </a:xfrm>
        <a:prstGeom prst="rect">
          <a:avLst/>
        </a:prstGeom>
        <a:noFill/>
        <a:ln w="9525">
          <a:noFill/>
          <a:miter lim="800000"/>
          <a:headEnd/>
          <a:tailEnd/>
        </a:ln>
      </xdr:spPr>
    </xdr:pic>
    <xdr:clientData/>
  </xdr:twoCellAnchor>
  <xdr:twoCellAnchor>
    <xdr:from>
      <xdr:col>25</xdr:col>
      <xdr:colOff>654335</xdr:colOff>
      <xdr:row>137</xdr:row>
      <xdr:rowOff>134496</xdr:rowOff>
    </xdr:from>
    <xdr:to>
      <xdr:col>36</xdr:col>
      <xdr:colOff>499294</xdr:colOff>
      <xdr:row>150</xdr:row>
      <xdr:rowOff>63777</xdr:rowOff>
    </xdr:to>
    <xdr:sp macro="" textlink="">
      <xdr:nvSpPr>
        <xdr:cNvPr id="44" name="矩形 167">
          <a:extLst>
            <a:ext uri="{FF2B5EF4-FFF2-40B4-BE49-F238E27FC236}">
              <a16:creationId xmlns:a16="http://schemas.microsoft.com/office/drawing/2014/main" id="{EEEA6621-8AA7-4B42-840E-B749EC8F2A93}"/>
            </a:ext>
          </a:extLst>
        </xdr:cNvPr>
        <xdr:cNvSpPr/>
      </xdr:nvSpPr>
      <xdr:spPr>
        <a:xfrm>
          <a:off x="43059635" y="29306396"/>
          <a:ext cx="7922159" cy="2653431"/>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26</xdr:col>
      <xdr:colOff>2839</xdr:colOff>
      <xdr:row>137</xdr:row>
      <xdr:rowOff>174015</xdr:rowOff>
    </xdr:from>
    <xdr:to>
      <xdr:col>29</xdr:col>
      <xdr:colOff>21375</xdr:colOff>
      <xdr:row>140</xdr:row>
      <xdr:rowOff>39345</xdr:rowOff>
    </xdr:to>
    <xdr:sp macro="" textlink="">
      <xdr:nvSpPr>
        <xdr:cNvPr id="45" name="矩形 269">
          <a:extLst>
            <a:ext uri="{FF2B5EF4-FFF2-40B4-BE49-F238E27FC236}">
              <a16:creationId xmlns:a16="http://schemas.microsoft.com/office/drawing/2014/main" id="{A57DBA6D-E589-4AE2-80FE-35E24140BF54}"/>
            </a:ext>
          </a:extLst>
        </xdr:cNvPr>
        <xdr:cNvSpPr/>
      </xdr:nvSpPr>
      <xdr:spPr>
        <a:xfrm>
          <a:off x="43284439" y="29345915"/>
          <a:ext cx="2647436" cy="4939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FVT </a:t>
          </a:r>
          <a:r>
            <a:rPr lang="zh-CN" altLang="en-US" sz="1800">
              <a:solidFill>
                <a:schemeClr val="tx1"/>
              </a:solidFill>
            </a:rPr>
            <a:t>：</a:t>
          </a:r>
        </a:p>
      </xdr:txBody>
    </xdr:sp>
    <xdr:clientData/>
  </xdr:twoCellAnchor>
  <xdr:twoCellAnchor>
    <xdr:from>
      <xdr:col>26</xdr:col>
      <xdr:colOff>214695</xdr:colOff>
      <xdr:row>140</xdr:row>
      <xdr:rowOff>96678</xdr:rowOff>
    </xdr:from>
    <xdr:to>
      <xdr:col>30</xdr:col>
      <xdr:colOff>18711</xdr:colOff>
      <xdr:row>145</xdr:row>
      <xdr:rowOff>187609</xdr:rowOff>
    </xdr:to>
    <xdr:grpSp>
      <xdr:nvGrpSpPr>
        <xdr:cNvPr id="46" name="组合 45">
          <a:extLst>
            <a:ext uri="{FF2B5EF4-FFF2-40B4-BE49-F238E27FC236}">
              <a16:creationId xmlns:a16="http://schemas.microsoft.com/office/drawing/2014/main" id="{F1EA7DA5-9E7A-427B-ACF7-92C12A213E1B}"/>
            </a:ext>
          </a:extLst>
        </xdr:cNvPr>
        <xdr:cNvGrpSpPr/>
      </xdr:nvGrpSpPr>
      <xdr:grpSpPr>
        <a:xfrm>
          <a:off x="43497668" y="29435394"/>
          <a:ext cx="3305097" cy="1120661"/>
          <a:chOff x="38947890" y="32553727"/>
          <a:chExt cx="3313545" cy="1243909"/>
        </a:xfrm>
      </xdr:grpSpPr>
      <xdr:pic>
        <xdr:nvPicPr>
          <xdr:cNvPr id="47" name="图片 46">
            <a:extLst>
              <a:ext uri="{FF2B5EF4-FFF2-40B4-BE49-F238E27FC236}">
                <a16:creationId xmlns:a16="http://schemas.microsoft.com/office/drawing/2014/main" id="{84D202D7-8F01-ABEF-A347-8971DB153EF8}"/>
              </a:ext>
            </a:extLst>
          </xdr:cNvPr>
          <xdr:cNvPicPr>
            <a:picLocks noChangeAspect="1"/>
          </xdr:cNvPicPr>
        </xdr:nvPicPr>
        <xdr:blipFill>
          <a:blip xmlns:r="http://schemas.openxmlformats.org/officeDocument/2006/relationships" r:embed="rId8"/>
          <a:stretch>
            <a:fillRect/>
          </a:stretch>
        </xdr:blipFill>
        <xdr:spPr>
          <a:xfrm>
            <a:off x="38947890" y="32553727"/>
            <a:ext cx="3313545" cy="1243909"/>
          </a:xfrm>
          <a:prstGeom prst="rect">
            <a:avLst/>
          </a:prstGeom>
        </xdr:spPr>
      </xdr:pic>
      <xdr:sp macro="" textlink="">
        <xdr:nvSpPr>
          <xdr:cNvPr id="48" name="矩形 47">
            <a:extLst>
              <a:ext uri="{FF2B5EF4-FFF2-40B4-BE49-F238E27FC236}">
                <a16:creationId xmlns:a16="http://schemas.microsoft.com/office/drawing/2014/main" id="{C797AD48-8421-5720-9833-39B276DD45A3}"/>
              </a:ext>
            </a:extLst>
          </xdr:cNvPr>
          <xdr:cNvSpPr/>
        </xdr:nvSpPr>
        <xdr:spPr>
          <a:xfrm>
            <a:off x="40095714" y="32886469"/>
            <a:ext cx="920880" cy="490479"/>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400">
                <a:solidFill>
                  <a:sysClr val="windowText" lastClr="000000"/>
                </a:solidFill>
              </a:rPr>
              <a:t>FVT</a:t>
            </a:r>
            <a:endParaRPr lang="zh-CN" altLang="en-US" sz="1400">
              <a:solidFill>
                <a:sysClr val="windowText" lastClr="000000"/>
              </a:solidFill>
            </a:endParaRPr>
          </a:p>
        </xdr:txBody>
      </xdr:sp>
    </xdr:grpSp>
    <xdr:clientData/>
  </xdr:twoCellAnchor>
  <xdr:twoCellAnchor>
    <xdr:from>
      <xdr:col>28</xdr:col>
      <xdr:colOff>0</xdr:colOff>
      <xdr:row>72</xdr:row>
      <xdr:rowOff>0</xdr:rowOff>
    </xdr:from>
    <xdr:to>
      <xdr:col>30</xdr:col>
      <xdr:colOff>106102</xdr:colOff>
      <xdr:row>75</xdr:row>
      <xdr:rowOff>127289</xdr:rowOff>
    </xdr:to>
    <xdr:sp macro="" textlink="">
      <xdr:nvSpPr>
        <xdr:cNvPr id="49" name="矩形 48">
          <a:extLst>
            <a:ext uri="{FF2B5EF4-FFF2-40B4-BE49-F238E27FC236}">
              <a16:creationId xmlns:a16="http://schemas.microsoft.com/office/drawing/2014/main" id="{BEA9D159-6E66-485C-9966-93928A11969F}"/>
            </a:ext>
          </a:extLst>
        </xdr:cNvPr>
        <xdr:cNvSpPr/>
      </xdr:nvSpPr>
      <xdr:spPr>
        <a:xfrm>
          <a:off x="45034200" y="15551150"/>
          <a:ext cx="1858702" cy="7559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Manpower*0.5</a:t>
          </a:r>
          <a:endParaRPr lang="zh-CN" altLang="en-US" sz="1800">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74476</xdr:colOff>
      <xdr:row>1</xdr:row>
      <xdr:rowOff>71723</xdr:rowOff>
    </xdr:from>
    <xdr:to>
      <xdr:col>2</xdr:col>
      <xdr:colOff>522817</xdr:colOff>
      <xdr:row>8</xdr:row>
      <xdr:rowOff>56114</xdr:rowOff>
    </xdr:to>
    <xdr:pic>
      <xdr:nvPicPr>
        <xdr:cNvPr id="2" name="Picture 6">
          <a:extLst>
            <a:ext uri="{FF2B5EF4-FFF2-40B4-BE49-F238E27FC236}">
              <a16:creationId xmlns:a16="http://schemas.microsoft.com/office/drawing/2014/main" id="{3816B3B7-6519-415D-B67C-5EE954B7416C}"/>
            </a:ext>
          </a:extLst>
        </xdr:cNvPr>
        <xdr:cNvPicPr>
          <a:picLocks noChangeAspect="1"/>
        </xdr:cNvPicPr>
      </xdr:nvPicPr>
      <xdr:blipFill>
        <a:blip xmlns:r="http://schemas.openxmlformats.org/officeDocument/2006/relationships" r:embed="rId1"/>
        <a:stretch>
          <a:fillRect/>
        </a:stretch>
      </xdr:blipFill>
      <xdr:spPr>
        <a:xfrm>
          <a:off x="207826" y="230473"/>
          <a:ext cx="1064291" cy="1463941"/>
        </a:xfrm>
        <a:prstGeom prst="rect">
          <a:avLst/>
        </a:prstGeom>
      </xdr:spPr>
    </xdr:pic>
    <xdr:clientData/>
  </xdr:twoCellAnchor>
  <xdr:twoCellAnchor>
    <xdr:from>
      <xdr:col>24</xdr:col>
      <xdr:colOff>102972</xdr:colOff>
      <xdr:row>2</xdr:row>
      <xdr:rowOff>17162</xdr:rowOff>
    </xdr:from>
    <xdr:to>
      <xdr:col>37</xdr:col>
      <xdr:colOff>806620</xdr:colOff>
      <xdr:row>219</xdr:row>
      <xdr:rowOff>129477</xdr:rowOff>
    </xdr:to>
    <xdr:sp macro="" textlink="">
      <xdr:nvSpPr>
        <xdr:cNvPr id="3" name="AutoShape 125">
          <a:extLst>
            <a:ext uri="{FF2B5EF4-FFF2-40B4-BE49-F238E27FC236}">
              <a16:creationId xmlns:a16="http://schemas.microsoft.com/office/drawing/2014/main" id="{8A5F8A96-1C71-464E-B62A-E0B427142AAB}"/>
            </a:ext>
          </a:extLst>
        </xdr:cNvPr>
        <xdr:cNvSpPr>
          <a:spLocks noChangeArrowheads="1"/>
        </xdr:cNvSpPr>
      </xdr:nvSpPr>
      <xdr:spPr bwMode="auto">
        <a:xfrm>
          <a:off x="41631972" y="252112"/>
          <a:ext cx="10533448" cy="45883115"/>
        </a:xfrm>
        <a:prstGeom prst="roundRect">
          <a:avLst>
            <a:gd name="adj" fmla="val 4019"/>
          </a:avLst>
        </a:prstGeom>
        <a:noFill/>
        <a:ln w="3175">
          <a:solidFill>
            <a:srgbClr val="000000"/>
          </a:solidFill>
          <a:round/>
          <a:headEnd/>
          <a:tailEnd/>
        </a:ln>
      </xdr:spPr>
    </xdr:sp>
    <xdr:clientData/>
  </xdr:twoCellAnchor>
  <xdr:twoCellAnchor>
    <xdr:from>
      <xdr:col>24</xdr:col>
      <xdr:colOff>158752</xdr:colOff>
      <xdr:row>3</xdr:row>
      <xdr:rowOff>86176</xdr:rowOff>
    </xdr:from>
    <xdr:to>
      <xdr:col>37</xdr:col>
      <xdr:colOff>431800</xdr:colOff>
      <xdr:row>5</xdr:row>
      <xdr:rowOff>101599</xdr:rowOff>
    </xdr:to>
    <xdr:sp macro="" textlink="">
      <xdr:nvSpPr>
        <xdr:cNvPr id="4" name="AutoShape 125">
          <a:extLst>
            <a:ext uri="{FF2B5EF4-FFF2-40B4-BE49-F238E27FC236}">
              <a16:creationId xmlns:a16="http://schemas.microsoft.com/office/drawing/2014/main" id="{5839DFD0-380F-4797-9EC7-8197582340A4}"/>
            </a:ext>
          </a:extLst>
        </xdr:cNvPr>
        <xdr:cNvSpPr>
          <a:spLocks noChangeArrowheads="1"/>
        </xdr:cNvSpPr>
      </xdr:nvSpPr>
      <xdr:spPr bwMode="auto">
        <a:xfrm>
          <a:off x="41687752" y="676726"/>
          <a:ext cx="10102848" cy="434523"/>
        </a:xfrm>
        <a:prstGeom prst="roundRect">
          <a:avLst>
            <a:gd name="adj" fmla="val 28919"/>
          </a:avLst>
        </a:prstGeom>
        <a:solidFill>
          <a:schemeClr val="bg1">
            <a:lumMod val="65000"/>
          </a:schemeClr>
        </a:solidFill>
        <a:ln w="3175">
          <a:solidFill>
            <a:srgbClr val="000000"/>
          </a:solidFill>
          <a:round/>
          <a:headEnd/>
          <a:tailEnd/>
        </a:ln>
      </xdr:spPr>
      <xdr:txBody>
        <a:bodyPr/>
        <a:lstStyle/>
        <a:p>
          <a:pPr algn="ctr"/>
          <a:r>
            <a:rPr lang="en-US" sz="1600">
              <a:latin typeface="Arial" panose="020B0604020202020204" pitchFamily="34" charset="0"/>
              <a:cs typeface="Arial" panose="020B0604020202020204" pitchFamily="34" charset="0"/>
            </a:rPr>
            <a:t>Layout</a:t>
          </a:r>
        </a:p>
      </xdr:txBody>
    </xdr:sp>
    <xdr:clientData/>
  </xdr:twoCellAnchor>
  <xdr:twoCellAnchor>
    <xdr:from>
      <xdr:col>24</xdr:col>
      <xdr:colOff>623457</xdr:colOff>
      <xdr:row>89</xdr:row>
      <xdr:rowOff>3591</xdr:rowOff>
    </xdr:from>
    <xdr:to>
      <xdr:col>25</xdr:col>
      <xdr:colOff>570926</xdr:colOff>
      <xdr:row>90</xdr:row>
      <xdr:rowOff>177517</xdr:rowOff>
    </xdr:to>
    <xdr:sp macro="" textlink="">
      <xdr:nvSpPr>
        <xdr:cNvPr id="5" name="矩形 264">
          <a:extLst>
            <a:ext uri="{FF2B5EF4-FFF2-40B4-BE49-F238E27FC236}">
              <a16:creationId xmlns:a16="http://schemas.microsoft.com/office/drawing/2014/main" id="{5CD83C41-FAA1-4101-8707-5F44CD68EC1E}"/>
            </a:ext>
          </a:extLst>
        </xdr:cNvPr>
        <xdr:cNvSpPr/>
      </xdr:nvSpPr>
      <xdr:spPr>
        <a:xfrm>
          <a:off x="42152457" y="19123441"/>
          <a:ext cx="823769" cy="3834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 </a:t>
          </a:r>
          <a:endParaRPr lang="zh-CN" altLang="en-US" sz="2400">
            <a:solidFill>
              <a:srgbClr val="00B0F0"/>
            </a:solidFill>
          </a:endParaRPr>
        </a:p>
      </xdr:txBody>
    </xdr:sp>
    <xdr:clientData/>
  </xdr:twoCellAnchor>
  <xdr:twoCellAnchor>
    <xdr:from>
      <xdr:col>25</xdr:col>
      <xdr:colOff>127000</xdr:colOff>
      <xdr:row>84</xdr:row>
      <xdr:rowOff>168690</xdr:rowOff>
    </xdr:from>
    <xdr:to>
      <xdr:col>26</xdr:col>
      <xdr:colOff>74469</xdr:colOff>
      <xdr:row>86</xdr:row>
      <xdr:rowOff>126716</xdr:rowOff>
    </xdr:to>
    <xdr:sp macro="" textlink="">
      <xdr:nvSpPr>
        <xdr:cNvPr id="6" name="矩形 264">
          <a:extLst>
            <a:ext uri="{FF2B5EF4-FFF2-40B4-BE49-F238E27FC236}">
              <a16:creationId xmlns:a16="http://schemas.microsoft.com/office/drawing/2014/main" id="{5606176A-4E8E-4798-A58E-7CE2AD21020F}"/>
            </a:ext>
          </a:extLst>
        </xdr:cNvPr>
        <xdr:cNvSpPr/>
      </xdr:nvSpPr>
      <xdr:spPr>
        <a:xfrm>
          <a:off x="42532300" y="18240790"/>
          <a:ext cx="823769" cy="3771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 </a:t>
          </a:r>
          <a:endParaRPr lang="zh-CN" altLang="en-US" sz="2400">
            <a:solidFill>
              <a:srgbClr val="00B0F0"/>
            </a:solidFill>
          </a:endParaRPr>
        </a:p>
      </xdr:txBody>
    </xdr:sp>
    <xdr:clientData/>
  </xdr:twoCellAnchor>
  <xdr:twoCellAnchor>
    <xdr:from>
      <xdr:col>25</xdr:col>
      <xdr:colOff>341745</xdr:colOff>
      <xdr:row>9</xdr:row>
      <xdr:rowOff>155864</xdr:rowOff>
    </xdr:from>
    <xdr:to>
      <xdr:col>36</xdr:col>
      <xdr:colOff>783068</xdr:colOff>
      <xdr:row>81</xdr:row>
      <xdr:rowOff>14146</xdr:rowOff>
    </xdr:to>
    <xdr:sp macro="" textlink="">
      <xdr:nvSpPr>
        <xdr:cNvPr id="7" name="矩形 6">
          <a:extLst>
            <a:ext uri="{FF2B5EF4-FFF2-40B4-BE49-F238E27FC236}">
              <a16:creationId xmlns:a16="http://schemas.microsoft.com/office/drawing/2014/main" id="{44AF218A-C230-477B-97B0-4C079D1D1206}"/>
            </a:ext>
          </a:extLst>
        </xdr:cNvPr>
        <xdr:cNvSpPr/>
      </xdr:nvSpPr>
      <xdr:spPr>
        <a:xfrm>
          <a:off x="42747045" y="1984664"/>
          <a:ext cx="8518523" cy="15472932"/>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26</xdr:col>
      <xdr:colOff>444137</xdr:colOff>
      <xdr:row>11</xdr:row>
      <xdr:rowOff>527741</xdr:rowOff>
    </xdr:from>
    <xdr:to>
      <xdr:col>26</xdr:col>
      <xdr:colOff>593679</xdr:colOff>
      <xdr:row>20</xdr:row>
      <xdr:rowOff>116137</xdr:rowOff>
    </xdr:to>
    <xdr:sp macro="" textlink="">
      <xdr:nvSpPr>
        <xdr:cNvPr id="8" name="下箭头 111">
          <a:extLst>
            <a:ext uri="{FF2B5EF4-FFF2-40B4-BE49-F238E27FC236}">
              <a16:creationId xmlns:a16="http://schemas.microsoft.com/office/drawing/2014/main" id="{FC3039CB-486C-45A8-B7B9-DFE8BF5C90C9}"/>
            </a:ext>
          </a:extLst>
        </xdr:cNvPr>
        <xdr:cNvSpPr/>
      </xdr:nvSpPr>
      <xdr:spPr>
        <a:xfrm>
          <a:off x="43725737" y="2775641"/>
          <a:ext cx="149542" cy="198869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26</xdr:col>
      <xdr:colOff>109205</xdr:colOff>
      <xdr:row>11</xdr:row>
      <xdr:rowOff>60256</xdr:rowOff>
    </xdr:from>
    <xdr:to>
      <xdr:col>28</xdr:col>
      <xdr:colOff>215307</xdr:colOff>
      <xdr:row>11</xdr:row>
      <xdr:rowOff>618601</xdr:rowOff>
    </xdr:to>
    <xdr:sp macro="" textlink="">
      <xdr:nvSpPr>
        <xdr:cNvPr id="9" name="矩形 8">
          <a:extLst>
            <a:ext uri="{FF2B5EF4-FFF2-40B4-BE49-F238E27FC236}">
              <a16:creationId xmlns:a16="http://schemas.microsoft.com/office/drawing/2014/main" id="{5F2CBE9E-FDCE-418E-AC95-690C7538ACDD}"/>
            </a:ext>
          </a:extLst>
        </xdr:cNvPr>
        <xdr:cNvSpPr/>
      </xdr:nvSpPr>
      <xdr:spPr>
        <a:xfrm>
          <a:off x="43390805" y="2308156"/>
          <a:ext cx="1858702" cy="5583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Side-B</a:t>
          </a:r>
          <a:endParaRPr lang="zh-CN" altLang="en-US" sz="1800">
            <a:solidFill>
              <a:schemeClr val="tx1"/>
            </a:solidFill>
          </a:endParaRPr>
        </a:p>
      </xdr:txBody>
    </xdr:sp>
    <xdr:clientData/>
  </xdr:twoCellAnchor>
  <xdr:twoCellAnchor>
    <xdr:from>
      <xdr:col>27</xdr:col>
      <xdr:colOff>39585</xdr:colOff>
      <xdr:row>17</xdr:row>
      <xdr:rowOff>185018</xdr:rowOff>
    </xdr:from>
    <xdr:to>
      <xdr:col>29</xdr:col>
      <xdr:colOff>145687</xdr:colOff>
      <xdr:row>21</xdr:row>
      <xdr:rowOff>104489</xdr:rowOff>
    </xdr:to>
    <xdr:sp macro="" textlink="">
      <xdr:nvSpPr>
        <xdr:cNvPr id="10" name="矩形 9">
          <a:extLst>
            <a:ext uri="{FF2B5EF4-FFF2-40B4-BE49-F238E27FC236}">
              <a16:creationId xmlns:a16="http://schemas.microsoft.com/office/drawing/2014/main" id="{7C2668B4-5373-43FE-8B77-462ED60BBC24}"/>
            </a:ext>
          </a:extLst>
        </xdr:cNvPr>
        <xdr:cNvSpPr/>
      </xdr:nvSpPr>
      <xdr:spPr>
        <a:xfrm>
          <a:off x="44197485" y="4204568"/>
          <a:ext cx="1858702" cy="757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Manpower*0.8</a:t>
          </a:r>
          <a:endParaRPr lang="zh-CN" altLang="en-US" sz="1800">
            <a:solidFill>
              <a:schemeClr val="tx1"/>
            </a:solidFill>
          </a:endParaRPr>
        </a:p>
      </xdr:txBody>
    </xdr:sp>
    <xdr:clientData/>
  </xdr:twoCellAnchor>
  <xdr:twoCellAnchor>
    <xdr:from>
      <xdr:col>25</xdr:col>
      <xdr:colOff>479467</xdr:colOff>
      <xdr:row>7</xdr:row>
      <xdr:rowOff>101600</xdr:rowOff>
    </xdr:from>
    <xdr:to>
      <xdr:col>26</xdr:col>
      <xdr:colOff>424627</xdr:colOff>
      <xdr:row>9</xdr:row>
      <xdr:rowOff>107832</xdr:rowOff>
    </xdr:to>
    <xdr:sp macro="" textlink="">
      <xdr:nvSpPr>
        <xdr:cNvPr id="11" name="矩形 10">
          <a:extLst>
            <a:ext uri="{FF2B5EF4-FFF2-40B4-BE49-F238E27FC236}">
              <a16:creationId xmlns:a16="http://schemas.microsoft.com/office/drawing/2014/main" id="{8D3C77E8-19E4-41B4-8F18-FE63F24ACADE}"/>
            </a:ext>
          </a:extLst>
        </xdr:cNvPr>
        <xdr:cNvSpPr/>
      </xdr:nvSpPr>
      <xdr:spPr>
        <a:xfrm>
          <a:off x="42884767" y="1530350"/>
          <a:ext cx="821460" cy="4062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1/2 </a:t>
          </a:r>
          <a:endParaRPr lang="zh-CN" altLang="en-US" sz="2400">
            <a:solidFill>
              <a:srgbClr val="00B0F0"/>
            </a:solidFill>
          </a:endParaRPr>
        </a:p>
      </xdr:txBody>
    </xdr:sp>
    <xdr:clientData/>
  </xdr:twoCellAnchor>
  <xdr:twoCellAnchor>
    <xdr:from>
      <xdr:col>25</xdr:col>
      <xdr:colOff>447138</xdr:colOff>
      <xdr:row>85</xdr:row>
      <xdr:rowOff>121808</xdr:rowOff>
    </xdr:from>
    <xdr:to>
      <xdr:col>37</xdr:col>
      <xdr:colOff>80281</xdr:colOff>
      <xdr:row>104</xdr:row>
      <xdr:rowOff>42723</xdr:rowOff>
    </xdr:to>
    <xdr:sp macro="" textlink="">
      <xdr:nvSpPr>
        <xdr:cNvPr id="12" name="矩形 11">
          <a:extLst>
            <a:ext uri="{FF2B5EF4-FFF2-40B4-BE49-F238E27FC236}">
              <a16:creationId xmlns:a16="http://schemas.microsoft.com/office/drawing/2014/main" id="{FE8A80B3-D43C-41F5-8C70-AE09E9166E46}"/>
            </a:ext>
          </a:extLst>
        </xdr:cNvPr>
        <xdr:cNvSpPr/>
      </xdr:nvSpPr>
      <xdr:spPr>
        <a:xfrm>
          <a:off x="42852438" y="18403458"/>
          <a:ext cx="8586643" cy="3902365"/>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25</xdr:col>
      <xdr:colOff>533153</xdr:colOff>
      <xdr:row>86</xdr:row>
      <xdr:rowOff>90347</xdr:rowOff>
    </xdr:from>
    <xdr:to>
      <xdr:col>27</xdr:col>
      <xdr:colOff>629441</xdr:colOff>
      <xdr:row>90</xdr:row>
      <xdr:rowOff>43876</xdr:rowOff>
    </xdr:to>
    <xdr:sp macro="" textlink="">
      <xdr:nvSpPr>
        <xdr:cNvPr id="13" name="矩形 12">
          <a:extLst>
            <a:ext uri="{FF2B5EF4-FFF2-40B4-BE49-F238E27FC236}">
              <a16:creationId xmlns:a16="http://schemas.microsoft.com/office/drawing/2014/main" id="{5F3B2EF2-025C-432C-ABE9-F9872C9D2B96}"/>
            </a:ext>
          </a:extLst>
        </xdr:cNvPr>
        <xdr:cNvSpPr/>
      </xdr:nvSpPr>
      <xdr:spPr>
        <a:xfrm>
          <a:off x="42938453" y="18581547"/>
          <a:ext cx="1848888" cy="7917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Manpower*0.5</a:t>
          </a:r>
          <a:endParaRPr lang="zh-CN" altLang="en-US" sz="1800">
            <a:solidFill>
              <a:schemeClr val="tx1"/>
            </a:solidFill>
          </a:endParaRPr>
        </a:p>
      </xdr:txBody>
    </xdr:sp>
    <xdr:clientData/>
  </xdr:twoCellAnchor>
  <xdr:twoCellAnchor>
    <xdr:from>
      <xdr:col>25</xdr:col>
      <xdr:colOff>716148</xdr:colOff>
      <xdr:row>97</xdr:row>
      <xdr:rowOff>4</xdr:rowOff>
    </xdr:from>
    <xdr:to>
      <xdr:col>27</xdr:col>
      <xdr:colOff>822250</xdr:colOff>
      <xdr:row>100</xdr:row>
      <xdr:rowOff>126715</xdr:rowOff>
    </xdr:to>
    <xdr:sp macro="" textlink="">
      <xdr:nvSpPr>
        <xdr:cNvPr id="14" name="矩形 13">
          <a:extLst>
            <a:ext uri="{FF2B5EF4-FFF2-40B4-BE49-F238E27FC236}">
              <a16:creationId xmlns:a16="http://schemas.microsoft.com/office/drawing/2014/main" id="{0E29BD43-57E8-4AB6-B6C2-9B050951DCCF}"/>
            </a:ext>
          </a:extLst>
        </xdr:cNvPr>
        <xdr:cNvSpPr/>
      </xdr:nvSpPr>
      <xdr:spPr>
        <a:xfrm>
          <a:off x="43121448" y="20796254"/>
          <a:ext cx="1858702" cy="7553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Manpower*0.5</a:t>
          </a:r>
          <a:endParaRPr lang="zh-CN" altLang="en-US" sz="1800">
            <a:solidFill>
              <a:schemeClr val="tx1"/>
            </a:solidFill>
          </a:endParaRPr>
        </a:p>
      </xdr:txBody>
    </xdr:sp>
    <xdr:clientData/>
  </xdr:twoCellAnchor>
  <xdr:twoCellAnchor>
    <xdr:from>
      <xdr:col>25</xdr:col>
      <xdr:colOff>463013</xdr:colOff>
      <xdr:row>108</xdr:row>
      <xdr:rowOff>57452</xdr:rowOff>
    </xdr:from>
    <xdr:to>
      <xdr:col>37</xdr:col>
      <xdr:colOff>77107</xdr:colOff>
      <xdr:row>119</xdr:row>
      <xdr:rowOff>53499</xdr:rowOff>
    </xdr:to>
    <xdr:sp macro="" textlink="">
      <xdr:nvSpPr>
        <xdr:cNvPr id="15" name="矩形 14">
          <a:extLst>
            <a:ext uri="{FF2B5EF4-FFF2-40B4-BE49-F238E27FC236}">
              <a16:creationId xmlns:a16="http://schemas.microsoft.com/office/drawing/2014/main" id="{2FC52D72-C6C0-4D33-9D7F-C259367D1975}"/>
            </a:ext>
          </a:extLst>
        </xdr:cNvPr>
        <xdr:cNvSpPr/>
      </xdr:nvSpPr>
      <xdr:spPr>
        <a:xfrm>
          <a:off x="42868313" y="23158752"/>
          <a:ext cx="8567594" cy="2301097"/>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25</xdr:col>
      <xdr:colOff>349003</xdr:colOff>
      <xdr:row>105</xdr:row>
      <xdr:rowOff>185317</xdr:rowOff>
    </xdr:from>
    <xdr:to>
      <xdr:col>26</xdr:col>
      <xdr:colOff>294163</xdr:colOff>
      <xdr:row>107</xdr:row>
      <xdr:rowOff>124583</xdr:rowOff>
    </xdr:to>
    <xdr:sp macro="" textlink="">
      <xdr:nvSpPr>
        <xdr:cNvPr id="16" name="矩形 15">
          <a:extLst>
            <a:ext uri="{FF2B5EF4-FFF2-40B4-BE49-F238E27FC236}">
              <a16:creationId xmlns:a16="http://schemas.microsoft.com/office/drawing/2014/main" id="{7C90B472-D2D7-4E1C-B479-1450AA3FA90A}"/>
            </a:ext>
          </a:extLst>
        </xdr:cNvPr>
        <xdr:cNvSpPr/>
      </xdr:nvSpPr>
      <xdr:spPr>
        <a:xfrm>
          <a:off x="42754303" y="22657967"/>
          <a:ext cx="821460" cy="3583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4 </a:t>
          </a:r>
          <a:endParaRPr lang="zh-CN" altLang="en-US" sz="2400">
            <a:solidFill>
              <a:srgbClr val="00B0F0"/>
            </a:solidFill>
          </a:endParaRPr>
        </a:p>
      </xdr:txBody>
    </xdr:sp>
    <xdr:clientData/>
  </xdr:twoCellAnchor>
  <xdr:twoCellAnchor>
    <xdr:from>
      <xdr:col>25</xdr:col>
      <xdr:colOff>450313</xdr:colOff>
      <xdr:row>122</xdr:row>
      <xdr:rowOff>137106</xdr:rowOff>
    </xdr:from>
    <xdr:to>
      <xdr:col>37</xdr:col>
      <xdr:colOff>77106</xdr:colOff>
      <xdr:row>132</xdr:row>
      <xdr:rowOff>200606</xdr:rowOff>
    </xdr:to>
    <xdr:sp macro="" textlink="">
      <xdr:nvSpPr>
        <xdr:cNvPr id="17" name="矩形 16">
          <a:extLst>
            <a:ext uri="{FF2B5EF4-FFF2-40B4-BE49-F238E27FC236}">
              <a16:creationId xmlns:a16="http://schemas.microsoft.com/office/drawing/2014/main" id="{AC1731D2-10AB-45A5-8069-013BC6AE0265}"/>
            </a:ext>
          </a:extLst>
        </xdr:cNvPr>
        <xdr:cNvSpPr/>
      </xdr:nvSpPr>
      <xdr:spPr>
        <a:xfrm>
          <a:off x="42855613" y="26172106"/>
          <a:ext cx="8580293" cy="2159000"/>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25</xdr:col>
      <xdr:colOff>402978</xdr:colOff>
      <xdr:row>120</xdr:row>
      <xdr:rowOff>55420</xdr:rowOff>
    </xdr:from>
    <xdr:to>
      <xdr:col>26</xdr:col>
      <xdr:colOff>360838</xdr:colOff>
      <xdr:row>122</xdr:row>
      <xdr:rowOff>5653</xdr:rowOff>
    </xdr:to>
    <xdr:sp macro="" textlink="">
      <xdr:nvSpPr>
        <xdr:cNvPr id="18" name="矩形 17">
          <a:extLst>
            <a:ext uri="{FF2B5EF4-FFF2-40B4-BE49-F238E27FC236}">
              <a16:creationId xmlns:a16="http://schemas.microsoft.com/office/drawing/2014/main" id="{1098E68D-EA80-49AB-99DF-DAE16B4CE2AB}"/>
            </a:ext>
          </a:extLst>
        </xdr:cNvPr>
        <xdr:cNvSpPr/>
      </xdr:nvSpPr>
      <xdr:spPr>
        <a:xfrm>
          <a:off x="42808278" y="25671320"/>
          <a:ext cx="834160" cy="3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5</a:t>
          </a:r>
          <a:endParaRPr lang="zh-CN" altLang="en-US" sz="2400">
            <a:solidFill>
              <a:srgbClr val="00B0F0"/>
            </a:solidFill>
          </a:endParaRPr>
        </a:p>
      </xdr:txBody>
    </xdr:sp>
    <xdr:clientData/>
  </xdr:twoCellAnchor>
  <xdr:twoCellAnchor>
    <xdr:from>
      <xdr:col>27</xdr:col>
      <xdr:colOff>458352</xdr:colOff>
      <xdr:row>116</xdr:row>
      <xdr:rowOff>47061</xdr:rowOff>
    </xdr:from>
    <xdr:to>
      <xdr:col>28</xdr:col>
      <xdr:colOff>197427</xdr:colOff>
      <xdr:row>118</xdr:row>
      <xdr:rowOff>122271</xdr:rowOff>
    </xdr:to>
    <xdr:pic>
      <xdr:nvPicPr>
        <xdr:cNvPr id="19" name="Picture 29" descr="op">
          <a:extLst>
            <a:ext uri="{FF2B5EF4-FFF2-40B4-BE49-F238E27FC236}">
              <a16:creationId xmlns:a16="http://schemas.microsoft.com/office/drawing/2014/main" id="{94BAE02C-FA4F-4D69-B3C2-EAAAFBDB076F}"/>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a:xfrm rot="16200000">
          <a:off x="44676785" y="24764228"/>
          <a:ext cx="494310" cy="615375"/>
        </a:xfrm>
        <a:prstGeom prst="rect">
          <a:avLst/>
        </a:prstGeom>
        <a:noFill/>
        <a:ln w="9525">
          <a:noFill/>
          <a:miter lim="800000"/>
          <a:headEnd/>
          <a:tailEnd/>
        </a:ln>
      </xdr:spPr>
    </xdr:pic>
    <xdr:clientData/>
  </xdr:twoCellAnchor>
  <xdr:twoCellAnchor>
    <xdr:from>
      <xdr:col>28</xdr:col>
      <xdr:colOff>310570</xdr:colOff>
      <xdr:row>116</xdr:row>
      <xdr:rowOff>144043</xdr:rowOff>
    </xdr:from>
    <xdr:to>
      <xdr:col>30</xdr:col>
      <xdr:colOff>393580</xdr:colOff>
      <xdr:row>120</xdr:row>
      <xdr:rowOff>58029</xdr:rowOff>
    </xdr:to>
    <xdr:sp macro="" textlink="">
      <xdr:nvSpPr>
        <xdr:cNvPr id="20" name="矩形 19">
          <a:extLst>
            <a:ext uri="{FF2B5EF4-FFF2-40B4-BE49-F238E27FC236}">
              <a16:creationId xmlns:a16="http://schemas.microsoft.com/office/drawing/2014/main" id="{53A2A229-E851-4CA8-9C62-B2CA6E7E8871}"/>
            </a:ext>
          </a:extLst>
        </xdr:cNvPr>
        <xdr:cNvSpPr/>
      </xdr:nvSpPr>
      <xdr:spPr>
        <a:xfrm>
          <a:off x="45344770" y="24921743"/>
          <a:ext cx="1835610" cy="7521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Manpower*0.5</a:t>
          </a:r>
          <a:endParaRPr lang="zh-CN" altLang="en-US" sz="1800">
            <a:solidFill>
              <a:schemeClr val="tx1"/>
            </a:solidFill>
          </a:endParaRPr>
        </a:p>
      </xdr:txBody>
    </xdr:sp>
    <xdr:clientData/>
  </xdr:twoCellAnchor>
  <xdr:twoCellAnchor>
    <xdr:from>
      <xdr:col>26</xdr:col>
      <xdr:colOff>757380</xdr:colOff>
      <xdr:row>129</xdr:row>
      <xdr:rowOff>88324</xdr:rowOff>
    </xdr:from>
    <xdr:to>
      <xdr:col>27</xdr:col>
      <xdr:colOff>480292</xdr:colOff>
      <xdr:row>131</xdr:row>
      <xdr:rowOff>152276</xdr:rowOff>
    </xdr:to>
    <xdr:pic>
      <xdr:nvPicPr>
        <xdr:cNvPr id="21" name="Picture 29" descr="op">
          <a:extLst>
            <a:ext uri="{FF2B5EF4-FFF2-40B4-BE49-F238E27FC236}">
              <a16:creationId xmlns:a16="http://schemas.microsoft.com/office/drawing/2014/main" id="{46311388-29B6-494B-A917-296930490133}"/>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a:xfrm rot="16200000">
          <a:off x="44097060" y="27532094"/>
          <a:ext cx="483052" cy="599212"/>
        </a:xfrm>
        <a:prstGeom prst="rect">
          <a:avLst/>
        </a:prstGeom>
        <a:noFill/>
        <a:ln w="9525">
          <a:noFill/>
          <a:miter lim="800000"/>
          <a:headEnd/>
          <a:tailEnd/>
        </a:ln>
      </xdr:spPr>
    </xdr:pic>
    <xdr:clientData/>
  </xdr:twoCellAnchor>
  <xdr:twoCellAnchor>
    <xdr:from>
      <xdr:col>27</xdr:col>
      <xdr:colOff>593435</xdr:colOff>
      <xdr:row>129</xdr:row>
      <xdr:rowOff>151824</xdr:rowOff>
    </xdr:from>
    <xdr:to>
      <xdr:col>29</xdr:col>
      <xdr:colOff>699537</xdr:colOff>
      <xdr:row>133</xdr:row>
      <xdr:rowOff>30885</xdr:rowOff>
    </xdr:to>
    <xdr:sp macro="" textlink="">
      <xdr:nvSpPr>
        <xdr:cNvPr id="22" name="矩形 21">
          <a:extLst>
            <a:ext uri="{FF2B5EF4-FFF2-40B4-BE49-F238E27FC236}">
              <a16:creationId xmlns:a16="http://schemas.microsoft.com/office/drawing/2014/main" id="{836CA5AE-50FF-45FB-B295-BCEED52E340D}"/>
            </a:ext>
          </a:extLst>
        </xdr:cNvPr>
        <xdr:cNvSpPr/>
      </xdr:nvSpPr>
      <xdr:spPr>
        <a:xfrm>
          <a:off x="44751335" y="27653674"/>
          <a:ext cx="1858702" cy="7172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Manpower*0.8</a:t>
          </a:r>
          <a:endParaRPr lang="zh-CN" altLang="en-US" sz="1800">
            <a:solidFill>
              <a:schemeClr val="tx1"/>
            </a:solidFill>
          </a:endParaRPr>
        </a:p>
      </xdr:txBody>
    </xdr:sp>
    <xdr:clientData/>
  </xdr:twoCellAnchor>
  <xdr:twoCellAnchor>
    <xdr:from>
      <xdr:col>25</xdr:col>
      <xdr:colOff>466722</xdr:colOff>
      <xdr:row>83</xdr:row>
      <xdr:rowOff>105644</xdr:rowOff>
    </xdr:from>
    <xdr:to>
      <xdr:col>26</xdr:col>
      <xdr:colOff>400337</xdr:colOff>
      <xdr:row>85</xdr:row>
      <xdr:rowOff>86184</xdr:rowOff>
    </xdr:to>
    <xdr:sp macro="" textlink="">
      <xdr:nvSpPr>
        <xdr:cNvPr id="23" name="矩形 22">
          <a:extLst>
            <a:ext uri="{FF2B5EF4-FFF2-40B4-BE49-F238E27FC236}">
              <a16:creationId xmlns:a16="http://schemas.microsoft.com/office/drawing/2014/main" id="{B69B2610-8111-4621-8A8C-2A3A3A5A399F}"/>
            </a:ext>
          </a:extLst>
        </xdr:cNvPr>
        <xdr:cNvSpPr/>
      </xdr:nvSpPr>
      <xdr:spPr>
        <a:xfrm>
          <a:off x="42872022" y="17968194"/>
          <a:ext cx="809915" cy="399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3</a:t>
          </a:r>
          <a:endParaRPr lang="zh-CN" altLang="en-US" sz="2400">
            <a:solidFill>
              <a:srgbClr val="00B0F0"/>
            </a:solidFill>
          </a:endParaRPr>
        </a:p>
      </xdr:txBody>
    </xdr:sp>
    <xdr:clientData/>
  </xdr:twoCellAnchor>
  <xdr:twoCellAnchor>
    <xdr:from>
      <xdr:col>27</xdr:col>
      <xdr:colOff>625131</xdr:colOff>
      <xdr:row>86</xdr:row>
      <xdr:rowOff>47421</xdr:rowOff>
    </xdr:from>
    <xdr:to>
      <xdr:col>29</xdr:col>
      <xdr:colOff>525524</xdr:colOff>
      <xdr:row>103</xdr:row>
      <xdr:rowOff>184729</xdr:rowOff>
    </xdr:to>
    <xdr:grpSp>
      <xdr:nvGrpSpPr>
        <xdr:cNvPr id="24" name="组合 23">
          <a:extLst>
            <a:ext uri="{FF2B5EF4-FFF2-40B4-BE49-F238E27FC236}">
              <a16:creationId xmlns:a16="http://schemas.microsoft.com/office/drawing/2014/main" id="{85E34431-AE1D-4ACC-BE56-FE90754C436F}"/>
            </a:ext>
          </a:extLst>
        </xdr:cNvPr>
        <xdr:cNvGrpSpPr/>
      </xdr:nvGrpSpPr>
      <xdr:grpSpPr>
        <a:xfrm>
          <a:off x="44743827" y="18379595"/>
          <a:ext cx="1639740" cy="3657417"/>
          <a:chOff x="36837216" y="23536646"/>
          <a:chExt cx="1661271" cy="4416057"/>
        </a:xfrm>
      </xdr:grpSpPr>
      <xdr:pic>
        <xdr:nvPicPr>
          <xdr:cNvPr id="25" name="图片 24">
            <a:extLst>
              <a:ext uri="{FF2B5EF4-FFF2-40B4-BE49-F238E27FC236}">
                <a16:creationId xmlns:a16="http://schemas.microsoft.com/office/drawing/2014/main" id="{17C490A4-4555-94C9-7E8F-94B5B1D32BFA}"/>
              </a:ext>
            </a:extLst>
          </xdr:cNvPr>
          <xdr:cNvPicPr>
            <a:picLocks noChangeAspect="1"/>
          </xdr:cNvPicPr>
        </xdr:nvPicPr>
        <xdr:blipFill>
          <a:blip xmlns:r="http://schemas.openxmlformats.org/officeDocument/2006/relationships" r:embed="rId3"/>
          <a:stretch>
            <a:fillRect/>
          </a:stretch>
        </xdr:blipFill>
        <xdr:spPr>
          <a:xfrm rot="5400000">
            <a:off x="35463680" y="24917896"/>
            <a:ext cx="4416057" cy="1653557"/>
          </a:xfrm>
          <a:prstGeom prst="rect">
            <a:avLst/>
          </a:prstGeom>
        </xdr:spPr>
      </xdr:pic>
      <xdr:pic>
        <xdr:nvPicPr>
          <xdr:cNvPr id="26" name="Picture 29" descr="op">
            <a:extLst>
              <a:ext uri="{FF2B5EF4-FFF2-40B4-BE49-F238E27FC236}">
                <a16:creationId xmlns:a16="http://schemas.microsoft.com/office/drawing/2014/main" id="{EA067261-CD7D-503C-6A7D-654D4841C1B6}"/>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36837216" y="23951048"/>
            <a:ext cx="475401" cy="510831"/>
          </a:xfrm>
          <a:prstGeom prst="rect">
            <a:avLst/>
          </a:prstGeom>
          <a:noFill/>
          <a:ln w="9525">
            <a:noFill/>
            <a:miter lim="800000"/>
            <a:headEnd/>
            <a:tailEnd/>
          </a:ln>
        </xdr:spPr>
      </xdr:pic>
      <xdr:pic>
        <xdr:nvPicPr>
          <xdr:cNvPr id="27" name="Picture 29" descr="op">
            <a:extLst>
              <a:ext uri="{FF2B5EF4-FFF2-40B4-BE49-F238E27FC236}">
                <a16:creationId xmlns:a16="http://schemas.microsoft.com/office/drawing/2014/main" id="{E9DFDA78-94EC-6A62-F8A3-F4A86E55C295}"/>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36900716" y="26491336"/>
            <a:ext cx="475401" cy="550375"/>
          </a:xfrm>
          <a:prstGeom prst="rect">
            <a:avLst/>
          </a:prstGeom>
          <a:noFill/>
          <a:ln w="9525">
            <a:noFill/>
            <a:miter lim="800000"/>
            <a:headEnd/>
            <a:tailEnd/>
          </a:ln>
        </xdr:spPr>
      </xdr:pic>
    </xdr:grpSp>
    <xdr:clientData/>
  </xdr:twoCellAnchor>
  <xdr:twoCellAnchor>
    <xdr:from>
      <xdr:col>26</xdr:col>
      <xdr:colOff>402611</xdr:colOff>
      <xdr:row>109</xdr:row>
      <xdr:rowOff>69187</xdr:rowOff>
    </xdr:from>
    <xdr:to>
      <xdr:col>29</xdr:col>
      <xdr:colOff>337436</xdr:colOff>
      <xdr:row>116</xdr:row>
      <xdr:rowOff>143469</xdr:rowOff>
    </xdr:to>
    <xdr:grpSp>
      <xdr:nvGrpSpPr>
        <xdr:cNvPr id="28" name="组合 27">
          <a:extLst>
            <a:ext uri="{FF2B5EF4-FFF2-40B4-BE49-F238E27FC236}">
              <a16:creationId xmlns:a16="http://schemas.microsoft.com/office/drawing/2014/main" id="{00E6BE9D-E468-42CE-A4DC-AE4BBC649C88}"/>
            </a:ext>
          </a:extLst>
        </xdr:cNvPr>
        <xdr:cNvGrpSpPr/>
      </xdr:nvGrpSpPr>
      <xdr:grpSpPr>
        <a:xfrm>
          <a:off x="43651633" y="23163861"/>
          <a:ext cx="2543846" cy="1523738"/>
          <a:chOff x="35832688" y="28769743"/>
          <a:chExt cx="2583035" cy="1751259"/>
        </a:xfrm>
      </xdr:grpSpPr>
      <xdr:pic>
        <xdr:nvPicPr>
          <xdr:cNvPr id="29" name="图片 28">
            <a:extLst>
              <a:ext uri="{FF2B5EF4-FFF2-40B4-BE49-F238E27FC236}">
                <a16:creationId xmlns:a16="http://schemas.microsoft.com/office/drawing/2014/main" id="{03E6EB63-8879-6973-E80E-8EBAF39E0898}"/>
              </a:ext>
            </a:extLst>
          </xdr:cNvPr>
          <xdr:cNvPicPr>
            <a:picLocks noChangeAspect="1"/>
          </xdr:cNvPicPr>
        </xdr:nvPicPr>
        <xdr:blipFill rotWithShape="1">
          <a:blip xmlns:r="http://schemas.openxmlformats.org/officeDocument/2006/relationships" r:embed="rId4"/>
          <a:srcRect l="72071" t="33518"/>
          <a:stretch/>
        </xdr:blipFill>
        <xdr:spPr>
          <a:xfrm>
            <a:off x="35832688" y="28998799"/>
            <a:ext cx="627084" cy="891174"/>
          </a:xfrm>
          <a:prstGeom prst="rect">
            <a:avLst/>
          </a:prstGeom>
        </xdr:spPr>
      </xdr:pic>
      <xdr:pic>
        <xdr:nvPicPr>
          <xdr:cNvPr id="30" name="图片 29">
            <a:extLst>
              <a:ext uri="{FF2B5EF4-FFF2-40B4-BE49-F238E27FC236}">
                <a16:creationId xmlns:a16="http://schemas.microsoft.com/office/drawing/2014/main" id="{DF19E309-C515-696E-886E-97D3C5417A59}"/>
              </a:ext>
            </a:extLst>
          </xdr:cNvPr>
          <xdr:cNvPicPr>
            <a:picLocks noChangeAspect="1"/>
          </xdr:cNvPicPr>
        </xdr:nvPicPr>
        <xdr:blipFill>
          <a:blip xmlns:r="http://schemas.openxmlformats.org/officeDocument/2006/relationships" r:embed="rId5"/>
          <a:stretch>
            <a:fillRect/>
          </a:stretch>
        </xdr:blipFill>
        <xdr:spPr>
          <a:xfrm rot="5400000">
            <a:off x="36130532" y="28983898"/>
            <a:ext cx="1751259" cy="1322949"/>
          </a:xfrm>
          <a:prstGeom prst="rect">
            <a:avLst/>
          </a:prstGeom>
        </xdr:spPr>
      </xdr:pic>
      <xdr:pic>
        <xdr:nvPicPr>
          <xdr:cNvPr id="31" name="图片 30">
            <a:extLst>
              <a:ext uri="{FF2B5EF4-FFF2-40B4-BE49-F238E27FC236}">
                <a16:creationId xmlns:a16="http://schemas.microsoft.com/office/drawing/2014/main" id="{35E8AD1B-560F-38A2-67CC-2C71F82FD1BD}"/>
              </a:ext>
            </a:extLst>
          </xdr:cNvPr>
          <xdr:cNvPicPr>
            <a:picLocks noChangeAspect="1"/>
          </xdr:cNvPicPr>
        </xdr:nvPicPr>
        <xdr:blipFill rotWithShape="1">
          <a:blip xmlns:r="http://schemas.openxmlformats.org/officeDocument/2006/relationships" r:embed="rId4"/>
          <a:srcRect l="72071" t="33518"/>
          <a:stretch/>
        </xdr:blipFill>
        <xdr:spPr>
          <a:xfrm>
            <a:off x="37788639" y="29017937"/>
            <a:ext cx="627084" cy="875299"/>
          </a:xfrm>
          <a:prstGeom prst="rect">
            <a:avLst/>
          </a:prstGeom>
        </xdr:spPr>
      </xdr:pic>
    </xdr:grpSp>
    <xdr:clientData/>
  </xdr:twoCellAnchor>
  <xdr:twoCellAnchor>
    <xdr:from>
      <xdr:col>26</xdr:col>
      <xdr:colOff>128493</xdr:colOff>
      <xdr:row>123</xdr:row>
      <xdr:rowOff>120720</xdr:rowOff>
    </xdr:from>
    <xdr:to>
      <xdr:col>30</xdr:col>
      <xdr:colOff>320609</xdr:colOff>
      <xdr:row>129</xdr:row>
      <xdr:rowOff>160733</xdr:rowOff>
    </xdr:to>
    <xdr:pic>
      <xdr:nvPicPr>
        <xdr:cNvPr id="32" name="图片 31">
          <a:extLst>
            <a:ext uri="{FF2B5EF4-FFF2-40B4-BE49-F238E27FC236}">
              <a16:creationId xmlns:a16="http://schemas.microsoft.com/office/drawing/2014/main" id="{036B6626-DE5C-4453-BD78-05AEB5323EA5}"/>
            </a:ext>
          </a:extLst>
        </xdr:cNvPr>
        <xdr:cNvPicPr>
          <a:picLocks noChangeAspect="1"/>
        </xdr:cNvPicPr>
      </xdr:nvPicPr>
      <xdr:blipFill>
        <a:blip xmlns:r="http://schemas.openxmlformats.org/officeDocument/2006/relationships" r:embed="rId6"/>
        <a:stretch>
          <a:fillRect/>
        </a:stretch>
      </xdr:blipFill>
      <xdr:spPr>
        <a:xfrm>
          <a:off x="43410093" y="26365270"/>
          <a:ext cx="3697316" cy="1297313"/>
        </a:xfrm>
        <a:prstGeom prst="rect">
          <a:avLst/>
        </a:prstGeom>
      </xdr:spPr>
    </xdr:pic>
    <xdr:clientData/>
  </xdr:twoCellAnchor>
  <xdr:twoCellAnchor editAs="oneCell">
    <xdr:from>
      <xdr:col>29</xdr:col>
      <xdr:colOff>143597</xdr:colOff>
      <xdr:row>10</xdr:row>
      <xdr:rowOff>87745</xdr:rowOff>
    </xdr:from>
    <xdr:to>
      <xdr:col>33</xdr:col>
      <xdr:colOff>104238</xdr:colOff>
      <xdr:row>80</xdr:row>
      <xdr:rowOff>25402</xdr:rowOff>
    </xdr:to>
    <xdr:pic>
      <xdr:nvPicPr>
        <xdr:cNvPr id="33" name="图片 32">
          <a:extLst>
            <a:ext uri="{FF2B5EF4-FFF2-40B4-BE49-F238E27FC236}">
              <a16:creationId xmlns:a16="http://schemas.microsoft.com/office/drawing/2014/main" id="{8DE62D92-F3A6-4EAC-BDCC-816F7FD3C930}"/>
            </a:ext>
          </a:extLst>
        </xdr:cNvPr>
        <xdr:cNvPicPr>
          <a:picLocks noChangeAspect="1"/>
        </xdr:cNvPicPr>
      </xdr:nvPicPr>
      <xdr:blipFill>
        <a:blip xmlns:r="http://schemas.openxmlformats.org/officeDocument/2006/relationships" r:embed="rId7"/>
        <a:stretch>
          <a:fillRect/>
        </a:stretch>
      </xdr:blipFill>
      <xdr:spPr>
        <a:xfrm rot="5400000">
          <a:off x="39429839" y="8731303"/>
          <a:ext cx="15152257" cy="1903741"/>
        </a:xfrm>
        <a:prstGeom prst="rect">
          <a:avLst/>
        </a:prstGeom>
      </xdr:spPr>
    </xdr:pic>
    <xdr:clientData/>
  </xdr:twoCellAnchor>
  <xdr:twoCellAnchor>
    <xdr:from>
      <xdr:col>28</xdr:col>
      <xdr:colOff>686960</xdr:colOff>
      <xdr:row>19</xdr:row>
      <xdr:rowOff>113162</xdr:rowOff>
    </xdr:from>
    <xdr:to>
      <xdr:col>29</xdr:col>
      <xdr:colOff>398071</xdr:colOff>
      <xdr:row>22</xdr:row>
      <xdr:rowOff>23107</xdr:rowOff>
    </xdr:to>
    <xdr:pic>
      <xdr:nvPicPr>
        <xdr:cNvPr id="34" name="Picture 29" descr="op">
          <a:extLst>
            <a:ext uri="{FF2B5EF4-FFF2-40B4-BE49-F238E27FC236}">
              <a16:creationId xmlns:a16="http://schemas.microsoft.com/office/drawing/2014/main" id="{42C56D89-A0B9-4CA1-9FE3-7F333E2085B6}"/>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45709354" y="4513444"/>
          <a:ext cx="587590" cy="527057"/>
        </a:xfrm>
        <a:prstGeom prst="rect">
          <a:avLst/>
        </a:prstGeom>
        <a:noFill/>
        <a:ln w="9525">
          <a:noFill/>
          <a:miter lim="800000"/>
          <a:headEnd/>
          <a:tailEnd/>
        </a:ln>
      </xdr:spPr>
    </xdr:pic>
    <xdr:clientData/>
  </xdr:twoCellAnchor>
  <xdr:twoCellAnchor>
    <xdr:from>
      <xdr:col>28</xdr:col>
      <xdr:colOff>488992</xdr:colOff>
      <xdr:row>32</xdr:row>
      <xdr:rowOff>121228</xdr:rowOff>
    </xdr:from>
    <xdr:to>
      <xdr:col>29</xdr:col>
      <xdr:colOff>187403</xdr:colOff>
      <xdr:row>35</xdr:row>
      <xdr:rowOff>43873</xdr:rowOff>
    </xdr:to>
    <xdr:pic>
      <xdr:nvPicPr>
        <xdr:cNvPr id="35" name="Picture 29" descr="op">
          <a:extLst>
            <a:ext uri="{FF2B5EF4-FFF2-40B4-BE49-F238E27FC236}">
              <a16:creationId xmlns:a16="http://schemas.microsoft.com/office/drawing/2014/main" id="{917E624C-4DE6-4243-A73B-EB92A7979D18}"/>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45523192" y="7284028"/>
          <a:ext cx="574711" cy="551295"/>
        </a:xfrm>
        <a:prstGeom prst="rect">
          <a:avLst/>
        </a:prstGeom>
        <a:noFill/>
        <a:ln w="9525">
          <a:noFill/>
          <a:miter lim="800000"/>
          <a:headEnd/>
          <a:tailEnd/>
        </a:ln>
      </xdr:spPr>
    </xdr:pic>
    <xdr:clientData/>
  </xdr:twoCellAnchor>
  <xdr:twoCellAnchor>
    <xdr:from>
      <xdr:col>28</xdr:col>
      <xdr:colOff>809667</xdr:colOff>
      <xdr:row>67</xdr:row>
      <xdr:rowOff>27710</xdr:rowOff>
    </xdr:from>
    <xdr:to>
      <xdr:col>29</xdr:col>
      <xdr:colOff>520778</xdr:colOff>
      <xdr:row>69</xdr:row>
      <xdr:rowOff>158173</xdr:rowOff>
    </xdr:to>
    <xdr:pic>
      <xdr:nvPicPr>
        <xdr:cNvPr id="36" name="Picture 29" descr="op">
          <a:extLst>
            <a:ext uri="{FF2B5EF4-FFF2-40B4-BE49-F238E27FC236}">
              <a16:creationId xmlns:a16="http://schemas.microsoft.com/office/drawing/2014/main" id="{50CFA25D-C81B-4477-AC61-1F9133E4513B}"/>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45843867" y="14537460"/>
          <a:ext cx="587411" cy="549563"/>
        </a:xfrm>
        <a:prstGeom prst="rect">
          <a:avLst/>
        </a:prstGeom>
        <a:noFill/>
        <a:ln w="9525">
          <a:noFill/>
          <a:miter lim="800000"/>
          <a:headEnd/>
          <a:tailEnd/>
        </a:ln>
      </xdr:spPr>
    </xdr:pic>
    <xdr:clientData/>
  </xdr:twoCellAnchor>
  <xdr:twoCellAnchor>
    <xdr:from>
      <xdr:col>33</xdr:col>
      <xdr:colOff>269339</xdr:colOff>
      <xdr:row>32</xdr:row>
      <xdr:rowOff>67253</xdr:rowOff>
    </xdr:from>
    <xdr:to>
      <xdr:col>34</xdr:col>
      <xdr:colOff>31250</xdr:colOff>
      <xdr:row>34</xdr:row>
      <xdr:rowOff>180398</xdr:rowOff>
    </xdr:to>
    <xdr:pic>
      <xdr:nvPicPr>
        <xdr:cNvPr id="37" name="Picture 29" descr="op">
          <a:extLst>
            <a:ext uri="{FF2B5EF4-FFF2-40B4-BE49-F238E27FC236}">
              <a16:creationId xmlns:a16="http://schemas.microsoft.com/office/drawing/2014/main" id="{17F2B80B-0D09-472A-8C01-3E39A159EA1A}"/>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rot="11024836">
          <a:off x="48122939" y="7230053"/>
          <a:ext cx="638211" cy="532245"/>
        </a:xfrm>
        <a:prstGeom prst="rect">
          <a:avLst/>
        </a:prstGeom>
        <a:noFill/>
        <a:ln w="9525">
          <a:noFill/>
          <a:miter lim="800000"/>
          <a:headEnd/>
          <a:tailEnd/>
        </a:ln>
      </xdr:spPr>
    </xdr:pic>
    <xdr:clientData/>
  </xdr:twoCellAnchor>
  <xdr:twoCellAnchor>
    <xdr:from>
      <xdr:col>25</xdr:col>
      <xdr:colOff>519543</xdr:colOff>
      <xdr:row>135</xdr:row>
      <xdr:rowOff>38099</xdr:rowOff>
    </xdr:from>
    <xdr:to>
      <xdr:col>26</xdr:col>
      <xdr:colOff>232303</xdr:colOff>
      <xdr:row>137</xdr:row>
      <xdr:rowOff>64069</xdr:rowOff>
    </xdr:to>
    <xdr:sp macro="" textlink="">
      <xdr:nvSpPr>
        <xdr:cNvPr id="38" name="矩形 168">
          <a:extLst>
            <a:ext uri="{FF2B5EF4-FFF2-40B4-BE49-F238E27FC236}">
              <a16:creationId xmlns:a16="http://schemas.microsoft.com/office/drawing/2014/main" id="{A1879543-DE7D-4675-886B-A1DE4DA87129}"/>
            </a:ext>
          </a:extLst>
        </xdr:cNvPr>
        <xdr:cNvSpPr/>
      </xdr:nvSpPr>
      <xdr:spPr>
        <a:xfrm>
          <a:off x="42924843" y="28797249"/>
          <a:ext cx="589060" cy="445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2400">
              <a:solidFill>
                <a:srgbClr val="00B0F0"/>
              </a:solidFill>
            </a:rPr>
            <a:t>6 </a:t>
          </a:r>
          <a:endParaRPr lang="zh-CN" altLang="en-US" sz="2400">
            <a:solidFill>
              <a:srgbClr val="00B0F0"/>
            </a:solidFill>
          </a:endParaRPr>
        </a:p>
      </xdr:txBody>
    </xdr:sp>
    <xdr:clientData/>
  </xdr:twoCellAnchor>
  <xdr:twoCellAnchor>
    <xdr:from>
      <xdr:col>27</xdr:col>
      <xdr:colOff>707113</xdr:colOff>
      <xdr:row>144</xdr:row>
      <xdr:rowOff>170284</xdr:rowOff>
    </xdr:from>
    <xdr:to>
      <xdr:col>28</xdr:col>
      <xdr:colOff>289869</xdr:colOff>
      <xdr:row>146</xdr:row>
      <xdr:rowOff>113692</xdr:rowOff>
    </xdr:to>
    <xdr:pic>
      <xdr:nvPicPr>
        <xdr:cNvPr id="39" name="Picture 29" descr="op">
          <a:extLst>
            <a:ext uri="{FF2B5EF4-FFF2-40B4-BE49-F238E27FC236}">
              <a16:creationId xmlns:a16="http://schemas.microsoft.com/office/drawing/2014/main" id="{3F37ACD6-A3FD-4DDA-AB04-4D676BFFB623}"/>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a:xfrm rot="16200000">
          <a:off x="44913287" y="30767110"/>
          <a:ext cx="362508" cy="459056"/>
        </a:xfrm>
        <a:prstGeom prst="rect">
          <a:avLst/>
        </a:prstGeom>
        <a:noFill/>
        <a:ln w="9525">
          <a:noFill/>
          <a:miter lim="800000"/>
          <a:headEnd/>
          <a:tailEnd/>
        </a:ln>
      </xdr:spPr>
    </xdr:pic>
    <xdr:clientData/>
  </xdr:twoCellAnchor>
  <xdr:twoCellAnchor>
    <xdr:from>
      <xdr:col>25</xdr:col>
      <xdr:colOff>610256</xdr:colOff>
      <xdr:row>122</xdr:row>
      <xdr:rowOff>199571</xdr:rowOff>
    </xdr:from>
    <xdr:to>
      <xdr:col>28</xdr:col>
      <xdr:colOff>631968</xdr:colOff>
      <xdr:row>125</xdr:row>
      <xdr:rowOff>57726</xdr:rowOff>
    </xdr:to>
    <xdr:sp macro="" textlink="">
      <xdr:nvSpPr>
        <xdr:cNvPr id="40" name="矩形 269">
          <a:extLst>
            <a:ext uri="{FF2B5EF4-FFF2-40B4-BE49-F238E27FC236}">
              <a16:creationId xmlns:a16="http://schemas.microsoft.com/office/drawing/2014/main" id="{D741BE16-ADFE-4862-BDDA-D9A540362F77}"/>
            </a:ext>
          </a:extLst>
        </xdr:cNvPr>
        <xdr:cNvSpPr/>
      </xdr:nvSpPr>
      <xdr:spPr>
        <a:xfrm>
          <a:off x="43015556" y="26234571"/>
          <a:ext cx="2650612" cy="4868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de-panel </a:t>
          </a:r>
          <a:r>
            <a:rPr lang="zh-CN" altLang="en-US" sz="1800">
              <a:solidFill>
                <a:schemeClr val="tx1"/>
              </a:solidFill>
            </a:rPr>
            <a:t>：</a:t>
          </a:r>
        </a:p>
      </xdr:txBody>
    </xdr:sp>
    <xdr:clientData/>
  </xdr:twoCellAnchor>
  <xdr:twoCellAnchor>
    <xdr:from>
      <xdr:col>25</xdr:col>
      <xdr:colOff>501400</xdr:colOff>
      <xdr:row>108</xdr:row>
      <xdr:rowOff>68942</xdr:rowOff>
    </xdr:from>
    <xdr:to>
      <xdr:col>28</xdr:col>
      <xdr:colOff>523112</xdr:colOff>
      <xdr:row>110</xdr:row>
      <xdr:rowOff>148439</xdr:rowOff>
    </xdr:to>
    <xdr:sp macro="" textlink="">
      <xdr:nvSpPr>
        <xdr:cNvPr id="41" name="矩形 269">
          <a:extLst>
            <a:ext uri="{FF2B5EF4-FFF2-40B4-BE49-F238E27FC236}">
              <a16:creationId xmlns:a16="http://schemas.microsoft.com/office/drawing/2014/main" id="{F998D172-C56D-4925-95D2-591C8FF57917}"/>
            </a:ext>
          </a:extLst>
        </xdr:cNvPr>
        <xdr:cNvSpPr/>
      </xdr:nvSpPr>
      <xdr:spPr>
        <a:xfrm>
          <a:off x="42906700" y="23170242"/>
          <a:ext cx="2650612" cy="4985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ICT </a:t>
          </a:r>
          <a:r>
            <a:rPr lang="zh-CN" altLang="en-US" sz="1800">
              <a:solidFill>
                <a:schemeClr val="tx1"/>
              </a:solidFill>
            </a:rPr>
            <a:t>：</a:t>
          </a:r>
        </a:p>
      </xdr:txBody>
    </xdr:sp>
    <xdr:clientData/>
  </xdr:twoCellAnchor>
  <xdr:twoCellAnchor>
    <xdr:from>
      <xdr:col>25</xdr:col>
      <xdr:colOff>564900</xdr:colOff>
      <xdr:row>85</xdr:row>
      <xdr:rowOff>61684</xdr:rowOff>
    </xdr:from>
    <xdr:to>
      <xdr:col>28</xdr:col>
      <xdr:colOff>586612</xdr:colOff>
      <xdr:row>87</xdr:row>
      <xdr:rowOff>141182</xdr:rowOff>
    </xdr:to>
    <xdr:sp macro="" textlink="">
      <xdr:nvSpPr>
        <xdr:cNvPr id="42" name="矩形 269">
          <a:extLst>
            <a:ext uri="{FF2B5EF4-FFF2-40B4-BE49-F238E27FC236}">
              <a16:creationId xmlns:a16="http://schemas.microsoft.com/office/drawing/2014/main" id="{B46FF353-3197-4CE5-8F8F-F46972193795}"/>
            </a:ext>
          </a:extLst>
        </xdr:cNvPr>
        <xdr:cNvSpPr/>
      </xdr:nvSpPr>
      <xdr:spPr>
        <a:xfrm>
          <a:off x="42970200" y="18343334"/>
          <a:ext cx="2650612" cy="4985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AXI </a:t>
          </a:r>
          <a:r>
            <a:rPr lang="zh-CN" altLang="en-US" sz="1800">
              <a:solidFill>
                <a:schemeClr val="tx1"/>
              </a:solidFill>
            </a:rPr>
            <a:t>：</a:t>
          </a:r>
        </a:p>
      </xdr:txBody>
    </xdr:sp>
    <xdr:clientData/>
  </xdr:twoCellAnchor>
  <xdr:twoCellAnchor>
    <xdr:from>
      <xdr:col>28</xdr:col>
      <xdr:colOff>530267</xdr:colOff>
      <xdr:row>37</xdr:row>
      <xdr:rowOff>83128</xdr:rowOff>
    </xdr:from>
    <xdr:to>
      <xdr:col>29</xdr:col>
      <xdr:colOff>228678</xdr:colOff>
      <xdr:row>40</xdr:row>
      <xdr:rowOff>5773</xdr:rowOff>
    </xdr:to>
    <xdr:pic>
      <xdr:nvPicPr>
        <xdr:cNvPr id="43" name="Picture 29" descr="op">
          <a:extLst>
            <a:ext uri="{FF2B5EF4-FFF2-40B4-BE49-F238E27FC236}">
              <a16:creationId xmlns:a16="http://schemas.microsoft.com/office/drawing/2014/main" id="{D10F6F3F-AAAA-499C-8260-12F4A16B0B77}"/>
            </a:ext>
          </a:extLst>
        </xdr:cNvPr>
        <xdr:cNvPicPr>
          <a:picLocks noChangeAspect="1" noChangeArrowheads="1"/>
        </xdr:cNvPicPr>
      </xdr:nvPicPr>
      <xdr:blipFill>
        <a:blip xmlns:r="http://schemas.openxmlformats.org/officeDocument/2006/relationships" r:embed="rId2" cstate="print">
          <a:lum bright="40000"/>
        </a:blip>
        <a:srcRect/>
        <a:stretch>
          <a:fillRect/>
        </a:stretch>
      </xdr:blipFill>
      <xdr:spPr bwMode="auto">
        <a:xfrm>
          <a:off x="45564467" y="8293678"/>
          <a:ext cx="574711" cy="551295"/>
        </a:xfrm>
        <a:prstGeom prst="rect">
          <a:avLst/>
        </a:prstGeom>
        <a:noFill/>
        <a:ln w="9525">
          <a:noFill/>
          <a:miter lim="800000"/>
          <a:headEnd/>
          <a:tailEnd/>
        </a:ln>
      </xdr:spPr>
    </xdr:pic>
    <xdr:clientData/>
  </xdr:twoCellAnchor>
  <xdr:twoCellAnchor>
    <xdr:from>
      <xdr:col>25</xdr:col>
      <xdr:colOff>654335</xdr:colOff>
      <xdr:row>137</xdr:row>
      <xdr:rowOff>134496</xdr:rowOff>
    </xdr:from>
    <xdr:to>
      <xdr:col>36</xdr:col>
      <xdr:colOff>499294</xdr:colOff>
      <xdr:row>150</xdr:row>
      <xdr:rowOff>63777</xdr:rowOff>
    </xdr:to>
    <xdr:sp macro="" textlink="">
      <xdr:nvSpPr>
        <xdr:cNvPr id="44" name="矩形 167">
          <a:extLst>
            <a:ext uri="{FF2B5EF4-FFF2-40B4-BE49-F238E27FC236}">
              <a16:creationId xmlns:a16="http://schemas.microsoft.com/office/drawing/2014/main" id="{6DD7C015-9314-4349-BC7F-52D67D2C20EC}"/>
            </a:ext>
          </a:extLst>
        </xdr:cNvPr>
        <xdr:cNvSpPr/>
      </xdr:nvSpPr>
      <xdr:spPr>
        <a:xfrm>
          <a:off x="43059635" y="29312746"/>
          <a:ext cx="7922159" cy="2653431"/>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26</xdr:col>
      <xdr:colOff>2839</xdr:colOff>
      <xdr:row>137</xdr:row>
      <xdr:rowOff>174015</xdr:rowOff>
    </xdr:from>
    <xdr:to>
      <xdr:col>29</xdr:col>
      <xdr:colOff>21375</xdr:colOff>
      <xdr:row>140</xdr:row>
      <xdr:rowOff>39345</xdr:rowOff>
    </xdr:to>
    <xdr:sp macro="" textlink="">
      <xdr:nvSpPr>
        <xdr:cNvPr id="45" name="矩形 269">
          <a:extLst>
            <a:ext uri="{FF2B5EF4-FFF2-40B4-BE49-F238E27FC236}">
              <a16:creationId xmlns:a16="http://schemas.microsoft.com/office/drawing/2014/main" id="{F3CEAA67-7F10-4EB9-BB44-23E3616517C3}"/>
            </a:ext>
          </a:extLst>
        </xdr:cNvPr>
        <xdr:cNvSpPr/>
      </xdr:nvSpPr>
      <xdr:spPr>
        <a:xfrm>
          <a:off x="43284439" y="29352265"/>
          <a:ext cx="2647436" cy="4939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FVT </a:t>
          </a:r>
          <a:r>
            <a:rPr lang="zh-CN" altLang="en-US" sz="1800">
              <a:solidFill>
                <a:schemeClr val="tx1"/>
              </a:solidFill>
            </a:rPr>
            <a:t>：</a:t>
          </a:r>
        </a:p>
      </xdr:txBody>
    </xdr:sp>
    <xdr:clientData/>
  </xdr:twoCellAnchor>
  <xdr:twoCellAnchor>
    <xdr:from>
      <xdr:col>26</xdr:col>
      <xdr:colOff>214695</xdr:colOff>
      <xdr:row>140</xdr:row>
      <xdr:rowOff>96678</xdr:rowOff>
    </xdr:from>
    <xdr:to>
      <xdr:col>30</xdr:col>
      <xdr:colOff>18711</xdr:colOff>
      <xdr:row>145</xdr:row>
      <xdr:rowOff>187609</xdr:rowOff>
    </xdr:to>
    <xdr:grpSp>
      <xdr:nvGrpSpPr>
        <xdr:cNvPr id="46" name="组合 45">
          <a:extLst>
            <a:ext uri="{FF2B5EF4-FFF2-40B4-BE49-F238E27FC236}">
              <a16:creationId xmlns:a16="http://schemas.microsoft.com/office/drawing/2014/main" id="{5A307383-F431-4947-A246-8720E6F2F0A7}"/>
            </a:ext>
          </a:extLst>
        </xdr:cNvPr>
        <xdr:cNvGrpSpPr/>
      </xdr:nvGrpSpPr>
      <xdr:grpSpPr>
        <a:xfrm>
          <a:off x="43463717" y="29610374"/>
          <a:ext cx="3282711" cy="1126257"/>
          <a:chOff x="38947890" y="32553727"/>
          <a:chExt cx="3313545" cy="1243909"/>
        </a:xfrm>
      </xdr:grpSpPr>
      <xdr:pic>
        <xdr:nvPicPr>
          <xdr:cNvPr id="47" name="图片 46">
            <a:extLst>
              <a:ext uri="{FF2B5EF4-FFF2-40B4-BE49-F238E27FC236}">
                <a16:creationId xmlns:a16="http://schemas.microsoft.com/office/drawing/2014/main" id="{B69419E3-BE91-0B36-C57E-660C2C66BF1A}"/>
              </a:ext>
            </a:extLst>
          </xdr:cNvPr>
          <xdr:cNvPicPr>
            <a:picLocks noChangeAspect="1"/>
          </xdr:cNvPicPr>
        </xdr:nvPicPr>
        <xdr:blipFill>
          <a:blip xmlns:r="http://schemas.openxmlformats.org/officeDocument/2006/relationships" r:embed="rId8"/>
          <a:stretch>
            <a:fillRect/>
          </a:stretch>
        </xdr:blipFill>
        <xdr:spPr>
          <a:xfrm>
            <a:off x="38947890" y="32553727"/>
            <a:ext cx="3313545" cy="1243909"/>
          </a:xfrm>
          <a:prstGeom prst="rect">
            <a:avLst/>
          </a:prstGeom>
        </xdr:spPr>
      </xdr:pic>
      <xdr:sp macro="" textlink="">
        <xdr:nvSpPr>
          <xdr:cNvPr id="48" name="矩形 47">
            <a:extLst>
              <a:ext uri="{FF2B5EF4-FFF2-40B4-BE49-F238E27FC236}">
                <a16:creationId xmlns:a16="http://schemas.microsoft.com/office/drawing/2014/main" id="{E7937161-A324-1D46-00E6-7EC23063B1A9}"/>
              </a:ext>
            </a:extLst>
          </xdr:cNvPr>
          <xdr:cNvSpPr/>
        </xdr:nvSpPr>
        <xdr:spPr>
          <a:xfrm>
            <a:off x="40095714" y="32886469"/>
            <a:ext cx="920880" cy="490479"/>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400">
                <a:solidFill>
                  <a:sysClr val="windowText" lastClr="000000"/>
                </a:solidFill>
              </a:rPr>
              <a:t>FVT</a:t>
            </a:r>
            <a:endParaRPr lang="zh-CN" altLang="en-US" sz="1400">
              <a:solidFill>
                <a:sysClr val="windowText" lastClr="000000"/>
              </a:solidFill>
            </a:endParaRPr>
          </a:p>
        </xdr:txBody>
      </xdr:sp>
    </xdr:grpSp>
    <xdr:clientData/>
  </xdr:twoCellAnchor>
  <xdr:twoCellAnchor>
    <xdr:from>
      <xdr:col>28</xdr:col>
      <xdr:colOff>0</xdr:colOff>
      <xdr:row>72</xdr:row>
      <xdr:rowOff>0</xdr:rowOff>
    </xdr:from>
    <xdr:to>
      <xdr:col>30</xdr:col>
      <xdr:colOff>106102</xdr:colOff>
      <xdr:row>75</xdr:row>
      <xdr:rowOff>127289</xdr:rowOff>
    </xdr:to>
    <xdr:sp macro="" textlink="">
      <xdr:nvSpPr>
        <xdr:cNvPr id="49" name="矩形 48">
          <a:extLst>
            <a:ext uri="{FF2B5EF4-FFF2-40B4-BE49-F238E27FC236}">
              <a16:creationId xmlns:a16="http://schemas.microsoft.com/office/drawing/2014/main" id="{C85BFCB5-C30D-4ACA-B576-BE9557A84DF5}"/>
            </a:ext>
          </a:extLst>
        </xdr:cNvPr>
        <xdr:cNvSpPr/>
      </xdr:nvSpPr>
      <xdr:spPr>
        <a:xfrm>
          <a:off x="45034200" y="15557500"/>
          <a:ext cx="1858702" cy="7559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800">
              <a:solidFill>
                <a:schemeClr val="tx1"/>
              </a:solidFill>
            </a:rPr>
            <a:t>Manpower*0.5</a:t>
          </a:r>
          <a:endParaRPr lang="zh-CN" altLang="en-US" sz="1800">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571499</xdr:colOff>
      <xdr:row>1</xdr:row>
      <xdr:rowOff>83060</xdr:rowOff>
    </xdr:from>
    <xdr:to>
      <xdr:col>24</xdr:col>
      <xdr:colOff>174624</xdr:colOff>
      <xdr:row>8</xdr:row>
      <xdr:rowOff>259470</xdr:rowOff>
    </xdr:to>
    <xdr:pic>
      <xdr:nvPicPr>
        <xdr:cNvPr id="2" name="图片 1">
          <a:extLst>
            <a:ext uri="{FF2B5EF4-FFF2-40B4-BE49-F238E27FC236}">
              <a16:creationId xmlns:a16="http://schemas.microsoft.com/office/drawing/2014/main" id="{19FC4D31-D216-408F-A0B4-21A9267C8A1B}"/>
            </a:ext>
          </a:extLst>
        </xdr:cNvPr>
        <xdr:cNvPicPr>
          <a:picLocks noChangeAspect="1"/>
        </xdr:cNvPicPr>
      </xdr:nvPicPr>
      <xdr:blipFill>
        <a:blip xmlns:r="http://schemas.openxmlformats.org/officeDocument/2006/relationships" r:embed="rId1"/>
        <a:stretch>
          <a:fillRect/>
        </a:stretch>
      </xdr:blipFill>
      <xdr:spPr>
        <a:xfrm>
          <a:off x="25082499" y="845060"/>
          <a:ext cx="2860675" cy="34339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571499</xdr:colOff>
      <xdr:row>1</xdr:row>
      <xdr:rowOff>83060</xdr:rowOff>
    </xdr:from>
    <xdr:to>
      <xdr:col>24</xdr:col>
      <xdr:colOff>174624</xdr:colOff>
      <xdr:row>8</xdr:row>
      <xdr:rowOff>259470</xdr:rowOff>
    </xdr:to>
    <xdr:pic>
      <xdr:nvPicPr>
        <xdr:cNvPr id="2" name="图片 1">
          <a:extLst>
            <a:ext uri="{FF2B5EF4-FFF2-40B4-BE49-F238E27FC236}">
              <a16:creationId xmlns:a16="http://schemas.microsoft.com/office/drawing/2014/main" id="{DA4934EE-B7BB-46BE-8866-B8CC3BAE1F94}"/>
            </a:ext>
          </a:extLst>
        </xdr:cNvPr>
        <xdr:cNvPicPr>
          <a:picLocks noChangeAspect="1"/>
        </xdr:cNvPicPr>
      </xdr:nvPicPr>
      <xdr:blipFill>
        <a:blip xmlns:r="http://schemas.openxmlformats.org/officeDocument/2006/relationships" r:embed="rId1"/>
        <a:stretch>
          <a:fillRect/>
        </a:stretch>
      </xdr:blipFill>
      <xdr:spPr>
        <a:xfrm>
          <a:off x="25063449" y="845060"/>
          <a:ext cx="2860675" cy="3433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1823946</xdr:colOff>
      <xdr:row>2</xdr:row>
      <xdr:rowOff>82179</xdr:rowOff>
    </xdr:from>
    <xdr:to>
      <xdr:col>12</xdr:col>
      <xdr:colOff>505656</xdr:colOff>
      <xdr:row>4</xdr:row>
      <xdr:rowOff>89648</xdr:rowOff>
    </xdr:to>
    <xdr:pic>
      <xdr:nvPicPr>
        <xdr:cNvPr id="2" name="图片 1">
          <a:extLst>
            <a:ext uri="{FF2B5EF4-FFF2-40B4-BE49-F238E27FC236}">
              <a16:creationId xmlns:a16="http://schemas.microsoft.com/office/drawing/2014/main" id="{7875BD1E-1547-42F9-9BF0-D5BF6C0F461D}"/>
            </a:ext>
          </a:extLst>
        </xdr:cNvPr>
        <xdr:cNvPicPr>
          <a:picLocks noChangeAspect="1"/>
        </xdr:cNvPicPr>
      </xdr:nvPicPr>
      <xdr:blipFill>
        <a:blip xmlns:r="http://schemas.openxmlformats.org/officeDocument/2006/relationships" r:embed="rId1"/>
        <a:stretch>
          <a:fillRect/>
        </a:stretch>
      </xdr:blipFill>
      <xdr:spPr>
        <a:xfrm>
          <a:off x="16212299" y="440767"/>
          <a:ext cx="3455416" cy="1404469"/>
        </a:xfrm>
        <a:prstGeom prst="rect">
          <a:avLst/>
        </a:prstGeom>
      </xdr:spPr>
    </xdr:pic>
    <xdr:clientData/>
  </xdr:twoCellAnchor>
  <xdr:twoCellAnchor editAs="oneCell">
    <xdr:from>
      <xdr:col>10</xdr:col>
      <xdr:colOff>1995394</xdr:colOff>
      <xdr:row>0</xdr:row>
      <xdr:rowOff>15020</xdr:rowOff>
    </xdr:from>
    <xdr:to>
      <xdr:col>11</xdr:col>
      <xdr:colOff>122144</xdr:colOff>
      <xdr:row>2</xdr:row>
      <xdr:rowOff>72342</xdr:rowOff>
    </xdr:to>
    <xdr:pic>
      <xdr:nvPicPr>
        <xdr:cNvPr id="3" name="图片 2">
          <a:extLst>
            <a:ext uri="{FF2B5EF4-FFF2-40B4-BE49-F238E27FC236}">
              <a16:creationId xmlns:a16="http://schemas.microsoft.com/office/drawing/2014/main" id="{69CAB8BB-2914-4130-A820-BBC8594EAC7B}"/>
            </a:ext>
          </a:extLst>
        </xdr:cNvPr>
        <xdr:cNvPicPr>
          <a:picLocks noChangeAspect="1"/>
        </xdr:cNvPicPr>
      </xdr:nvPicPr>
      <xdr:blipFill>
        <a:blip xmlns:r="http://schemas.openxmlformats.org/officeDocument/2006/relationships" r:embed="rId2"/>
        <a:stretch>
          <a:fillRect/>
        </a:stretch>
      </xdr:blipFill>
      <xdr:spPr>
        <a:xfrm>
          <a:off x="16384494" y="15020"/>
          <a:ext cx="800100" cy="4129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997744</xdr:colOff>
      <xdr:row>3</xdr:row>
      <xdr:rowOff>1231107</xdr:rowOff>
    </xdr:from>
    <xdr:to>
      <xdr:col>4</xdr:col>
      <xdr:colOff>176403</xdr:colOff>
      <xdr:row>3</xdr:row>
      <xdr:rowOff>3166413</xdr:rowOff>
    </xdr:to>
    <xdr:pic>
      <xdr:nvPicPr>
        <xdr:cNvPr id="2" name="图片 1">
          <a:extLst>
            <a:ext uri="{FF2B5EF4-FFF2-40B4-BE49-F238E27FC236}">
              <a16:creationId xmlns:a16="http://schemas.microsoft.com/office/drawing/2014/main" id="{6249944D-F994-4FA1-909E-0E4C08E10C27}"/>
            </a:ext>
          </a:extLst>
        </xdr:cNvPr>
        <xdr:cNvPicPr>
          <a:picLocks noChangeAspect="1"/>
        </xdr:cNvPicPr>
      </xdr:nvPicPr>
      <xdr:blipFill>
        <a:blip xmlns:r="http://schemas.openxmlformats.org/officeDocument/2006/relationships" r:embed="rId1"/>
        <a:stretch>
          <a:fillRect/>
        </a:stretch>
      </xdr:blipFill>
      <xdr:spPr>
        <a:xfrm rot="10800000">
          <a:off x="997744" y="3498057"/>
          <a:ext cx="5579459" cy="1935306"/>
        </a:xfrm>
        <a:prstGeom prst="rect">
          <a:avLst/>
        </a:prstGeom>
      </xdr:spPr>
    </xdr:pic>
    <xdr:clientData/>
  </xdr:twoCellAnchor>
  <xdr:twoCellAnchor>
    <xdr:from>
      <xdr:col>0</xdr:col>
      <xdr:colOff>0</xdr:colOff>
      <xdr:row>5</xdr:row>
      <xdr:rowOff>0</xdr:rowOff>
    </xdr:from>
    <xdr:to>
      <xdr:col>0</xdr:col>
      <xdr:colOff>0</xdr:colOff>
      <xdr:row>5</xdr:row>
      <xdr:rowOff>104775</xdr:rowOff>
    </xdr:to>
    <xdr:sp macro="" textlink="">
      <xdr:nvSpPr>
        <xdr:cNvPr id="3" name="Line 1">
          <a:extLst>
            <a:ext uri="{FF2B5EF4-FFF2-40B4-BE49-F238E27FC236}">
              <a16:creationId xmlns:a16="http://schemas.microsoft.com/office/drawing/2014/main" id="{4E7146B3-DABE-432E-B08B-66C84FC62EE1}"/>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4" name="Line 3">
          <a:extLst>
            <a:ext uri="{FF2B5EF4-FFF2-40B4-BE49-F238E27FC236}">
              <a16:creationId xmlns:a16="http://schemas.microsoft.com/office/drawing/2014/main" id="{EA25BA7F-A82B-4556-9231-3EB5D372FEDF}"/>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114300</xdr:rowOff>
    </xdr:to>
    <xdr:sp macro="" textlink="">
      <xdr:nvSpPr>
        <xdr:cNvPr id="5" name="Line 4">
          <a:extLst>
            <a:ext uri="{FF2B5EF4-FFF2-40B4-BE49-F238E27FC236}">
              <a16:creationId xmlns:a16="http://schemas.microsoft.com/office/drawing/2014/main" id="{F1CD49FC-25F4-4E81-BC51-FD2D36F9BB3B}"/>
            </a:ext>
          </a:extLst>
        </xdr:cNvPr>
        <xdr:cNvSpPr>
          <a:spLocks noChangeShapeType="1"/>
        </xdr:cNvSpPr>
      </xdr:nvSpPr>
      <xdr:spPr bwMode="auto">
        <a:xfrm>
          <a:off x="0" y="6705600"/>
          <a:ext cx="0" cy="114300"/>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6" name="Line 5">
          <a:extLst>
            <a:ext uri="{FF2B5EF4-FFF2-40B4-BE49-F238E27FC236}">
              <a16:creationId xmlns:a16="http://schemas.microsoft.com/office/drawing/2014/main" id="{317D3F0F-EC13-4B59-A07D-20BC73FEC701}"/>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123825</xdr:rowOff>
    </xdr:to>
    <xdr:sp macro="" textlink="">
      <xdr:nvSpPr>
        <xdr:cNvPr id="7" name="Line 7">
          <a:extLst>
            <a:ext uri="{FF2B5EF4-FFF2-40B4-BE49-F238E27FC236}">
              <a16:creationId xmlns:a16="http://schemas.microsoft.com/office/drawing/2014/main" id="{B23EECC2-4EC0-4E58-A681-AEF3D820CD37}"/>
            </a:ext>
          </a:extLst>
        </xdr:cNvPr>
        <xdr:cNvSpPr>
          <a:spLocks noChangeShapeType="1"/>
        </xdr:cNvSpPr>
      </xdr:nvSpPr>
      <xdr:spPr bwMode="auto">
        <a:xfrm flipH="1">
          <a:off x="0" y="6705600"/>
          <a:ext cx="0" cy="123825"/>
        </a:xfrm>
        <a:prstGeom prst="line">
          <a:avLst/>
        </a:prstGeom>
        <a:noFill/>
        <a:ln w="19050">
          <a:solidFill>
            <a:srgbClr val="000000"/>
          </a:solidFill>
          <a:round/>
          <a:headEnd/>
          <a:tailEnd/>
        </a:ln>
      </xdr:spPr>
    </xdr:sp>
    <xdr:clientData/>
  </xdr:twoCellAnchor>
  <xdr:twoCellAnchor>
    <xdr:from>
      <xdr:col>4</xdr:col>
      <xdr:colOff>286598</xdr:colOff>
      <xdr:row>3</xdr:row>
      <xdr:rowOff>328025</xdr:rowOff>
    </xdr:from>
    <xdr:to>
      <xdr:col>6</xdr:col>
      <xdr:colOff>728721</xdr:colOff>
      <xdr:row>3</xdr:row>
      <xdr:rowOff>1251663</xdr:rowOff>
    </xdr:to>
    <xdr:sp macro="" textlink="">
      <xdr:nvSpPr>
        <xdr:cNvPr id="8" name="文本框 7">
          <a:extLst>
            <a:ext uri="{FF2B5EF4-FFF2-40B4-BE49-F238E27FC236}">
              <a16:creationId xmlns:a16="http://schemas.microsoft.com/office/drawing/2014/main" id="{911D3FA4-27E3-4EDC-82CB-D8A50A7348A2}"/>
            </a:ext>
          </a:extLst>
        </xdr:cNvPr>
        <xdr:cNvSpPr txBox="1"/>
      </xdr:nvSpPr>
      <xdr:spPr>
        <a:xfrm>
          <a:off x="6687398" y="2594975"/>
          <a:ext cx="2778923" cy="9236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solidFill>
                <a:srgbClr val="FF0000"/>
              </a:solidFill>
              <a:effectLst/>
              <a:latin typeface="+mn-lt"/>
              <a:ea typeface="+mn-ea"/>
              <a:cs typeface="+mn-cs"/>
            </a:rPr>
            <a:t>ALL</a:t>
          </a:r>
          <a:r>
            <a:rPr lang="en-US" altLang="zh-CN" sz="1100" baseline="0">
              <a:solidFill>
                <a:srgbClr val="FF0000"/>
              </a:solidFill>
              <a:effectLst/>
              <a:latin typeface="+mn-lt"/>
              <a:ea typeface="+mn-ea"/>
              <a:cs typeface="+mn-cs"/>
            </a:rPr>
            <a:t> SMT </a:t>
          </a:r>
          <a:r>
            <a:rPr lang="zh-CN" altLang="en-US" sz="1100" baseline="0">
              <a:solidFill>
                <a:srgbClr val="FF0000"/>
              </a:solidFill>
              <a:effectLst/>
              <a:latin typeface="+mn-lt"/>
              <a:ea typeface="+mn-ea"/>
              <a:cs typeface="+mn-cs"/>
            </a:rPr>
            <a:t>电子料</a:t>
          </a:r>
          <a:r>
            <a:rPr lang="zh-CN" altLang="en-US" sz="1100">
              <a:solidFill>
                <a:srgbClr val="FF0000"/>
              </a:solidFill>
              <a:effectLst/>
              <a:latin typeface="+mn-lt"/>
              <a:ea typeface="+mn-ea"/>
              <a:cs typeface="+mn-cs"/>
            </a:rPr>
            <a:t>：需要</a:t>
          </a:r>
          <a:r>
            <a:rPr lang="en-US" altLang="zh-CN" sz="1100">
              <a:solidFill>
                <a:srgbClr val="FF0000"/>
              </a:solidFill>
              <a:effectLst/>
              <a:latin typeface="+mn-lt"/>
              <a:ea typeface="+mn-ea"/>
              <a:cs typeface="+mn-cs"/>
            </a:rPr>
            <a:t>SMT Reel </a:t>
          </a:r>
          <a:r>
            <a:rPr lang="zh-CN" altLang="en-US" sz="1100">
              <a:solidFill>
                <a:srgbClr val="FF0000"/>
              </a:solidFill>
              <a:effectLst/>
              <a:latin typeface="+mn-lt"/>
              <a:ea typeface="+mn-ea"/>
              <a:cs typeface="+mn-cs"/>
            </a:rPr>
            <a:t>来料</a:t>
          </a:r>
          <a:endParaRPr lang="en-US" sz="1200">
            <a:solidFill>
              <a:srgbClr val="FF0000"/>
            </a:solidFill>
          </a:endParaRPr>
        </a:p>
      </xdr:txBody>
    </xdr:sp>
    <xdr:clientData/>
  </xdr:twoCellAnchor>
  <xdr:twoCellAnchor>
    <xdr:from>
      <xdr:col>1</xdr:col>
      <xdr:colOff>743662</xdr:colOff>
      <xdr:row>2</xdr:row>
      <xdr:rowOff>994268</xdr:rowOff>
    </xdr:from>
    <xdr:to>
      <xdr:col>1</xdr:col>
      <xdr:colOff>1979026</xdr:colOff>
      <xdr:row>3</xdr:row>
      <xdr:rowOff>421749</xdr:rowOff>
    </xdr:to>
    <xdr:sp macro="" textlink="">
      <xdr:nvSpPr>
        <xdr:cNvPr id="9" name="文本框 8">
          <a:extLst>
            <a:ext uri="{FF2B5EF4-FFF2-40B4-BE49-F238E27FC236}">
              <a16:creationId xmlns:a16="http://schemas.microsoft.com/office/drawing/2014/main" id="{08EBC15F-BD79-4A1C-AA3D-3366EE1FE445}"/>
            </a:ext>
          </a:extLst>
        </xdr:cNvPr>
        <xdr:cNvSpPr txBox="1"/>
      </xdr:nvSpPr>
      <xdr:spPr>
        <a:xfrm>
          <a:off x="1785062" y="2213468"/>
          <a:ext cx="1235364" cy="4752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第一面贴片</a:t>
          </a:r>
          <a:endParaRPr lang="en-US" sz="1100"/>
        </a:p>
      </xdr:txBody>
    </xdr:sp>
    <xdr:clientData/>
  </xdr:twoCellAnchor>
  <xdr:twoCellAnchor>
    <xdr:from>
      <xdr:col>4</xdr:col>
      <xdr:colOff>889001</xdr:colOff>
      <xdr:row>3</xdr:row>
      <xdr:rowOff>2124365</xdr:rowOff>
    </xdr:from>
    <xdr:to>
      <xdr:col>6</xdr:col>
      <xdr:colOff>717551</xdr:colOff>
      <xdr:row>3</xdr:row>
      <xdr:rowOff>2660651</xdr:rowOff>
    </xdr:to>
    <xdr:sp macro="" textlink="">
      <xdr:nvSpPr>
        <xdr:cNvPr id="10" name="文本框 9">
          <a:extLst>
            <a:ext uri="{FF2B5EF4-FFF2-40B4-BE49-F238E27FC236}">
              <a16:creationId xmlns:a16="http://schemas.microsoft.com/office/drawing/2014/main" id="{0E957CEC-2D0F-483D-BEB3-55CE50A01F02}"/>
            </a:ext>
          </a:extLst>
        </xdr:cNvPr>
        <xdr:cNvSpPr txBox="1"/>
      </xdr:nvSpPr>
      <xdr:spPr>
        <a:xfrm>
          <a:off x="7289801" y="4391315"/>
          <a:ext cx="2165350" cy="536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solidFill>
                <a:srgbClr val="FF0000"/>
              </a:solidFill>
              <a:effectLst/>
              <a:latin typeface="+mn-lt"/>
              <a:ea typeface="+mn-ea"/>
              <a:cs typeface="+mn-cs"/>
            </a:rPr>
            <a:t>需要制作特殊吸嘴</a:t>
          </a:r>
          <a:r>
            <a:rPr lang="en-US" altLang="zh-CN" sz="1100">
              <a:solidFill>
                <a:srgbClr val="FF0000"/>
              </a:solidFill>
              <a:effectLst/>
              <a:latin typeface="+mn-lt"/>
              <a:ea typeface="+mn-ea"/>
              <a:cs typeface="+mn-cs"/>
            </a:rPr>
            <a:t>:</a:t>
          </a:r>
          <a:endParaRPr lang="en-US" altLang="zh-CN" sz="1200">
            <a:solidFill>
              <a:srgbClr val="FF0000"/>
            </a:solidFill>
          </a:endParaRPr>
        </a:p>
        <a:p>
          <a:r>
            <a:rPr lang="en-US" altLang="zh-CN" sz="1200">
              <a:solidFill>
                <a:srgbClr val="FF0000"/>
              </a:solidFill>
            </a:rPr>
            <a:t>Connet=2500*2=5000RMB</a:t>
          </a:r>
        </a:p>
      </xdr:txBody>
    </xdr:sp>
    <xdr:clientData/>
  </xdr:twoCellAnchor>
  <xdr:twoCellAnchor>
    <xdr:from>
      <xdr:col>1</xdr:col>
      <xdr:colOff>2328863</xdr:colOff>
      <xdr:row>3</xdr:row>
      <xdr:rowOff>1504950</xdr:rowOff>
    </xdr:from>
    <xdr:to>
      <xdr:col>4</xdr:col>
      <xdr:colOff>889001</xdr:colOff>
      <xdr:row>3</xdr:row>
      <xdr:rowOff>2392508</xdr:rowOff>
    </xdr:to>
    <xdr:cxnSp macro="">
      <xdr:nvCxnSpPr>
        <xdr:cNvPr id="11" name="直接箭头连接符 10">
          <a:extLst>
            <a:ext uri="{FF2B5EF4-FFF2-40B4-BE49-F238E27FC236}">
              <a16:creationId xmlns:a16="http://schemas.microsoft.com/office/drawing/2014/main" id="{92FBC175-917A-4916-8B21-331238CA8F2B}"/>
            </a:ext>
          </a:extLst>
        </xdr:cNvPr>
        <xdr:cNvCxnSpPr>
          <a:endCxn id="10" idx="1"/>
        </xdr:cNvCxnSpPr>
      </xdr:nvCxnSpPr>
      <xdr:spPr bwMode="auto">
        <a:xfrm>
          <a:off x="3370263" y="3771900"/>
          <a:ext cx="3919538" cy="887558"/>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editAs="oneCell">
    <xdr:from>
      <xdr:col>17</xdr:col>
      <xdr:colOff>112460</xdr:colOff>
      <xdr:row>16</xdr:row>
      <xdr:rowOff>34019</xdr:rowOff>
    </xdr:from>
    <xdr:to>
      <xdr:col>20</xdr:col>
      <xdr:colOff>403900</xdr:colOff>
      <xdr:row>22</xdr:row>
      <xdr:rowOff>161805</xdr:rowOff>
    </xdr:to>
    <xdr:pic>
      <xdr:nvPicPr>
        <xdr:cNvPr id="12" name="图片 11">
          <a:extLst>
            <a:ext uri="{FF2B5EF4-FFF2-40B4-BE49-F238E27FC236}">
              <a16:creationId xmlns:a16="http://schemas.microsoft.com/office/drawing/2014/main" id="{EFDCE81A-4F13-45B2-B022-C68EE3DCA8A5}"/>
            </a:ext>
          </a:extLst>
        </xdr:cNvPr>
        <xdr:cNvPicPr>
          <a:picLocks noChangeAspect="1"/>
        </xdr:cNvPicPr>
      </xdr:nvPicPr>
      <xdr:blipFill>
        <a:blip xmlns:r="http://schemas.openxmlformats.org/officeDocument/2006/relationships" r:embed="rId2"/>
        <a:stretch>
          <a:fillRect/>
        </a:stretch>
      </xdr:blipFill>
      <xdr:spPr>
        <a:xfrm>
          <a:off x="21378610" y="11184619"/>
          <a:ext cx="3714090" cy="19502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190500</xdr:colOff>
      <xdr:row>3</xdr:row>
      <xdr:rowOff>1168884</xdr:rowOff>
    </xdr:from>
    <xdr:to>
      <xdr:col>4</xdr:col>
      <xdr:colOff>252886</xdr:colOff>
      <xdr:row>3</xdr:row>
      <xdr:rowOff>3053474</xdr:rowOff>
    </xdr:to>
    <xdr:pic>
      <xdr:nvPicPr>
        <xdr:cNvPr id="2" name="图片 1">
          <a:extLst>
            <a:ext uri="{FF2B5EF4-FFF2-40B4-BE49-F238E27FC236}">
              <a16:creationId xmlns:a16="http://schemas.microsoft.com/office/drawing/2014/main" id="{CA2D9013-9EFD-4B03-9993-31B4A615774E}"/>
            </a:ext>
          </a:extLst>
        </xdr:cNvPr>
        <xdr:cNvPicPr>
          <a:picLocks noChangeAspect="1"/>
        </xdr:cNvPicPr>
      </xdr:nvPicPr>
      <xdr:blipFill>
        <a:blip xmlns:r="http://schemas.openxmlformats.org/officeDocument/2006/relationships" r:embed="rId1"/>
        <a:stretch>
          <a:fillRect/>
        </a:stretch>
      </xdr:blipFill>
      <xdr:spPr>
        <a:xfrm>
          <a:off x="1231900" y="3435834"/>
          <a:ext cx="5148736" cy="1884590"/>
        </a:xfrm>
        <a:prstGeom prst="rect">
          <a:avLst/>
        </a:prstGeom>
      </xdr:spPr>
    </xdr:pic>
    <xdr:clientData/>
  </xdr:twoCellAnchor>
  <xdr:twoCellAnchor>
    <xdr:from>
      <xdr:col>0</xdr:col>
      <xdr:colOff>0</xdr:colOff>
      <xdr:row>5</xdr:row>
      <xdr:rowOff>0</xdr:rowOff>
    </xdr:from>
    <xdr:to>
      <xdr:col>0</xdr:col>
      <xdr:colOff>0</xdr:colOff>
      <xdr:row>5</xdr:row>
      <xdr:rowOff>104775</xdr:rowOff>
    </xdr:to>
    <xdr:sp macro="" textlink="">
      <xdr:nvSpPr>
        <xdr:cNvPr id="3" name="Line 1">
          <a:extLst>
            <a:ext uri="{FF2B5EF4-FFF2-40B4-BE49-F238E27FC236}">
              <a16:creationId xmlns:a16="http://schemas.microsoft.com/office/drawing/2014/main" id="{64C2ADB8-0951-4DA5-9448-A9A96D512B7C}"/>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4" name="Line 3">
          <a:extLst>
            <a:ext uri="{FF2B5EF4-FFF2-40B4-BE49-F238E27FC236}">
              <a16:creationId xmlns:a16="http://schemas.microsoft.com/office/drawing/2014/main" id="{D3EE9628-28C7-44B0-A83D-A7BE1B370090}"/>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114300</xdr:rowOff>
    </xdr:to>
    <xdr:sp macro="" textlink="">
      <xdr:nvSpPr>
        <xdr:cNvPr id="5" name="Line 4">
          <a:extLst>
            <a:ext uri="{FF2B5EF4-FFF2-40B4-BE49-F238E27FC236}">
              <a16:creationId xmlns:a16="http://schemas.microsoft.com/office/drawing/2014/main" id="{BD0775D8-67B4-4F3C-BE44-DE55087C97B2}"/>
            </a:ext>
          </a:extLst>
        </xdr:cNvPr>
        <xdr:cNvSpPr>
          <a:spLocks noChangeShapeType="1"/>
        </xdr:cNvSpPr>
      </xdr:nvSpPr>
      <xdr:spPr bwMode="auto">
        <a:xfrm>
          <a:off x="0" y="6705600"/>
          <a:ext cx="0" cy="114300"/>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6" name="Line 5">
          <a:extLst>
            <a:ext uri="{FF2B5EF4-FFF2-40B4-BE49-F238E27FC236}">
              <a16:creationId xmlns:a16="http://schemas.microsoft.com/office/drawing/2014/main" id="{00F24A89-D3A8-45EA-BA14-15FF5832C133}"/>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123825</xdr:rowOff>
    </xdr:to>
    <xdr:sp macro="" textlink="">
      <xdr:nvSpPr>
        <xdr:cNvPr id="7" name="Line 7">
          <a:extLst>
            <a:ext uri="{FF2B5EF4-FFF2-40B4-BE49-F238E27FC236}">
              <a16:creationId xmlns:a16="http://schemas.microsoft.com/office/drawing/2014/main" id="{060016DA-0235-4752-8660-DDC313FA47D8}"/>
            </a:ext>
          </a:extLst>
        </xdr:cNvPr>
        <xdr:cNvSpPr>
          <a:spLocks noChangeShapeType="1"/>
        </xdr:cNvSpPr>
      </xdr:nvSpPr>
      <xdr:spPr bwMode="auto">
        <a:xfrm flipH="1">
          <a:off x="0" y="6705600"/>
          <a:ext cx="0" cy="123825"/>
        </a:xfrm>
        <a:prstGeom prst="line">
          <a:avLst/>
        </a:prstGeom>
        <a:noFill/>
        <a:ln w="19050">
          <a:solidFill>
            <a:srgbClr val="000000"/>
          </a:solidFill>
          <a:round/>
          <a:headEnd/>
          <a:tailEnd/>
        </a:ln>
      </xdr:spPr>
    </xdr:sp>
    <xdr:clientData/>
  </xdr:twoCellAnchor>
  <xdr:twoCellAnchor>
    <xdr:from>
      <xdr:col>1</xdr:col>
      <xdr:colOff>2170545</xdr:colOff>
      <xdr:row>3</xdr:row>
      <xdr:rowOff>2574636</xdr:rowOff>
    </xdr:from>
    <xdr:to>
      <xdr:col>3</xdr:col>
      <xdr:colOff>1062182</xdr:colOff>
      <xdr:row>3</xdr:row>
      <xdr:rowOff>3278909</xdr:rowOff>
    </xdr:to>
    <xdr:cxnSp macro="">
      <xdr:nvCxnSpPr>
        <xdr:cNvPr id="8" name="直接箭头连接符 7">
          <a:extLst>
            <a:ext uri="{FF2B5EF4-FFF2-40B4-BE49-F238E27FC236}">
              <a16:creationId xmlns:a16="http://schemas.microsoft.com/office/drawing/2014/main" id="{3EB2E0D0-18F6-4D1F-9F01-36B8996F3CDE}"/>
            </a:ext>
          </a:extLst>
        </xdr:cNvPr>
        <xdr:cNvCxnSpPr/>
      </xdr:nvCxnSpPr>
      <xdr:spPr bwMode="auto">
        <a:xfrm flipH="1" flipV="1">
          <a:off x="3211945" y="4841586"/>
          <a:ext cx="2809587" cy="704273"/>
        </a:xfrm>
        <a:prstGeom prst="straightConnector1">
          <a:avLst/>
        </a:prstGeom>
        <a:solidFill>
          <a:srgbClr val="FFFFFF"/>
        </a:solidFill>
        <a:ln w="9525" cap="flat" cmpd="sng" algn="ctr">
          <a:noFill/>
          <a:prstDash val="solid"/>
          <a:round/>
          <a:headEnd type="none" w="med" len="med"/>
          <a:tailEnd type="triangle"/>
        </a:ln>
        <a:effectLst/>
      </xdr:spPr>
    </xdr:cxnSp>
    <xdr:clientData/>
  </xdr:twoCellAnchor>
  <xdr:twoCellAnchor>
    <xdr:from>
      <xdr:col>6</xdr:col>
      <xdr:colOff>62482</xdr:colOff>
      <xdr:row>3</xdr:row>
      <xdr:rowOff>301540</xdr:rowOff>
    </xdr:from>
    <xdr:to>
      <xdr:col>8</xdr:col>
      <xdr:colOff>300181</xdr:colOff>
      <xdr:row>3</xdr:row>
      <xdr:rowOff>704273</xdr:rowOff>
    </xdr:to>
    <xdr:sp macro="" textlink="">
      <xdr:nvSpPr>
        <xdr:cNvPr id="9" name="文本框 8">
          <a:extLst>
            <a:ext uri="{FF2B5EF4-FFF2-40B4-BE49-F238E27FC236}">
              <a16:creationId xmlns:a16="http://schemas.microsoft.com/office/drawing/2014/main" id="{1CCA4046-6A2D-4187-B838-028EF08FB07F}"/>
            </a:ext>
          </a:extLst>
        </xdr:cNvPr>
        <xdr:cNvSpPr txBox="1"/>
      </xdr:nvSpPr>
      <xdr:spPr>
        <a:xfrm>
          <a:off x="8527032" y="2568490"/>
          <a:ext cx="2504649" cy="402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solidFill>
                <a:srgbClr val="FF0000"/>
              </a:solidFill>
              <a:effectLst/>
              <a:latin typeface="+mn-lt"/>
              <a:ea typeface="+mn-ea"/>
              <a:cs typeface="+mn-cs"/>
            </a:rPr>
            <a:t>ALL</a:t>
          </a:r>
          <a:r>
            <a:rPr lang="en-US" altLang="zh-CN" sz="1100" baseline="0">
              <a:solidFill>
                <a:srgbClr val="FF0000"/>
              </a:solidFill>
              <a:effectLst/>
              <a:latin typeface="+mn-lt"/>
              <a:ea typeface="+mn-ea"/>
              <a:cs typeface="+mn-cs"/>
            </a:rPr>
            <a:t> SMT </a:t>
          </a:r>
          <a:r>
            <a:rPr lang="zh-CN" altLang="en-US" sz="1100" baseline="0">
              <a:solidFill>
                <a:srgbClr val="FF0000"/>
              </a:solidFill>
              <a:effectLst/>
              <a:latin typeface="+mn-lt"/>
              <a:ea typeface="+mn-ea"/>
              <a:cs typeface="+mn-cs"/>
            </a:rPr>
            <a:t>电子料</a:t>
          </a:r>
          <a:r>
            <a:rPr lang="zh-CN" altLang="en-US" sz="1100">
              <a:solidFill>
                <a:srgbClr val="FF0000"/>
              </a:solidFill>
              <a:effectLst/>
              <a:latin typeface="+mn-lt"/>
              <a:ea typeface="+mn-ea"/>
              <a:cs typeface="+mn-cs"/>
            </a:rPr>
            <a:t>：需要</a:t>
          </a:r>
          <a:r>
            <a:rPr lang="en-US" altLang="zh-CN" sz="1100">
              <a:solidFill>
                <a:srgbClr val="FF0000"/>
              </a:solidFill>
              <a:effectLst/>
              <a:latin typeface="+mn-lt"/>
              <a:ea typeface="+mn-ea"/>
              <a:cs typeface="+mn-cs"/>
            </a:rPr>
            <a:t>SMT Reel </a:t>
          </a:r>
          <a:r>
            <a:rPr lang="zh-CN" altLang="en-US" sz="1100">
              <a:solidFill>
                <a:srgbClr val="FF0000"/>
              </a:solidFill>
              <a:effectLst/>
              <a:latin typeface="+mn-lt"/>
              <a:ea typeface="+mn-ea"/>
              <a:cs typeface="+mn-cs"/>
            </a:rPr>
            <a:t>来料</a:t>
          </a:r>
          <a:endParaRPr lang="en-US" sz="1200">
            <a:solidFill>
              <a:srgbClr val="FF0000"/>
            </a:solidFill>
          </a:endParaRPr>
        </a:p>
      </xdr:txBody>
    </xdr:sp>
    <xdr:clientData/>
  </xdr:twoCellAnchor>
  <xdr:twoCellAnchor>
    <xdr:from>
      <xdr:col>5</xdr:col>
      <xdr:colOff>1133929</xdr:colOff>
      <xdr:row>3</xdr:row>
      <xdr:rowOff>1965476</xdr:rowOff>
    </xdr:from>
    <xdr:to>
      <xdr:col>8</xdr:col>
      <xdr:colOff>166309</xdr:colOff>
      <xdr:row>3</xdr:row>
      <xdr:rowOff>2660952</xdr:rowOff>
    </xdr:to>
    <xdr:sp macro="" textlink="">
      <xdr:nvSpPr>
        <xdr:cNvPr id="10" name="文本框 9">
          <a:extLst>
            <a:ext uri="{FF2B5EF4-FFF2-40B4-BE49-F238E27FC236}">
              <a16:creationId xmlns:a16="http://schemas.microsoft.com/office/drawing/2014/main" id="{45559C7C-60C9-463D-B4DA-BF0F8F023CBE}"/>
            </a:ext>
          </a:extLst>
        </xdr:cNvPr>
        <xdr:cNvSpPr txBox="1"/>
      </xdr:nvSpPr>
      <xdr:spPr>
        <a:xfrm>
          <a:off x="8430079" y="4232426"/>
          <a:ext cx="2467730" cy="695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solidFill>
                <a:srgbClr val="FF0000"/>
              </a:solidFill>
              <a:effectLst/>
              <a:latin typeface="+mn-lt"/>
              <a:ea typeface="+mn-ea"/>
              <a:cs typeface="+mn-cs"/>
            </a:rPr>
            <a:t>需要制作特殊吸嘴</a:t>
          </a:r>
          <a:r>
            <a:rPr lang="en-US" altLang="zh-CN" sz="1100">
              <a:solidFill>
                <a:srgbClr val="FF0000"/>
              </a:solidFill>
              <a:effectLst/>
              <a:latin typeface="+mn-lt"/>
              <a:ea typeface="+mn-ea"/>
              <a:cs typeface="+mn-cs"/>
            </a:rPr>
            <a:t>:</a:t>
          </a:r>
          <a:endParaRPr lang="en-US" altLang="zh-CN" sz="1200">
            <a:solidFill>
              <a:srgbClr val="FF0000"/>
            </a:solidFill>
          </a:endParaRPr>
        </a:p>
        <a:p>
          <a:r>
            <a:rPr lang="en-US" altLang="zh-CN" sz="1200">
              <a:solidFill>
                <a:srgbClr val="FF0000"/>
              </a:solidFill>
            </a:rPr>
            <a:t>Connet=2500*8=20000RMB</a:t>
          </a:r>
        </a:p>
      </xdr:txBody>
    </xdr:sp>
    <xdr:clientData/>
  </xdr:twoCellAnchor>
  <xdr:twoCellAnchor>
    <xdr:from>
      <xdr:col>2</xdr:col>
      <xdr:colOff>115956</xdr:colOff>
      <xdr:row>3</xdr:row>
      <xdr:rowOff>1565413</xdr:rowOff>
    </xdr:from>
    <xdr:to>
      <xdr:col>5</xdr:col>
      <xdr:colOff>1133929</xdr:colOff>
      <xdr:row>3</xdr:row>
      <xdr:rowOff>2313214</xdr:rowOff>
    </xdr:to>
    <xdr:cxnSp macro="">
      <xdr:nvCxnSpPr>
        <xdr:cNvPr id="11" name="直接箭头连接符 10">
          <a:extLst>
            <a:ext uri="{FF2B5EF4-FFF2-40B4-BE49-F238E27FC236}">
              <a16:creationId xmlns:a16="http://schemas.microsoft.com/office/drawing/2014/main" id="{0AA5FB0E-7D03-4759-9F9F-1F0C6E678509}"/>
            </a:ext>
          </a:extLst>
        </xdr:cNvPr>
        <xdr:cNvCxnSpPr>
          <a:endCxn id="10" idx="1"/>
        </xdr:cNvCxnSpPr>
      </xdr:nvCxnSpPr>
      <xdr:spPr bwMode="auto">
        <a:xfrm>
          <a:off x="3906906" y="3832363"/>
          <a:ext cx="4523173" cy="747801"/>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3</xdr:col>
      <xdr:colOff>778565</xdr:colOff>
      <xdr:row>3</xdr:row>
      <xdr:rowOff>1706217</xdr:rowOff>
    </xdr:from>
    <xdr:to>
      <xdr:col>5</xdr:col>
      <xdr:colOff>1133929</xdr:colOff>
      <xdr:row>3</xdr:row>
      <xdr:rowOff>2313214</xdr:rowOff>
    </xdr:to>
    <xdr:cxnSp macro="">
      <xdr:nvCxnSpPr>
        <xdr:cNvPr id="12" name="直接箭头连接符 11">
          <a:extLst>
            <a:ext uri="{FF2B5EF4-FFF2-40B4-BE49-F238E27FC236}">
              <a16:creationId xmlns:a16="http://schemas.microsoft.com/office/drawing/2014/main" id="{8D719691-7839-4677-A4F4-1C8C036CF571}"/>
            </a:ext>
          </a:extLst>
        </xdr:cNvPr>
        <xdr:cNvCxnSpPr>
          <a:endCxn id="10" idx="1"/>
        </xdr:cNvCxnSpPr>
      </xdr:nvCxnSpPr>
      <xdr:spPr bwMode="auto">
        <a:xfrm>
          <a:off x="5737915" y="3973167"/>
          <a:ext cx="2692164" cy="606997"/>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xdr:col>
      <xdr:colOff>2132771</xdr:colOff>
      <xdr:row>3</xdr:row>
      <xdr:rowOff>2302565</xdr:rowOff>
    </xdr:from>
    <xdr:to>
      <xdr:col>5</xdr:col>
      <xdr:colOff>1076739</xdr:colOff>
      <xdr:row>3</xdr:row>
      <xdr:rowOff>2580033</xdr:rowOff>
    </xdr:to>
    <xdr:cxnSp macro="">
      <xdr:nvCxnSpPr>
        <xdr:cNvPr id="13" name="直接箭头连接符 12">
          <a:extLst>
            <a:ext uri="{FF2B5EF4-FFF2-40B4-BE49-F238E27FC236}">
              <a16:creationId xmlns:a16="http://schemas.microsoft.com/office/drawing/2014/main" id="{66258590-262F-46AA-A652-586D4DA5ECB6}"/>
            </a:ext>
          </a:extLst>
        </xdr:cNvPr>
        <xdr:cNvCxnSpPr/>
      </xdr:nvCxnSpPr>
      <xdr:spPr bwMode="auto">
        <a:xfrm flipV="1">
          <a:off x="3174171" y="4569515"/>
          <a:ext cx="5198718" cy="277468"/>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xdr:col>
      <xdr:colOff>1076739</xdr:colOff>
      <xdr:row>3</xdr:row>
      <xdr:rowOff>2308777</xdr:rowOff>
    </xdr:from>
    <xdr:to>
      <xdr:col>5</xdr:col>
      <xdr:colOff>1074668</xdr:colOff>
      <xdr:row>3</xdr:row>
      <xdr:rowOff>2530337</xdr:rowOff>
    </xdr:to>
    <xdr:cxnSp macro="">
      <xdr:nvCxnSpPr>
        <xdr:cNvPr id="14" name="直接箭头连接符 13">
          <a:extLst>
            <a:ext uri="{FF2B5EF4-FFF2-40B4-BE49-F238E27FC236}">
              <a16:creationId xmlns:a16="http://schemas.microsoft.com/office/drawing/2014/main" id="{C53A1E67-9657-4A10-9915-F2E288C3F9BA}"/>
            </a:ext>
          </a:extLst>
        </xdr:cNvPr>
        <xdr:cNvCxnSpPr/>
      </xdr:nvCxnSpPr>
      <xdr:spPr bwMode="auto">
        <a:xfrm flipV="1">
          <a:off x="2118139" y="4575727"/>
          <a:ext cx="6252679" cy="22156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editAs="oneCell">
    <xdr:from>
      <xdr:col>17</xdr:col>
      <xdr:colOff>0</xdr:colOff>
      <xdr:row>16</xdr:row>
      <xdr:rowOff>0</xdr:rowOff>
    </xdr:from>
    <xdr:to>
      <xdr:col>20</xdr:col>
      <xdr:colOff>442147</xdr:colOff>
      <xdr:row>32</xdr:row>
      <xdr:rowOff>147205</xdr:rowOff>
    </xdr:to>
    <xdr:pic>
      <xdr:nvPicPr>
        <xdr:cNvPr id="15" name="图片 14">
          <a:extLst>
            <a:ext uri="{FF2B5EF4-FFF2-40B4-BE49-F238E27FC236}">
              <a16:creationId xmlns:a16="http://schemas.microsoft.com/office/drawing/2014/main" id="{C64D276B-2D61-46D2-885B-8DC74B570ED6}"/>
            </a:ext>
          </a:extLst>
        </xdr:cNvPr>
        <xdr:cNvPicPr>
          <a:picLocks noChangeAspect="1"/>
        </xdr:cNvPicPr>
      </xdr:nvPicPr>
      <xdr:blipFill>
        <a:blip xmlns:r="http://schemas.openxmlformats.org/officeDocument/2006/relationships" r:embed="rId2"/>
        <a:stretch>
          <a:fillRect/>
        </a:stretch>
      </xdr:blipFill>
      <xdr:spPr>
        <a:xfrm>
          <a:off x="21882100" y="11150600"/>
          <a:ext cx="4804597" cy="35952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104775</xdr:rowOff>
    </xdr:to>
    <xdr:sp macro="" textlink="">
      <xdr:nvSpPr>
        <xdr:cNvPr id="2" name="Line 1">
          <a:extLst>
            <a:ext uri="{FF2B5EF4-FFF2-40B4-BE49-F238E27FC236}">
              <a16:creationId xmlns:a16="http://schemas.microsoft.com/office/drawing/2014/main" id="{563EF8F6-8554-4B36-B524-B5C01BD1A4A0}"/>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3" name="Line 3">
          <a:extLst>
            <a:ext uri="{FF2B5EF4-FFF2-40B4-BE49-F238E27FC236}">
              <a16:creationId xmlns:a16="http://schemas.microsoft.com/office/drawing/2014/main" id="{990174FB-226B-40B4-8829-690E14898A1E}"/>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114300</xdr:rowOff>
    </xdr:to>
    <xdr:sp macro="" textlink="">
      <xdr:nvSpPr>
        <xdr:cNvPr id="4" name="Line 4">
          <a:extLst>
            <a:ext uri="{FF2B5EF4-FFF2-40B4-BE49-F238E27FC236}">
              <a16:creationId xmlns:a16="http://schemas.microsoft.com/office/drawing/2014/main" id="{E81566BB-B7F5-49E0-A581-AC7268AB6CF0}"/>
            </a:ext>
          </a:extLst>
        </xdr:cNvPr>
        <xdr:cNvSpPr>
          <a:spLocks noChangeShapeType="1"/>
        </xdr:cNvSpPr>
      </xdr:nvSpPr>
      <xdr:spPr bwMode="auto">
        <a:xfrm>
          <a:off x="0" y="6705600"/>
          <a:ext cx="0" cy="114300"/>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5" name="Line 5">
          <a:extLst>
            <a:ext uri="{FF2B5EF4-FFF2-40B4-BE49-F238E27FC236}">
              <a16:creationId xmlns:a16="http://schemas.microsoft.com/office/drawing/2014/main" id="{9EA0CED2-E9A6-41AE-98F6-A052B3E3A572}"/>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123825</xdr:rowOff>
    </xdr:to>
    <xdr:sp macro="" textlink="">
      <xdr:nvSpPr>
        <xdr:cNvPr id="6" name="Line 7">
          <a:extLst>
            <a:ext uri="{FF2B5EF4-FFF2-40B4-BE49-F238E27FC236}">
              <a16:creationId xmlns:a16="http://schemas.microsoft.com/office/drawing/2014/main" id="{DE7BAE2E-B03C-4B77-B4D6-DE43E4952EF2}"/>
            </a:ext>
          </a:extLst>
        </xdr:cNvPr>
        <xdr:cNvSpPr>
          <a:spLocks noChangeShapeType="1"/>
        </xdr:cNvSpPr>
      </xdr:nvSpPr>
      <xdr:spPr bwMode="auto">
        <a:xfrm flipH="1">
          <a:off x="0" y="6705600"/>
          <a:ext cx="0" cy="123825"/>
        </a:xfrm>
        <a:prstGeom prst="line">
          <a:avLst/>
        </a:prstGeom>
        <a:noFill/>
        <a:ln w="19050">
          <a:solidFill>
            <a:srgbClr val="000000"/>
          </a:solidFill>
          <a:round/>
          <a:headEnd/>
          <a:tailEnd/>
        </a:ln>
      </xdr:spPr>
    </xdr:sp>
    <xdr:clientData/>
  </xdr:twoCellAnchor>
  <xdr:twoCellAnchor>
    <xdr:from>
      <xdr:col>1</xdr:col>
      <xdr:colOff>2170545</xdr:colOff>
      <xdr:row>3</xdr:row>
      <xdr:rowOff>2574636</xdr:rowOff>
    </xdr:from>
    <xdr:to>
      <xdr:col>3</xdr:col>
      <xdr:colOff>1062182</xdr:colOff>
      <xdr:row>3</xdr:row>
      <xdr:rowOff>3278909</xdr:rowOff>
    </xdr:to>
    <xdr:cxnSp macro="">
      <xdr:nvCxnSpPr>
        <xdr:cNvPr id="7" name="直接箭头连接符 6">
          <a:extLst>
            <a:ext uri="{FF2B5EF4-FFF2-40B4-BE49-F238E27FC236}">
              <a16:creationId xmlns:a16="http://schemas.microsoft.com/office/drawing/2014/main" id="{797951FA-521E-4A37-9455-7AAEA7951D26}"/>
            </a:ext>
          </a:extLst>
        </xdr:cNvPr>
        <xdr:cNvCxnSpPr/>
      </xdr:nvCxnSpPr>
      <xdr:spPr bwMode="auto">
        <a:xfrm flipH="1" flipV="1">
          <a:off x="3211945" y="4841586"/>
          <a:ext cx="2815937" cy="704273"/>
        </a:xfrm>
        <a:prstGeom prst="straightConnector1">
          <a:avLst/>
        </a:prstGeom>
        <a:solidFill>
          <a:srgbClr val="FFFFFF"/>
        </a:solidFill>
        <a:ln w="9525" cap="flat" cmpd="sng" algn="ctr">
          <a:noFill/>
          <a:prstDash val="solid"/>
          <a:round/>
          <a:headEnd type="none" w="med" len="med"/>
          <a:tailEnd type="triangle"/>
        </a:ln>
        <a:effectLst/>
      </xdr:spPr>
    </xdr:cxnSp>
    <xdr:clientData/>
  </xdr:twoCellAnchor>
  <xdr:twoCellAnchor editAs="oneCell">
    <xdr:from>
      <xdr:col>1</xdr:col>
      <xdr:colOff>831273</xdr:colOff>
      <xdr:row>3</xdr:row>
      <xdr:rowOff>1189181</xdr:rowOff>
    </xdr:from>
    <xdr:to>
      <xdr:col>5</xdr:col>
      <xdr:colOff>751093</xdr:colOff>
      <xdr:row>3</xdr:row>
      <xdr:rowOff>3139539</xdr:rowOff>
    </xdr:to>
    <xdr:pic>
      <xdr:nvPicPr>
        <xdr:cNvPr id="8" name="图片 7">
          <a:extLst>
            <a:ext uri="{FF2B5EF4-FFF2-40B4-BE49-F238E27FC236}">
              <a16:creationId xmlns:a16="http://schemas.microsoft.com/office/drawing/2014/main" id="{A9CFE6E5-D663-4BE8-B6AF-12CF26434653}"/>
            </a:ext>
          </a:extLst>
        </xdr:cNvPr>
        <xdr:cNvPicPr>
          <a:picLocks noChangeAspect="1"/>
        </xdr:cNvPicPr>
      </xdr:nvPicPr>
      <xdr:blipFill>
        <a:blip xmlns:r="http://schemas.openxmlformats.org/officeDocument/2006/relationships" r:embed="rId1"/>
        <a:stretch>
          <a:fillRect/>
        </a:stretch>
      </xdr:blipFill>
      <xdr:spPr>
        <a:xfrm>
          <a:off x="1872673" y="3456131"/>
          <a:ext cx="6193620" cy="19503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104775</xdr:rowOff>
    </xdr:to>
    <xdr:sp macro="" textlink="">
      <xdr:nvSpPr>
        <xdr:cNvPr id="2" name="Line 1">
          <a:extLst>
            <a:ext uri="{FF2B5EF4-FFF2-40B4-BE49-F238E27FC236}">
              <a16:creationId xmlns:a16="http://schemas.microsoft.com/office/drawing/2014/main" id="{17A980F0-A04D-4655-9D1E-8188C9D76008}"/>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3" name="Line 3">
          <a:extLst>
            <a:ext uri="{FF2B5EF4-FFF2-40B4-BE49-F238E27FC236}">
              <a16:creationId xmlns:a16="http://schemas.microsoft.com/office/drawing/2014/main" id="{E5BCD047-966A-42B3-83D4-B8D36526675F}"/>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114300</xdr:rowOff>
    </xdr:to>
    <xdr:sp macro="" textlink="">
      <xdr:nvSpPr>
        <xdr:cNvPr id="4" name="Line 4">
          <a:extLst>
            <a:ext uri="{FF2B5EF4-FFF2-40B4-BE49-F238E27FC236}">
              <a16:creationId xmlns:a16="http://schemas.microsoft.com/office/drawing/2014/main" id="{DA5160F6-20BE-4F4D-B6E9-C9DBC5D89566}"/>
            </a:ext>
          </a:extLst>
        </xdr:cNvPr>
        <xdr:cNvSpPr>
          <a:spLocks noChangeShapeType="1"/>
        </xdr:cNvSpPr>
      </xdr:nvSpPr>
      <xdr:spPr bwMode="auto">
        <a:xfrm>
          <a:off x="0" y="6705600"/>
          <a:ext cx="0" cy="114300"/>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5" name="Line 5">
          <a:extLst>
            <a:ext uri="{FF2B5EF4-FFF2-40B4-BE49-F238E27FC236}">
              <a16:creationId xmlns:a16="http://schemas.microsoft.com/office/drawing/2014/main" id="{EC6682C6-883B-45C6-A55B-D6B4C0A85D35}"/>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123825</xdr:rowOff>
    </xdr:to>
    <xdr:sp macro="" textlink="">
      <xdr:nvSpPr>
        <xdr:cNvPr id="6" name="Line 7">
          <a:extLst>
            <a:ext uri="{FF2B5EF4-FFF2-40B4-BE49-F238E27FC236}">
              <a16:creationId xmlns:a16="http://schemas.microsoft.com/office/drawing/2014/main" id="{8D54A344-56E7-47F4-8091-1BA5F0ECC786}"/>
            </a:ext>
          </a:extLst>
        </xdr:cNvPr>
        <xdr:cNvSpPr>
          <a:spLocks noChangeShapeType="1"/>
        </xdr:cNvSpPr>
      </xdr:nvSpPr>
      <xdr:spPr bwMode="auto">
        <a:xfrm flipH="1">
          <a:off x="0" y="6705600"/>
          <a:ext cx="0" cy="123825"/>
        </a:xfrm>
        <a:prstGeom prst="line">
          <a:avLst/>
        </a:prstGeom>
        <a:noFill/>
        <a:ln w="19050">
          <a:solidFill>
            <a:srgbClr val="000000"/>
          </a:solidFill>
          <a:round/>
          <a:headEnd/>
          <a:tailEnd/>
        </a:ln>
      </xdr:spPr>
    </xdr:sp>
    <xdr:clientData/>
  </xdr:twoCellAnchor>
  <xdr:twoCellAnchor>
    <xdr:from>
      <xdr:col>1</xdr:col>
      <xdr:colOff>2170545</xdr:colOff>
      <xdr:row>3</xdr:row>
      <xdr:rowOff>2574636</xdr:rowOff>
    </xdr:from>
    <xdr:to>
      <xdr:col>3</xdr:col>
      <xdr:colOff>1062182</xdr:colOff>
      <xdr:row>3</xdr:row>
      <xdr:rowOff>3278909</xdr:rowOff>
    </xdr:to>
    <xdr:cxnSp macro="">
      <xdr:nvCxnSpPr>
        <xdr:cNvPr id="7" name="直接箭头连接符 6">
          <a:extLst>
            <a:ext uri="{FF2B5EF4-FFF2-40B4-BE49-F238E27FC236}">
              <a16:creationId xmlns:a16="http://schemas.microsoft.com/office/drawing/2014/main" id="{E0C0EFCD-5EC1-409B-9170-F80B3875F7FF}"/>
            </a:ext>
          </a:extLst>
        </xdr:cNvPr>
        <xdr:cNvCxnSpPr/>
      </xdr:nvCxnSpPr>
      <xdr:spPr bwMode="auto">
        <a:xfrm flipH="1" flipV="1">
          <a:off x="3211945" y="4841586"/>
          <a:ext cx="2809587" cy="704273"/>
        </a:xfrm>
        <a:prstGeom prst="straightConnector1">
          <a:avLst/>
        </a:prstGeom>
        <a:solidFill>
          <a:srgbClr val="FFFFFF"/>
        </a:solidFill>
        <a:ln w="9525" cap="flat" cmpd="sng" algn="ctr">
          <a:noFill/>
          <a:prstDash val="solid"/>
          <a:round/>
          <a:headEnd type="none" w="med" len="med"/>
          <a:tailEnd type="triangle"/>
        </a:ln>
        <a:effectLst/>
      </xdr:spPr>
    </xdr:cxnSp>
    <xdr:clientData/>
  </xdr:twoCellAnchor>
  <xdr:twoCellAnchor editAs="oneCell">
    <xdr:from>
      <xdr:col>1</xdr:col>
      <xdr:colOff>1104900</xdr:colOff>
      <xdr:row>3</xdr:row>
      <xdr:rowOff>1041400</xdr:rowOff>
    </xdr:from>
    <xdr:to>
      <xdr:col>5</xdr:col>
      <xdr:colOff>1044347</xdr:colOff>
      <xdr:row>3</xdr:row>
      <xdr:rowOff>2991758</xdr:rowOff>
    </xdr:to>
    <xdr:pic>
      <xdr:nvPicPr>
        <xdr:cNvPr id="8" name="图片 7">
          <a:extLst>
            <a:ext uri="{FF2B5EF4-FFF2-40B4-BE49-F238E27FC236}">
              <a16:creationId xmlns:a16="http://schemas.microsoft.com/office/drawing/2014/main" id="{247C5DC2-E6C1-421F-8F8F-9278B1065815}"/>
            </a:ext>
          </a:extLst>
        </xdr:cNvPr>
        <xdr:cNvPicPr>
          <a:picLocks noChangeAspect="1"/>
        </xdr:cNvPicPr>
      </xdr:nvPicPr>
      <xdr:blipFill>
        <a:blip xmlns:r="http://schemas.openxmlformats.org/officeDocument/2006/relationships" r:embed="rId1"/>
        <a:stretch>
          <a:fillRect/>
        </a:stretch>
      </xdr:blipFill>
      <xdr:spPr>
        <a:xfrm>
          <a:off x="2146300" y="3308350"/>
          <a:ext cx="6194197" cy="19503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104775</xdr:rowOff>
    </xdr:to>
    <xdr:sp macro="" textlink="">
      <xdr:nvSpPr>
        <xdr:cNvPr id="2" name="Line 1">
          <a:extLst>
            <a:ext uri="{FF2B5EF4-FFF2-40B4-BE49-F238E27FC236}">
              <a16:creationId xmlns:a16="http://schemas.microsoft.com/office/drawing/2014/main" id="{7925109A-8C1C-4E32-9C80-FD15CE39A34D}"/>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3" name="Line 3">
          <a:extLst>
            <a:ext uri="{FF2B5EF4-FFF2-40B4-BE49-F238E27FC236}">
              <a16:creationId xmlns:a16="http://schemas.microsoft.com/office/drawing/2014/main" id="{000ECDF4-C02C-4A91-A046-20AE1E08201E}"/>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114300</xdr:rowOff>
    </xdr:to>
    <xdr:sp macro="" textlink="">
      <xdr:nvSpPr>
        <xdr:cNvPr id="4" name="Line 4">
          <a:extLst>
            <a:ext uri="{FF2B5EF4-FFF2-40B4-BE49-F238E27FC236}">
              <a16:creationId xmlns:a16="http://schemas.microsoft.com/office/drawing/2014/main" id="{B2FF820B-AB19-45EA-AB80-258D1F534EEC}"/>
            </a:ext>
          </a:extLst>
        </xdr:cNvPr>
        <xdr:cNvSpPr>
          <a:spLocks noChangeShapeType="1"/>
        </xdr:cNvSpPr>
      </xdr:nvSpPr>
      <xdr:spPr bwMode="auto">
        <a:xfrm>
          <a:off x="0" y="6705600"/>
          <a:ext cx="0" cy="114300"/>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5" name="Line 5">
          <a:extLst>
            <a:ext uri="{FF2B5EF4-FFF2-40B4-BE49-F238E27FC236}">
              <a16:creationId xmlns:a16="http://schemas.microsoft.com/office/drawing/2014/main" id="{7BFE80D9-7B02-4628-A671-897FAB0CB796}"/>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123825</xdr:rowOff>
    </xdr:to>
    <xdr:sp macro="" textlink="">
      <xdr:nvSpPr>
        <xdr:cNvPr id="6" name="Line 7">
          <a:extLst>
            <a:ext uri="{FF2B5EF4-FFF2-40B4-BE49-F238E27FC236}">
              <a16:creationId xmlns:a16="http://schemas.microsoft.com/office/drawing/2014/main" id="{079A64C6-0F25-42D4-95E5-08BFF470D263}"/>
            </a:ext>
          </a:extLst>
        </xdr:cNvPr>
        <xdr:cNvSpPr>
          <a:spLocks noChangeShapeType="1"/>
        </xdr:cNvSpPr>
      </xdr:nvSpPr>
      <xdr:spPr bwMode="auto">
        <a:xfrm flipH="1">
          <a:off x="0" y="6705600"/>
          <a:ext cx="0" cy="123825"/>
        </a:xfrm>
        <a:prstGeom prst="line">
          <a:avLst/>
        </a:prstGeom>
        <a:noFill/>
        <a:ln w="19050">
          <a:solidFill>
            <a:srgbClr val="000000"/>
          </a:solidFill>
          <a:round/>
          <a:headEnd/>
          <a:tailEnd/>
        </a:ln>
      </xdr:spPr>
    </xdr:sp>
    <xdr:clientData/>
  </xdr:twoCellAnchor>
  <xdr:twoCellAnchor>
    <xdr:from>
      <xdr:col>1</xdr:col>
      <xdr:colOff>2170545</xdr:colOff>
      <xdr:row>3</xdr:row>
      <xdr:rowOff>2574636</xdr:rowOff>
    </xdr:from>
    <xdr:to>
      <xdr:col>3</xdr:col>
      <xdr:colOff>1062182</xdr:colOff>
      <xdr:row>3</xdr:row>
      <xdr:rowOff>3278909</xdr:rowOff>
    </xdr:to>
    <xdr:cxnSp macro="">
      <xdr:nvCxnSpPr>
        <xdr:cNvPr id="7" name="直接箭头连接符 6">
          <a:extLst>
            <a:ext uri="{FF2B5EF4-FFF2-40B4-BE49-F238E27FC236}">
              <a16:creationId xmlns:a16="http://schemas.microsoft.com/office/drawing/2014/main" id="{50B32854-DFB1-490E-B3A2-8A1910888B41}"/>
            </a:ext>
          </a:extLst>
        </xdr:cNvPr>
        <xdr:cNvCxnSpPr/>
      </xdr:nvCxnSpPr>
      <xdr:spPr bwMode="auto">
        <a:xfrm flipH="1" flipV="1">
          <a:off x="3211945" y="4841586"/>
          <a:ext cx="2809587" cy="704273"/>
        </a:xfrm>
        <a:prstGeom prst="straightConnector1">
          <a:avLst/>
        </a:prstGeom>
        <a:solidFill>
          <a:srgbClr val="FFFFFF"/>
        </a:solidFill>
        <a:ln w="9525" cap="flat" cmpd="sng" algn="ctr">
          <a:noFill/>
          <a:prstDash val="solid"/>
          <a:round/>
          <a:headEnd type="none" w="med" len="med"/>
          <a:tailEnd type="triangle"/>
        </a:ln>
        <a:effectLst/>
      </xdr:spPr>
    </xdr:cxnSp>
    <xdr:clientData/>
  </xdr:twoCellAnchor>
  <xdr:twoCellAnchor editAs="oneCell">
    <xdr:from>
      <xdr:col>1</xdr:col>
      <xdr:colOff>482600</xdr:colOff>
      <xdr:row>3</xdr:row>
      <xdr:rowOff>1193800</xdr:rowOff>
    </xdr:from>
    <xdr:to>
      <xdr:col>5</xdr:col>
      <xdr:colOff>422047</xdr:colOff>
      <xdr:row>3</xdr:row>
      <xdr:rowOff>3144158</xdr:rowOff>
    </xdr:to>
    <xdr:pic>
      <xdr:nvPicPr>
        <xdr:cNvPr id="8" name="图片 7">
          <a:extLst>
            <a:ext uri="{FF2B5EF4-FFF2-40B4-BE49-F238E27FC236}">
              <a16:creationId xmlns:a16="http://schemas.microsoft.com/office/drawing/2014/main" id="{69FA8988-5BEF-458D-A022-58E33AC8D2A6}"/>
            </a:ext>
          </a:extLst>
        </xdr:cNvPr>
        <xdr:cNvPicPr>
          <a:picLocks noChangeAspect="1"/>
        </xdr:cNvPicPr>
      </xdr:nvPicPr>
      <xdr:blipFill>
        <a:blip xmlns:r="http://schemas.openxmlformats.org/officeDocument/2006/relationships" r:embed="rId1"/>
        <a:stretch>
          <a:fillRect/>
        </a:stretch>
      </xdr:blipFill>
      <xdr:spPr>
        <a:xfrm>
          <a:off x="1524000" y="3460750"/>
          <a:ext cx="6194197" cy="19503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104775</xdr:rowOff>
    </xdr:to>
    <xdr:sp macro="" textlink="">
      <xdr:nvSpPr>
        <xdr:cNvPr id="2" name="Line 1">
          <a:extLst>
            <a:ext uri="{FF2B5EF4-FFF2-40B4-BE49-F238E27FC236}">
              <a16:creationId xmlns:a16="http://schemas.microsoft.com/office/drawing/2014/main" id="{1FC8D0F7-4736-4A36-91AA-89EE5AE8B67E}"/>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3" name="Line 3">
          <a:extLst>
            <a:ext uri="{FF2B5EF4-FFF2-40B4-BE49-F238E27FC236}">
              <a16:creationId xmlns:a16="http://schemas.microsoft.com/office/drawing/2014/main" id="{B34A79AB-D5D5-413D-8CBA-7BA52AD6D926}"/>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114300</xdr:rowOff>
    </xdr:to>
    <xdr:sp macro="" textlink="">
      <xdr:nvSpPr>
        <xdr:cNvPr id="4" name="Line 4">
          <a:extLst>
            <a:ext uri="{FF2B5EF4-FFF2-40B4-BE49-F238E27FC236}">
              <a16:creationId xmlns:a16="http://schemas.microsoft.com/office/drawing/2014/main" id="{1179FE93-1E8B-48AA-B7C8-F81B1413E057}"/>
            </a:ext>
          </a:extLst>
        </xdr:cNvPr>
        <xdr:cNvSpPr>
          <a:spLocks noChangeShapeType="1"/>
        </xdr:cNvSpPr>
      </xdr:nvSpPr>
      <xdr:spPr bwMode="auto">
        <a:xfrm>
          <a:off x="0" y="6705600"/>
          <a:ext cx="0" cy="114300"/>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104775</xdr:rowOff>
    </xdr:to>
    <xdr:sp macro="" textlink="">
      <xdr:nvSpPr>
        <xdr:cNvPr id="5" name="Line 5">
          <a:extLst>
            <a:ext uri="{FF2B5EF4-FFF2-40B4-BE49-F238E27FC236}">
              <a16:creationId xmlns:a16="http://schemas.microsoft.com/office/drawing/2014/main" id="{049979B9-0029-4C09-A64A-FED0D1B24196}"/>
            </a:ext>
          </a:extLst>
        </xdr:cNvPr>
        <xdr:cNvSpPr>
          <a:spLocks noChangeShapeType="1"/>
        </xdr:cNvSpPr>
      </xdr:nvSpPr>
      <xdr:spPr bwMode="auto">
        <a:xfrm>
          <a:off x="0" y="6705600"/>
          <a:ext cx="0" cy="104775"/>
        </a:xfrm>
        <a:prstGeom prst="line">
          <a:avLst/>
        </a:prstGeom>
        <a:noFill/>
        <a:ln w="19050">
          <a:solidFill>
            <a:srgbClr val="000000"/>
          </a:solidFill>
          <a:round/>
          <a:headEnd/>
          <a:tailEnd/>
        </a:ln>
      </xdr:spPr>
    </xdr:sp>
    <xdr:clientData/>
  </xdr:twoCellAnchor>
  <xdr:twoCellAnchor>
    <xdr:from>
      <xdr:col>0</xdr:col>
      <xdr:colOff>0</xdr:colOff>
      <xdr:row>5</xdr:row>
      <xdr:rowOff>0</xdr:rowOff>
    </xdr:from>
    <xdr:to>
      <xdr:col>0</xdr:col>
      <xdr:colOff>0</xdr:colOff>
      <xdr:row>5</xdr:row>
      <xdr:rowOff>123825</xdr:rowOff>
    </xdr:to>
    <xdr:sp macro="" textlink="">
      <xdr:nvSpPr>
        <xdr:cNvPr id="6" name="Line 7">
          <a:extLst>
            <a:ext uri="{FF2B5EF4-FFF2-40B4-BE49-F238E27FC236}">
              <a16:creationId xmlns:a16="http://schemas.microsoft.com/office/drawing/2014/main" id="{0B6F1C4C-F6FF-4D9C-B628-7A73DB9918FB}"/>
            </a:ext>
          </a:extLst>
        </xdr:cNvPr>
        <xdr:cNvSpPr>
          <a:spLocks noChangeShapeType="1"/>
        </xdr:cNvSpPr>
      </xdr:nvSpPr>
      <xdr:spPr bwMode="auto">
        <a:xfrm flipH="1">
          <a:off x="0" y="6705600"/>
          <a:ext cx="0" cy="123825"/>
        </a:xfrm>
        <a:prstGeom prst="line">
          <a:avLst/>
        </a:prstGeom>
        <a:noFill/>
        <a:ln w="19050">
          <a:solidFill>
            <a:srgbClr val="000000"/>
          </a:solidFill>
          <a:round/>
          <a:headEnd/>
          <a:tailEnd/>
        </a:ln>
      </xdr:spPr>
    </xdr:sp>
    <xdr:clientData/>
  </xdr:twoCellAnchor>
  <xdr:twoCellAnchor>
    <xdr:from>
      <xdr:col>1</xdr:col>
      <xdr:colOff>2170545</xdr:colOff>
      <xdr:row>3</xdr:row>
      <xdr:rowOff>2574636</xdr:rowOff>
    </xdr:from>
    <xdr:to>
      <xdr:col>3</xdr:col>
      <xdr:colOff>1062182</xdr:colOff>
      <xdr:row>3</xdr:row>
      <xdr:rowOff>3278909</xdr:rowOff>
    </xdr:to>
    <xdr:cxnSp macro="">
      <xdr:nvCxnSpPr>
        <xdr:cNvPr id="7" name="直接箭头连接符 6">
          <a:extLst>
            <a:ext uri="{FF2B5EF4-FFF2-40B4-BE49-F238E27FC236}">
              <a16:creationId xmlns:a16="http://schemas.microsoft.com/office/drawing/2014/main" id="{E00A1B8E-E282-496F-B472-7BB56DD21BFD}"/>
            </a:ext>
          </a:extLst>
        </xdr:cNvPr>
        <xdr:cNvCxnSpPr/>
      </xdr:nvCxnSpPr>
      <xdr:spPr bwMode="auto">
        <a:xfrm flipH="1" flipV="1">
          <a:off x="3211945" y="4841586"/>
          <a:ext cx="2809587" cy="704273"/>
        </a:xfrm>
        <a:prstGeom prst="straightConnector1">
          <a:avLst/>
        </a:prstGeom>
        <a:solidFill>
          <a:srgbClr val="FFFFFF"/>
        </a:solidFill>
        <a:ln w="9525" cap="flat" cmpd="sng" algn="ctr">
          <a:noFill/>
          <a:prstDash val="solid"/>
          <a:round/>
          <a:headEnd type="none" w="med" len="med"/>
          <a:tailEnd type="triangle"/>
        </a:ln>
        <a:effectLst/>
      </xdr:spPr>
    </xdr:cxnSp>
    <xdr:clientData/>
  </xdr:twoCellAnchor>
  <xdr:twoCellAnchor editAs="oneCell">
    <xdr:from>
      <xdr:col>1</xdr:col>
      <xdr:colOff>1104900</xdr:colOff>
      <xdr:row>3</xdr:row>
      <xdr:rowOff>1041400</xdr:rowOff>
    </xdr:from>
    <xdr:to>
      <xdr:col>5</xdr:col>
      <xdr:colOff>1044347</xdr:colOff>
      <xdr:row>3</xdr:row>
      <xdr:rowOff>2991758</xdr:rowOff>
    </xdr:to>
    <xdr:pic>
      <xdr:nvPicPr>
        <xdr:cNvPr id="8" name="图片 7">
          <a:extLst>
            <a:ext uri="{FF2B5EF4-FFF2-40B4-BE49-F238E27FC236}">
              <a16:creationId xmlns:a16="http://schemas.microsoft.com/office/drawing/2014/main" id="{E548D976-02DB-44B4-A7B8-6EF0C400F1C2}"/>
            </a:ext>
          </a:extLst>
        </xdr:cNvPr>
        <xdr:cNvPicPr>
          <a:picLocks noChangeAspect="1"/>
        </xdr:cNvPicPr>
      </xdr:nvPicPr>
      <xdr:blipFill>
        <a:blip xmlns:r="http://schemas.openxmlformats.org/officeDocument/2006/relationships" r:embed="rId1"/>
        <a:stretch>
          <a:fillRect/>
        </a:stretch>
      </xdr:blipFill>
      <xdr:spPr>
        <a:xfrm>
          <a:off x="2146300" y="3308350"/>
          <a:ext cx="6194197" cy="19503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8571</xdr:colOff>
      <xdr:row>30</xdr:row>
      <xdr:rowOff>23519</xdr:rowOff>
    </xdr:from>
    <xdr:to>
      <xdr:col>1</xdr:col>
      <xdr:colOff>1578705</xdr:colOff>
      <xdr:row>31</xdr:row>
      <xdr:rowOff>714</xdr:rowOff>
    </xdr:to>
    <xdr:sp macro="" textlink="">
      <xdr:nvSpPr>
        <xdr:cNvPr id="2" name="文本框 1" descr="$[#最终审核.date]">
          <a:extLst>
            <a:ext uri="{FF2B5EF4-FFF2-40B4-BE49-F238E27FC236}">
              <a16:creationId xmlns:a16="http://schemas.microsoft.com/office/drawing/2014/main" id="{58A208D8-2EAB-479C-92E1-519272B95295}"/>
            </a:ext>
          </a:extLst>
        </xdr:cNvPr>
        <xdr:cNvSpPr txBox="1"/>
      </xdr:nvSpPr>
      <xdr:spPr>
        <a:xfrm>
          <a:off x="872171" y="2296819"/>
          <a:ext cx="1570134" cy="174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zh-CN"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ecilia.wang\Desktop\&#21103;&#26412;CAS-P035%20shield%20controller%202102664-10-A%203kwk%20Mexico%202025051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cecilia.wang\Desktop\p035\CAS-P035%20shield%20controller%202102664-10-A%203kwk%20TH%2020250512.xlsx" TargetMode="External"/><Relationship Id="rId1" Type="http://schemas.openxmlformats.org/officeDocument/2006/relationships/externalLinkPath" Target="file:///C:\Users\cecilia.wang\Desktop\p035%2020250512\20250512%20CAS\CAS-P035%20shield%20controller%202102664-10-A%203kwk%20TH%2020250512.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cecilia.wang\AppData\Local\Microsoft\Windows\INetCache\Content.Outlook\7YCW1K3D\Amphenol%20Mexico%20-%20P035%202102664-10-A-PCBA%20Concept-1k%20%2020260131.xlsx" TargetMode="External"/><Relationship Id="rId1" Type="http://schemas.openxmlformats.org/officeDocument/2006/relationships/externalLinkPath" Target="file:///C:\Users\cecilia.wang\AppData\Local\Microsoft\Windows\INetCache\Content.Outlook\7YCW1K3D\Amphenol%20Mexico%20-%20P035%202102664-10-A-PCBA%20Concept-1k%20%2020260131.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cecilia.wang\AppData\Local\Microsoft\Windows\INetCache\Content.Outlook\7YCW1K3D\Amphenol%20Mexico%20-%20P035%202102664-10-A-PCBA%20Concept-1k%20%2020251009.xlsx" TargetMode="External"/><Relationship Id="rId1" Type="http://schemas.openxmlformats.org/officeDocument/2006/relationships/externalLinkPath" Target="file:///C:\Users\cecilia.wang\AppData\Local\Microsoft\Windows\INetCache\Content.Outlook\7YCW1K3D\Amphenol%20Mexico%20-%20P035%202102664-10-A-PCBA%20Concept-1k%20%2020251009.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cecilia.wang\AppData\Local\Microsoft\Windows\INetCache\Content.Outlook\7YCW1K3D\RFQ%20P035%20Windshield%20Controller_Semi-auto%20line-1k%20%2020260131%20Mexico.xlsx" TargetMode="External"/><Relationship Id="rId1" Type="http://schemas.openxmlformats.org/officeDocument/2006/relationships/externalLinkPath" Target="file:///C:\Users\cecilia.wang\AppData\Local\Microsoft\Windows\INetCache\Content.Outlook\7YCW1K3D\RFQ%20P035%20Windshield%20Controller_Semi-auto%20line-1k%20%2020260131%20Mexico.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C:\Users\cecilia.wang\AppData\Local\Microsoft\Windows\INetCache\Content.Outlook\7YCW1K3D\RFQ%20P035%20Windshield%20Controller_Semi-auto%20line-1k%20%2020250903%20Mexico.xlsx" TargetMode="External"/><Relationship Id="rId1" Type="http://schemas.openxmlformats.org/officeDocument/2006/relationships/externalLinkPath" Target="file:///C:\Users\cecilia.wang\AppData\Local\Microsoft\Windows\INetCache\Content.Outlook\7YCW1K3D\RFQ%20P035%20Windshield%20Controller_Semi-auto%20line-1k%20%2020250903%20Mexic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cecilia.wang\AppData\Local\Microsoft\Windows\INetCache\Content.Outlook\XYL2NUKY\GEN%202.5%20Dynamo%20GNSS%20Antenna%20MP%20CAS%20_20250414_.xlsx" TargetMode="External"/><Relationship Id="rId1" Type="http://schemas.openxmlformats.org/officeDocument/2006/relationships/externalLinkPath" Target="file:///C:\Users\cecilia.wang\AppData\Local\Microsoft\Windows\INetCache\Content.Outlook\XYL2NUKY\GEN%202.5%20Dynamo%20GNSS%20Antenna%20MP%20CAS%20_20250414_.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cecilia.wang\AppData\Local\Microsoft\Windows\INetCache\Content.Outlook\7YCW1K3D\Lili%20Modified%20with%20Top%20Cover%20TSLA%20Palce%20Holder%20Tesla%20P103%20MX%201987158-00-B%20W68%20Remote%20IMU%203kwk%2020250512.xlsx" TargetMode="External"/><Relationship Id="rId1" Type="http://schemas.openxmlformats.org/officeDocument/2006/relationships/externalLinkPath" Target="file:///C:\Users\cecilia.wang\AppData\Local\Microsoft\Windows\INetCache\Content.Outlook\7YCW1K3D\Lili%20Modified%20with%20Top%20Cover%20TSLA%20Palce%20Holder%20Tesla%20P103%20MX%201987158-00-B%20W68%20Remote%20IMU%203kwk%202025051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cecilia.wang\Desktop\CAS-P035%20shield%20controller%202102664-10-A%201kwk%20Mexico%2020251009.xlsx" TargetMode="External"/><Relationship Id="rId1" Type="http://schemas.openxmlformats.org/officeDocument/2006/relationships/externalLinkPath" Target="file:///C:\Users\cecilia.wang\Desktop\CAS-P035%20shield%20controller%202102664-10-A%201kwk%20Mexico%202025100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TEM003-04-M00-N%20initial%20BOM%20_20260304.xls" TargetMode="External"/><Relationship Id="rId1" Type="http://schemas.openxmlformats.org/officeDocument/2006/relationships/externalLinkPath" Target="TEM003-04-M00-N%20initial%20BOM%20_20260304.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ecilia.wang\AppData\Local\Microsoft\Windows\INetCache\Content.Outlook\7YCW1K3D\TEM003-04-M00-N%20initial%20BOM%20_20260129&#23545;&#27604;2102664-11-C_01-6%20(Engineering%20BOM)(3.4)%2020260304.xlsx" TargetMode="External"/><Relationship Id="rId1" Type="http://schemas.openxmlformats.org/officeDocument/2006/relationships/externalLinkPath" Target="file:///C:\Users\cecilia.wang\AppData\Local\Microsoft\Windows\INetCache\Content.Outlook\7YCW1K3D\TEM003-04-M00-N%20initial%20BOM%20_20260129&#23545;&#27604;2102664-11-C_01-6%20(Engineering%20BOM)(3.4)%2020260304.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cecilia.wang\AppData\Local\Microsoft\Windows\INetCache\Content.Outlook\7YCW1K3D\1%20P035%20Mar.4th%202026%20EEBOM.xlsx" TargetMode="External"/><Relationship Id="rId1" Type="http://schemas.openxmlformats.org/officeDocument/2006/relationships/externalLinkPath" Target="file:///C:\Users\cecilia.wang\AppData\Local\Microsoft\Windows\INetCache\Content.Outlook\7YCW1K3D\1%20P035%20Mar.4th%202026%20EEBOM.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ecilia.wang\AppData\Local\Microsoft\Windows\INetCache\Content.Outlook\7YCW1K3D\p035%20&#26368;&#26032;TEM003-04-M00-N%20initial%20BOM%20_20251215.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cecilia.wang\AppData\Local\Microsoft\Windows\INetCache\Content.Outlook\7YCW1K3D\CAS%20MX%20P035%20Windshield%20Controller%202102664-10-A%201kwk%20%20Oct092025.xlsx" TargetMode="External"/><Relationship Id="rId1" Type="http://schemas.openxmlformats.org/officeDocument/2006/relationships/externalLinkPath" Target="file:///C:\Users\cecilia.wang\AppData\Local\Microsoft\Windows\INetCache\Content.Outlook\7YCW1K3D\CAS%20MX%20P035%20Windshield%20Controller%202102664-10-A%201kwk%20%20Oct09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ange Rat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amp;Assumption"/>
      <sheetName val="Main sheet_SMT and Assembly"/>
      <sheetName val="P035 RFQ_ (B面)"/>
      <sheetName val="P035  RFQ（T面）"/>
      <sheetName val="P035 RFQ AXI"/>
      <sheetName val="P035  RFQ（ICT）"/>
      <sheetName val="P035  RFQ（Depanel) "/>
      <sheetName val="P035  RFQ（EOL) "/>
      <sheetName val="P035  RFQ（FVI) "/>
      <sheetName val="P035  RFQ（Packing) "/>
      <sheetName val="EEBOM 0512"/>
      <sheetName val="EBOM"/>
      <sheetName val="Process Concept"/>
      <sheetName val="tooling cost analysis"/>
      <sheetName val="Exchange Rate"/>
      <sheetName val="Packing"/>
      <sheetName val="TH 1 shif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C2" t="str">
            <v>Part name</v>
          </cell>
          <cell r="D2" t="str">
            <v>Part Type</v>
          </cell>
          <cell r="E2" t="str">
            <v>Source</v>
          </cell>
          <cell r="F2" t="str">
            <v>Rev</v>
          </cell>
          <cell r="G2" t="str">
            <v>Material/Spec./Size.</v>
          </cell>
          <cell r="H2" t="str">
            <v>Appearance</v>
          </cell>
          <cell r="I2" t="str">
            <v>Config</v>
          </cell>
          <cell r="J2" t="str">
            <v>Storage Life (Day)</v>
          </cell>
          <cell r="K2" t="str">
            <v>Unit</v>
          </cell>
          <cell r="L2" t="str">
            <v>Usage</v>
          </cell>
          <cell r="M2" t="str">
            <v>Remarks</v>
          </cell>
          <cell r="N2" t="str">
            <v>SMT Position</v>
          </cell>
          <cell r="O2" t="str">
            <v>APN</v>
          </cell>
          <cell r="P2" t="str">
            <v>unit price$</v>
          </cell>
        </row>
        <row r="3">
          <cell r="C3" t="str">
            <v>GCM21BR71E225KA73L</v>
          </cell>
          <cell r="D3" t="str">
            <v>电子物料</v>
          </cell>
          <cell r="E3" t="str">
            <v>B</v>
          </cell>
          <cell r="F3" t="str">
            <v>RA</v>
          </cell>
          <cell r="G3" t="str">
            <v>Cap,X7R,2.2uF,25V,10%,0805,AEC-Q</v>
          </cell>
          <cell r="H3" t="str">
            <v>N/A</v>
          </cell>
          <cell r="I3" t="str">
            <v/>
          </cell>
          <cell r="J3" t="str">
            <v>730</v>
          </cell>
          <cell r="K3" t="str">
            <v>PCS</v>
          </cell>
          <cell r="L3">
            <v>5</v>
          </cell>
          <cell r="M3" t="str">
            <v>Murata</v>
          </cell>
          <cell r="N3" t="str">
            <v>C10,C11,C307,C416,C417</v>
          </cell>
          <cell r="O3" t="str">
            <v>2005869</v>
          </cell>
          <cell r="P3">
            <v>0.02</v>
          </cell>
        </row>
        <row r="4">
          <cell r="C4" t="str">
            <v>CGA4J3X7R1E225K125AB</v>
          </cell>
          <cell r="D4" t="str">
            <v>电子物料</v>
          </cell>
          <cell r="E4" t="str">
            <v>B</v>
          </cell>
          <cell r="F4" t="str">
            <v>RA</v>
          </cell>
          <cell r="G4" t="str">
            <v>Cap,X7R,2.2uF,25V,10%,0805,AEC-Q</v>
          </cell>
          <cell r="H4" t="str">
            <v>N/A</v>
          </cell>
          <cell r="I4" t="str">
            <v/>
          </cell>
          <cell r="J4" t="str">
            <v>730</v>
          </cell>
          <cell r="K4" t="str">
            <v>PCS</v>
          </cell>
          <cell r="M4" t="str">
            <v>TDK Corporation Of America</v>
          </cell>
          <cell r="O4" t="str">
            <v>2005869</v>
          </cell>
          <cell r="P4">
            <v>3.2579999999999998E-2</v>
          </cell>
        </row>
        <row r="5">
          <cell r="C5" t="str">
            <v>PESD1LIN,115</v>
          </cell>
          <cell r="D5" t="str">
            <v>电子物料</v>
          </cell>
          <cell r="E5" t="str">
            <v>B</v>
          </cell>
          <cell r="F5" t="str">
            <v>RA</v>
          </cell>
          <cell r="G5" t="str">
            <v>TVS,BI-DIR,15V/24V,160W,LIN,SOD323,RoHS,AEC-Q</v>
          </cell>
          <cell r="H5" t="str">
            <v>N/A</v>
          </cell>
          <cell r="I5" t="str">
            <v/>
          </cell>
          <cell r="J5" t="str">
            <v>730</v>
          </cell>
          <cell r="K5" t="str">
            <v>PCS</v>
          </cell>
          <cell r="L5">
            <v>1</v>
          </cell>
          <cell r="M5" t="str">
            <v>Nexperia</v>
          </cell>
          <cell r="N5" t="str">
            <v>D2</v>
          </cell>
          <cell r="O5" t="str">
            <v>2007849</v>
          </cell>
          <cell r="P5">
            <v>4.1200000000000001E-2</v>
          </cell>
        </row>
        <row r="6">
          <cell r="C6" t="str">
            <v>NXP&amp;PESD1LIN,115</v>
          </cell>
          <cell r="D6" t="str">
            <v>电子物料</v>
          </cell>
          <cell r="E6" t="str">
            <v>B</v>
          </cell>
          <cell r="F6" t="str">
            <v>RA</v>
          </cell>
          <cell r="G6" t="str">
            <v>TVS,BI-DIR,15V/24V,160W,LIN,SOD323,RoHS,AEC-Q</v>
          </cell>
          <cell r="H6" t="str">
            <v>N/A</v>
          </cell>
          <cell r="I6" t="str">
            <v/>
          </cell>
          <cell r="J6" t="str">
            <v>730</v>
          </cell>
          <cell r="K6" t="str">
            <v>PCS</v>
          </cell>
          <cell r="M6" t="str">
            <v>Nexperia</v>
          </cell>
          <cell r="O6" t="str">
            <v>2007849</v>
          </cell>
        </row>
        <row r="7">
          <cell r="C7" t="str">
            <v>CGA3E2X7R2A472K080AA</v>
          </cell>
          <cell r="D7" t="str">
            <v>电子物料</v>
          </cell>
          <cell r="E7" t="str">
            <v>B</v>
          </cell>
          <cell r="F7" t="str">
            <v>RA</v>
          </cell>
          <cell r="G7" t="str">
            <v>CAP,X7R,4700pF,100V,10%,0603(1608),AEC-Q</v>
          </cell>
          <cell r="H7" t="str">
            <v>N/A</v>
          </cell>
          <cell r="I7" t="str">
            <v/>
          </cell>
          <cell r="J7" t="str">
            <v>730</v>
          </cell>
          <cell r="K7" t="str">
            <v>PCS</v>
          </cell>
          <cell r="M7" t="str">
            <v>TDK Corporation Of America</v>
          </cell>
          <cell r="N7" t="str">
            <v>C404,C414</v>
          </cell>
          <cell r="O7" t="str">
            <v>1479934-00-A</v>
          </cell>
          <cell r="P7">
            <v>2.99E-3</v>
          </cell>
        </row>
        <row r="8">
          <cell r="C8" t="str">
            <v>C0603C472K1RACAUTO</v>
          </cell>
          <cell r="D8" t="str">
            <v>电子物料</v>
          </cell>
          <cell r="E8" t="str">
            <v>B</v>
          </cell>
          <cell r="F8" t="str">
            <v>RA</v>
          </cell>
          <cell r="G8" t="str">
            <v>CAP,X7R,4700pF,100V,10%,0603(1608),AEC-Q</v>
          </cell>
          <cell r="H8" t="str">
            <v>N/A</v>
          </cell>
          <cell r="I8" t="str">
            <v/>
          </cell>
          <cell r="J8" t="str">
            <v>730</v>
          </cell>
          <cell r="K8" t="str">
            <v>PCS</v>
          </cell>
          <cell r="M8" t="str">
            <v>Kemet</v>
          </cell>
          <cell r="O8" t="str">
            <v>1479934-00-A</v>
          </cell>
        </row>
        <row r="9">
          <cell r="C9" t="str">
            <v>GCM188R72A472KA37D</v>
          </cell>
          <cell r="D9" t="str">
            <v>电子物料</v>
          </cell>
          <cell r="E9" t="str">
            <v>B</v>
          </cell>
          <cell r="F9" t="str">
            <v>RA</v>
          </cell>
          <cell r="G9" t="str">
            <v>CAP,X7R,4700pF,100V,10%,0603(1608),AEC-Q</v>
          </cell>
          <cell r="H9" t="str">
            <v>N/A</v>
          </cell>
          <cell r="I9" t="str">
            <v/>
          </cell>
          <cell r="J9" t="str">
            <v>730</v>
          </cell>
          <cell r="K9" t="str">
            <v>PCS</v>
          </cell>
          <cell r="L9">
            <v>2</v>
          </cell>
          <cell r="M9" t="str">
            <v>Murata</v>
          </cell>
          <cell r="O9" t="str">
            <v>1479934-00-A</v>
          </cell>
          <cell r="P9">
            <v>2.7000000000000001E-3</v>
          </cell>
        </row>
        <row r="10">
          <cell r="C10" t="str">
            <v>HMK107B7472KAHT</v>
          </cell>
          <cell r="D10" t="str">
            <v>电子物料</v>
          </cell>
          <cell r="E10" t="str">
            <v>B</v>
          </cell>
          <cell r="F10" t="str">
            <v>RA</v>
          </cell>
          <cell r="G10" t="str">
            <v>CAP,X7R,4700pF,100V,10%,0603(1608),AEC-Q</v>
          </cell>
          <cell r="H10" t="str">
            <v>N/A</v>
          </cell>
          <cell r="I10" t="str">
            <v/>
          </cell>
          <cell r="J10" t="str">
            <v>730</v>
          </cell>
          <cell r="K10" t="str">
            <v>PCS</v>
          </cell>
          <cell r="M10" t="str">
            <v>Taiyo Yuden</v>
          </cell>
          <cell r="O10" t="str">
            <v>1479934-00-A</v>
          </cell>
        </row>
        <row r="11">
          <cell r="C11" t="str">
            <v>MCASH168SB7472KTNA01</v>
          </cell>
          <cell r="D11" t="str">
            <v>电子物料</v>
          </cell>
          <cell r="E11" t="str">
            <v>B</v>
          </cell>
          <cell r="F11" t="str">
            <v>RA</v>
          </cell>
          <cell r="G11" t="str">
            <v>CAP,X7R,4700pF,100V,10%,0603(1608),AEC-Q</v>
          </cell>
          <cell r="H11" t="str">
            <v>N/A</v>
          </cell>
          <cell r="I11" t="str">
            <v/>
          </cell>
          <cell r="J11" t="str">
            <v>730</v>
          </cell>
          <cell r="K11" t="str">
            <v>PCS</v>
          </cell>
          <cell r="M11" t="str">
            <v>Taiyo Yuden</v>
          </cell>
          <cell r="O11" t="str">
            <v>1479934-00-A</v>
          </cell>
        </row>
        <row r="12">
          <cell r="C12" t="str">
            <v>CL10B472KC8WPNC</v>
          </cell>
          <cell r="D12" t="str">
            <v>电子物料</v>
          </cell>
          <cell r="E12" t="str">
            <v>B</v>
          </cell>
          <cell r="F12" t="str">
            <v>RA</v>
          </cell>
          <cell r="G12" t="str">
            <v>CAP,X7R,4700pF,100V,10%,0603(1608),AEC-Q</v>
          </cell>
          <cell r="H12" t="str">
            <v>N/A</v>
          </cell>
          <cell r="I12" t="str">
            <v/>
          </cell>
          <cell r="J12" t="str">
            <v>730</v>
          </cell>
          <cell r="K12" t="str">
            <v>PCS</v>
          </cell>
          <cell r="M12" t="str">
            <v>Samsung Electron Mechanics Co Ltd</v>
          </cell>
          <cell r="O12" t="str">
            <v>1479934-00-A</v>
          </cell>
          <cell r="P12">
            <v>3.3999999999999998E-3</v>
          </cell>
        </row>
        <row r="13">
          <cell r="C13" t="str">
            <v>TPS1HC100BQPWPRQ1</v>
          </cell>
          <cell r="D13" t="str">
            <v>电子物料</v>
          </cell>
          <cell r="E13" t="str">
            <v>B</v>
          </cell>
          <cell r="F13" t="str">
            <v>RA</v>
          </cell>
          <cell r="G13" t="str">
            <v>IC,POWER SW,TPS1HC100-Q1,HTSSOP14,AEC-Q</v>
          </cell>
          <cell r="H13" t="str">
            <v>N/A</v>
          </cell>
          <cell r="I13" t="str">
            <v/>
          </cell>
          <cell r="J13" t="str">
            <v>730</v>
          </cell>
          <cell r="K13" t="str">
            <v>PCS</v>
          </cell>
          <cell r="L13">
            <v>2</v>
          </cell>
          <cell r="M13" t="str">
            <v>Texas Instruments</v>
          </cell>
          <cell r="N13" t="str">
            <v>U1,U3</v>
          </cell>
          <cell r="O13" t="str">
            <v>1904392-00-A</v>
          </cell>
          <cell r="P13">
            <v>0.17299999999999999</v>
          </cell>
        </row>
        <row r="14">
          <cell r="C14" t="str">
            <v>BAT46WJ-QF</v>
          </cell>
          <cell r="D14" t="str">
            <v>电子物料</v>
          </cell>
          <cell r="E14" t="str">
            <v>B</v>
          </cell>
          <cell r="F14" t="str">
            <v>RA</v>
          </cell>
          <cell r="G14" t="str">
            <v>DIODE,SCHOTTKY,100V,0.25A,SOD323F,AEC-Q</v>
          </cell>
          <cell r="H14" t="str">
            <v>N/A</v>
          </cell>
          <cell r="I14" t="str">
            <v/>
          </cell>
          <cell r="J14" t="str">
            <v>730</v>
          </cell>
          <cell r="K14" t="str">
            <v>PCS</v>
          </cell>
          <cell r="L14">
            <v>3</v>
          </cell>
          <cell r="M14" t="str">
            <v>Nexperia</v>
          </cell>
          <cell r="N14" t="str">
            <v>D402,D403,D404</v>
          </cell>
          <cell r="O14" t="str">
            <v>1046968-00-A</v>
          </cell>
          <cell r="P14">
            <v>2.29E-2</v>
          </cell>
        </row>
        <row r="15">
          <cell r="C15" t="str">
            <v>BAT46WJ-QX</v>
          </cell>
          <cell r="D15" t="str">
            <v>电子物料</v>
          </cell>
          <cell r="E15" t="str">
            <v>B</v>
          </cell>
          <cell r="F15" t="str">
            <v>RA</v>
          </cell>
          <cell r="G15" t="str">
            <v>DIODE,SCHOTTKY,100V,0.25A,SOD323F,AEC-Q</v>
          </cell>
          <cell r="H15" t="str">
            <v>N/A</v>
          </cell>
          <cell r="I15" t="str">
            <v/>
          </cell>
          <cell r="J15" t="str">
            <v>730</v>
          </cell>
          <cell r="K15" t="str">
            <v>PCS</v>
          </cell>
          <cell r="M15" t="str">
            <v>Nexperia</v>
          </cell>
          <cell r="O15" t="str">
            <v>1046968-00-A</v>
          </cell>
        </row>
        <row r="16">
          <cell r="C16" t="str">
            <v>Samsung&amp;CL05B104KB54PNC</v>
          </cell>
          <cell r="D16" t="str">
            <v>电子物料</v>
          </cell>
          <cell r="E16" t="str">
            <v>B</v>
          </cell>
          <cell r="F16" t="str">
            <v>RA</v>
          </cell>
          <cell r="G16" t="str">
            <v>CAP,X7R,100nF,50V,10%,0402,AEC-Q</v>
          </cell>
          <cell r="H16" t="str">
            <v>N/A</v>
          </cell>
          <cell r="I16" t="str">
            <v/>
          </cell>
          <cell r="J16" t="str">
            <v>730</v>
          </cell>
          <cell r="K16" t="str">
            <v>PCS</v>
          </cell>
          <cell r="L16">
            <v>8</v>
          </cell>
          <cell r="M16" t="str">
            <v>Samsung Electro-Mechanics (SEMCO)</v>
          </cell>
          <cell r="N16" t="str">
            <v>C2,C3,C13,C16,C308,C311,C412,C415</v>
          </cell>
          <cell r="O16" t="str">
            <v>1527538-00-A</v>
          </cell>
          <cell r="P16">
            <v>1.5399999999999999E-3</v>
          </cell>
        </row>
        <row r="17">
          <cell r="C17" t="str">
            <v>GCM155R71H104KE02J</v>
          </cell>
          <cell r="D17" t="str">
            <v>电子物料</v>
          </cell>
          <cell r="E17" t="str">
            <v>B</v>
          </cell>
          <cell r="F17" t="str">
            <v>RA</v>
          </cell>
          <cell r="G17" t="str">
            <v>CAP,X7R,100nF,50V,10%,0402,AEC-Q</v>
          </cell>
          <cell r="H17" t="str">
            <v>N/A</v>
          </cell>
          <cell r="I17" t="str">
            <v/>
          </cell>
          <cell r="J17" t="str">
            <v>730</v>
          </cell>
          <cell r="K17" t="str">
            <v>PCS</v>
          </cell>
          <cell r="M17" t="str">
            <v>Murata</v>
          </cell>
          <cell r="O17" t="str">
            <v>1527538-00-A</v>
          </cell>
          <cell r="P17">
            <v>2.5000000000000001E-3</v>
          </cell>
        </row>
        <row r="18">
          <cell r="C18" t="str">
            <v>CGA2B3X7R1H104K050BB</v>
          </cell>
          <cell r="D18" t="str">
            <v>电子物料</v>
          </cell>
          <cell r="E18" t="str">
            <v>B</v>
          </cell>
          <cell r="F18" t="str">
            <v>RA</v>
          </cell>
          <cell r="G18" t="str">
            <v>CAP,X7R,100nF,50V,10%,0402,AEC-Q</v>
          </cell>
          <cell r="H18" t="str">
            <v>N/A</v>
          </cell>
          <cell r="I18" t="str">
            <v/>
          </cell>
          <cell r="J18" t="str">
            <v>730</v>
          </cell>
          <cell r="K18" t="str">
            <v>PCS</v>
          </cell>
          <cell r="M18" t="str">
            <v>TDK Corporation Of America</v>
          </cell>
          <cell r="O18" t="str">
            <v>1527538-00-A</v>
          </cell>
          <cell r="P18">
            <v>2.8900000000000002E-3</v>
          </cell>
        </row>
        <row r="19">
          <cell r="C19" t="str">
            <v>GCM155R71H104KE02D</v>
          </cell>
          <cell r="D19" t="str">
            <v>电子物料</v>
          </cell>
          <cell r="E19" t="str">
            <v>B</v>
          </cell>
          <cell r="F19" t="str">
            <v>RA</v>
          </cell>
          <cell r="G19" t="str">
            <v>CAP,X7R,100nF,50V,10%,0402,AEC-Q</v>
          </cell>
          <cell r="H19" t="str">
            <v>N/A</v>
          </cell>
          <cell r="I19" t="str">
            <v/>
          </cell>
          <cell r="J19" t="str">
            <v>730</v>
          </cell>
          <cell r="K19" t="str">
            <v>PCS</v>
          </cell>
          <cell r="M19" t="str">
            <v>Murata</v>
          </cell>
          <cell r="O19" t="str">
            <v>1527538-00-A</v>
          </cell>
          <cell r="P19">
            <v>2.5000000000000001E-3</v>
          </cell>
        </row>
        <row r="20">
          <cell r="C20" t="str">
            <v>MCASU105SB7104KFNA01</v>
          </cell>
          <cell r="D20" t="str">
            <v>电子物料</v>
          </cell>
          <cell r="E20" t="str">
            <v>B</v>
          </cell>
          <cell r="F20" t="str">
            <v>RA</v>
          </cell>
          <cell r="G20" t="str">
            <v>CAP,X7R,100nF,50V,10%,0402,AEC-Q</v>
          </cell>
          <cell r="H20" t="str">
            <v>N/A</v>
          </cell>
          <cell r="I20" t="str">
            <v/>
          </cell>
          <cell r="J20" t="str">
            <v>730</v>
          </cell>
          <cell r="K20" t="str">
            <v>PCS</v>
          </cell>
          <cell r="M20" t="str">
            <v>Taiyo Yuden</v>
          </cell>
          <cell r="O20" t="str">
            <v>1527538-00-A</v>
          </cell>
        </row>
        <row r="21">
          <cell r="C21" t="str">
            <v>ERJ1GJF4702C</v>
          </cell>
          <cell r="D21" t="str">
            <v>电子物料</v>
          </cell>
          <cell r="E21" t="str">
            <v>B</v>
          </cell>
          <cell r="F21" t="str">
            <v>RA</v>
          </cell>
          <cell r="G21" t="str">
            <v>RES,47K0,0.05W,1%,0201(0603),AEC-Q</v>
          </cell>
          <cell r="H21" t="str">
            <v>N/A</v>
          </cell>
          <cell r="I21" t="str">
            <v/>
          </cell>
          <cell r="J21" t="str">
            <v>730</v>
          </cell>
          <cell r="K21" t="str">
            <v>PCS</v>
          </cell>
          <cell r="M21" t="str">
            <v>Panasonic</v>
          </cell>
          <cell r="N21" t="str">
            <v>R6,R15,R17,R27,R28</v>
          </cell>
          <cell r="O21" t="str">
            <v>1736449-00-A</v>
          </cell>
        </row>
        <row r="22">
          <cell r="C22" t="str">
            <v>RK73H1HTTC4702F</v>
          </cell>
          <cell r="D22" t="str">
            <v>电子物料</v>
          </cell>
          <cell r="E22" t="str">
            <v>B</v>
          </cell>
          <cell r="F22" t="str">
            <v>RA</v>
          </cell>
          <cell r="G22" t="str">
            <v>RES,47K0,0.05W,1%,0201(0603),AEC-Q</v>
          </cell>
          <cell r="H22" t="str">
            <v>N/A</v>
          </cell>
          <cell r="I22" t="str">
            <v/>
          </cell>
          <cell r="J22" t="str">
            <v>730</v>
          </cell>
          <cell r="K22" t="str">
            <v>PCS</v>
          </cell>
          <cell r="M22" t="str">
            <v>KOA Speer</v>
          </cell>
          <cell r="O22" t="str">
            <v>1736449-00-A</v>
          </cell>
        </row>
        <row r="23">
          <cell r="C23" t="str">
            <v>RMCH06-473FPA</v>
          </cell>
          <cell r="D23" t="str">
            <v>电子物料</v>
          </cell>
          <cell r="E23" t="str">
            <v>B</v>
          </cell>
          <cell r="F23" t="str">
            <v>RA</v>
          </cell>
          <cell r="G23" t="str">
            <v>RES,47K0,0.05W,1%,0201(0603),AEC-Q</v>
          </cell>
          <cell r="H23" t="str">
            <v>N/A</v>
          </cell>
          <cell r="I23" t="str">
            <v/>
          </cell>
          <cell r="J23" t="str">
            <v>730</v>
          </cell>
          <cell r="K23" t="str">
            <v>PCS</v>
          </cell>
          <cell r="M23" t="str">
            <v>Kamaya</v>
          </cell>
          <cell r="O23" t="str">
            <v>1736449-00-A</v>
          </cell>
          <cell r="P23">
            <v>2.66E-3</v>
          </cell>
        </row>
        <row r="24">
          <cell r="C24" t="str">
            <v>RCC020147K0FKED</v>
          </cell>
          <cell r="D24" t="str">
            <v>电子物料</v>
          </cell>
          <cell r="E24" t="str">
            <v>B</v>
          </cell>
          <cell r="F24" t="str">
            <v>RA</v>
          </cell>
          <cell r="G24" t="str">
            <v>RES,47K0,0.05W,1%,0201(0603),AEC-Q</v>
          </cell>
          <cell r="H24" t="str">
            <v>N/A</v>
          </cell>
          <cell r="I24" t="str">
            <v/>
          </cell>
          <cell r="J24" t="str">
            <v>730</v>
          </cell>
          <cell r="K24" t="str">
            <v>PCS</v>
          </cell>
          <cell r="M24" t="str">
            <v>Vishay</v>
          </cell>
          <cell r="O24" t="str">
            <v>1736449-00-A</v>
          </cell>
        </row>
        <row r="25">
          <cell r="C25" t="str">
            <v>AC0201FR-0747KL</v>
          </cell>
          <cell r="D25" t="str">
            <v>电子物料</v>
          </cell>
          <cell r="E25" t="str">
            <v>B</v>
          </cell>
          <cell r="F25" t="str">
            <v>RA</v>
          </cell>
          <cell r="G25" t="str">
            <v>RES,47K0,0.05W,1%,0201(0603),AEC-Q</v>
          </cell>
          <cell r="H25" t="str">
            <v>N/A</v>
          </cell>
          <cell r="I25" t="str">
            <v/>
          </cell>
          <cell r="J25" t="str">
            <v>730</v>
          </cell>
          <cell r="K25" t="str">
            <v>PCS</v>
          </cell>
          <cell r="L25">
            <v>5</v>
          </cell>
          <cell r="M25" t="str">
            <v>Yageo</v>
          </cell>
          <cell r="O25" t="str">
            <v>1736449-00-A</v>
          </cell>
          <cell r="P25">
            <v>5.9999999999999995E-4</v>
          </cell>
        </row>
        <row r="26">
          <cell r="C26" t="str">
            <v>RCC0201100RFKED</v>
          </cell>
          <cell r="D26" t="str">
            <v>电子物料</v>
          </cell>
          <cell r="E26" t="str">
            <v>B</v>
          </cell>
          <cell r="F26" t="str">
            <v>RA</v>
          </cell>
          <cell r="G26" t="str">
            <v>RES,100R,0.05W,1%,0201(0603),AEC-Q</v>
          </cell>
          <cell r="H26" t="str">
            <v>N/A</v>
          </cell>
          <cell r="I26" t="str">
            <v/>
          </cell>
          <cell r="J26" t="str">
            <v>730</v>
          </cell>
          <cell r="K26" t="str">
            <v>PCS</v>
          </cell>
          <cell r="M26" t="str">
            <v>Vishay</v>
          </cell>
          <cell r="N26" t="str">
            <v>R7,R26,R29,R703,R704</v>
          </cell>
          <cell r="O26" t="str">
            <v>1736895-00-A</v>
          </cell>
        </row>
        <row r="27">
          <cell r="C27" t="str">
            <v>RK73H1HTTC1000F</v>
          </cell>
          <cell r="D27" t="str">
            <v>电子物料</v>
          </cell>
          <cell r="E27" t="str">
            <v>B</v>
          </cell>
          <cell r="F27" t="str">
            <v>RA</v>
          </cell>
          <cell r="G27" t="str">
            <v>RES,100R,0.05W,1%,0201(0603),AEC-Q</v>
          </cell>
          <cell r="H27" t="str">
            <v>N/A</v>
          </cell>
          <cell r="I27" t="str">
            <v/>
          </cell>
          <cell r="J27" t="str">
            <v>730</v>
          </cell>
          <cell r="K27" t="str">
            <v>PCS</v>
          </cell>
          <cell r="M27" t="str">
            <v>KOA Speer</v>
          </cell>
          <cell r="O27" t="str">
            <v>1736895-00-A</v>
          </cell>
        </row>
        <row r="28">
          <cell r="C28" t="str">
            <v>ERJ1GJF1000C</v>
          </cell>
          <cell r="D28" t="str">
            <v>电子物料</v>
          </cell>
          <cell r="E28" t="str">
            <v>B</v>
          </cell>
          <cell r="F28" t="str">
            <v>RA</v>
          </cell>
          <cell r="G28" t="str">
            <v>RES,100R,0.05W,1%,0201(0603),AEC-Q</v>
          </cell>
          <cell r="H28" t="str">
            <v>N/A</v>
          </cell>
          <cell r="I28" t="str">
            <v/>
          </cell>
          <cell r="J28" t="str">
            <v>730</v>
          </cell>
          <cell r="K28" t="str">
            <v>PCS</v>
          </cell>
          <cell r="M28" t="str">
            <v>Panasonic</v>
          </cell>
          <cell r="O28" t="str">
            <v>1736895-00-A</v>
          </cell>
        </row>
        <row r="29">
          <cell r="C29" t="str">
            <v>RMCH06-101FPA</v>
          </cell>
          <cell r="D29" t="str">
            <v>电子物料</v>
          </cell>
          <cell r="E29" t="str">
            <v>B</v>
          </cell>
          <cell r="F29" t="str">
            <v>RA</v>
          </cell>
          <cell r="G29" t="str">
            <v>RES,100R,0.05W,1%,0201(0603),AEC-Q</v>
          </cell>
          <cell r="H29" t="str">
            <v>N/A</v>
          </cell>
          <cell r="I29" t="str">
            <v/>
          </cell>
          <cell r="J29" t="str">
            <v>730</v>
          </cell>
          <cell r="K29" t="str">
            <v>PCS</v>
          </cell>
          <cell r="M29" t="str">
            <v>Kamaya</v>
          </cell>
          <cell r="O29" t="str">
            <v>1736895-00-A</v>
          </cell>
          <cell r="P29">
            <v>2.66E-3</v>
          </cell>
        </row>
        <row r="30">
          <cell r="C30" t="str">
            <v>AC0201FR-07100RL</v>
          </cell>
          <cell r="D30" t="str">
            <v>电子物料</v>
          </cell>
          <cell r="E30" t="str">
            <v>B</v>
          </cell>
          <cell r="F30" t="str">
            <v>RA</v>
          </cell>
          <cell r="G30" t="str">
            <v>RES,100R,0.05W,1%,0201(0603),AEC-Q</v>
          </cell>
          <cell r="H30" t="str">
            <v>N/A</v>
          </cell>
          <cell r="I30" t="str">
            <v/>
          </cell>
          <cell r="J30" t="str">
            <v>730</v>
          </cell>
          <cell r="K30" t="str">
            <v>PCS</v>
          </cell>
          <cell r="L30">
            <v>5</v>
          </cell>
          <cell r="M30" t="str">
            <v>Yageo</v>
          </cell>
          <cell r="O30" t="str">
            <v>1736895-00-A</v>
          </cell>
          <cell r="P30">
            <v>5.9999999999999995E-4</v>
          </cell>
        </row>
        <row r="31">
          <cell r="C31" t="str">
            <v>CGA3E1X7R1E105K080AC</v>
          </cell>
          <cell r="D31" t="str">
            <v>电子物料</v>
          </cell>
          <cell r="E31" t="str">
            <v>B</v>
          </cell>
          <cell r="F31" t="str">
            <v>RA</v>
          </cell>
          <cell r="G31" t="str">
            <v>CAP,X7R,1uF,25V,10%,0603(1608),AEC-Q</v>
          </cell>
          <cell r="H31" t="str">
            <v>N/A</v>
          </cell>
          <cell r="I31" t="str">
            <v/>
          </cell>
          <cell r="J31" t="str">
            <v>730</v>
          </cell>
          <cell r="K31" t="str">
            <v>PCS</v>
          </cell>
          <cell r="M31" t="str">
            <v>TDK Corporation Of America</v>
          </cell>
          <cell r="N31" t="str">
            <v>C419,C422</v>
          </cell>
          <cell r="O31" t="str">
            <v>1034447-00-A</v>
          </cell>
          <cell r="P31">
            <v>7.7400000000000004E-3</v>
          </cell>
        </row>
        <row r="32">
          <cell r="C32" t="str">
            <v>GCM188R71E105KA64D</v>
          </cell>
          <cell r="D32" t="str">
            <v>电子物料</v>
          </cell>
          <cell r="E32" t="str">
            <v>B</v>
          </cell>
          <cell r="F32" t="str">
            <v>RA</v>
          </cell>
          <cell r="G32" t="str">
            <v>CAP,X7R,1uF,25V,10%,0603(1608),AEC-Q</v>
          </cell>
          <cell r="H32" t="str">
            <v>N/A</v>
          </cell>
          <cell r="I32" t="str">
            <v/>
          </cell>
          <cell r="J32" t="str">
            <v>730</v>
          </cell>
          <cell r="K32" t="str">
            <v>PCS</v>
          </cell>
          <cell r="L32">
            <v>2</v>
          </cell>
          <cell r="M32" t="str">
            <v>Murata</v>
          </cell>
          <cell r="O32" t="str">
            <v>1034447-00-A</v>
          </cell>
          <cell r="P32">
            <v>5.0000000000000001E-3</v>
          </cell>
        </row>
        <row r="33">
          <cell r="C33" t="str">
            <v>CL10B105KA8VPNC</v>
          </cell>
          <cell r="D33" t="str">
            <v>电子物料</v>
          </cell>
          <cell r="E33" t="str">
            <v>B</v>
          </cell>
          <cell r="F33" t="str">
            <v>RA</v>
          </cell>
          <cell r="G33" t="str">
            <v>CAP,X7R,1uF,25V,10%,0603(1608),AEC-Q</v>
          </cell>
          <cell r="H33" t="str">
            <v>N/A</v>
          </cell>
          <cell r="I33" t="str">
            <v/>
          </cell>
          <cell r="J33" t="str">
            <v>730</v>
          </cell>
          <cell r="K33" t="str">
            <v>PCS</v>
          </cell>
          <cell r="M33" t="str">
            <v>Samsung Electro-Mechanics (SEMCO)</v>
          </cell>
          <cell r="O33" t="str">
            <v>1034447-00-A</v>
          </cell>
          <cell r="P33">
            <v>5.3E-3</v>
          </cell>
        </row>
        <row r="34">
          <cell r="C34" t="str">
            <v>SHT41A-BD1B-R2</v>
          </cell>
          <cell r="D34" t="str">
            <v>电子物料</v>
          </cell>
          <cell r="E34" t="str">
            <v>B</v>
          </cell>
          <cell r="F34" t="str">
            <v>RA</v>
          </cell>
          <cell r="G34" t="str">
            <v>SENSOR,HUMID/TEMP,DIG,DFN,ADDR0x45,AEC-Q</v>
          </cell>
          <cell r="H34" t="str">
            <v>N/A</v>
          </cell>
          <cell r="I34" t="str">
            <v/>
          </cell>
          <cell r="J34" t="str">
            <v>730</v>
          </cell>
          <cell r="K34" t="str">
            <v>PCS</v>
          </cell>
          <cell r="L34">
            <v>1</v>
          </cell>
          <cell r="M34" t="str">
            <v>Sensirion</v>
          </cell>
          <cell r="N34" t="str">
            <v>U701</v>
          </cell>
          <cell r="O34" t="str">
            <v>1786414-00-B</v>
          </cell>
          <cell r="P34">
            <v>1.73</v>
          </cell>
        </row>
        <row r="35">
          <cell r="C35" t="str">
            <v>SHT41A-BD1B-R3</v>
          </cell>
          <cell r="D35" t="str">
            <v>电子物料</v>
          </cell>
          <cell r="E35" t="str">
            <v>B</v>
          </cell>
          <cell r="F35" t="str">
            <v>RA</v>
          </cell>
          <cell r="G35" t="str">
            <v>SENSOR,HUMID/TEMP,DIG,DFN,ADDR0x45,AEC-Q</v>
          </cell>
          <cell r="H35" t="str">
            <v>N/A</v>
          </cell>
          <cell r="I35" t="str">
            <v/>
          </cell>
          <cell r="J35" t="str">
            <v>730</v>
          </cell>
          <cell r="K35" t="str">
            <v>PCS</v>
          </cell>
          <cell r="M35" t="str">
            <v>Sensirion</v>
          </cell>
          <cell r="O35" t="str">
            <v>1786414-00-B</v>
          </cell>
        </row>
        <row r="36">
          <cell r="C36" t="str">
            <v>PCA1J470MCL1GS</v>
          </cell>
          <cell r="D36" t="str">
            <v>电子物料</v>
          </cell>
          <cell r="E36" t="str">
            <v>B</v>
          </cell>
          <cell r="F36" t="str">
            <v>RA</v>
          </cell>
          <cell r="G36" t="str">
            <v>CAP,AE,47uF,63V,20%,SM,8X12.2MM,AEC-Q</v>
          </cell>
          <cell r="H36" t="str">
            <v>N/A</v>
          </cell>
          <cell r="I36" t="str">
            <v/>
          </cell>
          <cell r="J36" t="str">
            <v>730</v>
          </cell>
          <cell r="K36" t="str">
            <v>PCS</v>
          </cell>
          <cell r="L36">
            <v>2</v>
          </cell>
          <cell r="M36" t="str">
            <v>Nichicon</v>
          </cell>
          <cell r="N36" t="str">
            <v>C410,C411</v>
          </cell>
          <cell r="O36" t="str">
            <v>2119425-00-A</v>
          </cell>
          <cell r="P36">
            <v>0.8</v>
          </cell>
        </row>
        <row r="37">
          <cell r="C37" t="str">
            <v>EEH-ZT1J470P</v>
          </cell>
          <cell r="D37" t="str">
            <v>电子物料</v>
          </cell>
          <cell r="E37" t="str">
            <v>B</v>
          </cell>
          <cell r="F37" t="str">
            <v>RA</v>
          </cell>
          <cell r="G37" t="str">
            <v>CAP,AE,47uF,63V,20%,SM,8X12.2MM,AEC-Q</v>
          </cell>
          <cell r="H37" t="str">
            <v>N/A</v>
          </cell>
          <cell r="I37" t="str">
            <v/>
          </cell>
          <cell r="J37" t="str">
            <v>730</v>
          </cell>
          <cell r="K37" t="str">
            <v>PCS</v>
          </cell>
          <cell r="M37" t="str">
            <v>Panasonic</v>
          </cell>
          <cell r="O37" t="str">
            <v>2119425-00-A</v>
          </cell>
        </row>
        <row r="38">
          <cell r="C38" t="str">
            <v>63FVF47M+P</v>
          </cell>
          <cell r="D38" t="str">
            <v>电子物料</v>
          </cell>
          <cell r="E38" t="str">
            <v>B</v>
          </cell>
          <cell r="F38" t="str">
            <v>RA</v>
          </cell>
          <cell r="G38" t="str">
            <v>CAP,AE,47uF,63V,20%,SM,8X12.2MM,AEC-Q</v>
          </cell>
          <cell r="H38" t="str">
            <v>N/A</v>
          </cell>
          <cell r="I38" t="str">
            <v/>
          </cell>
          <cell r="J38" t="str">
            <v>730</v>
          </cell>
          <cell r="K38" t="str">
            <v>PCS</v>
          </cell>
          <cell r="M38" t="str">
            <v>Suncon</v>
          </cell>
          <cell r="O38" t="str">
            <v>2119425-00-A</v>
          </cell>
        </row>
        <row r="39">
          <cell r="C39" t="str">
            <v>A771KS476M1JLAS020</v>
          </cell>
          <cell r="D39" t="str">
            <v>电子物料</v>
          </cell>
          <cell r="E39" t="str">
            <v>B</v>
          </cell>
          <cell r="F39" t="str">
            <v>RA</v>
          </cell>
          <cell r="G39" t="str">
            <v>CAP,AE,47uF,63V,20%,SM,8X12.2MM,AEC-Q</v>
          </cell>
          <cell r="H39" t="str">
            <v>N/A</v>
          </cell>
          <cell r="I39" t="str">
            <v/>
          </cell>
          <cell r="J39" t="str">
            <v>730</v>
          </cell>
          <cell r="K39" t="str">
            <v>PCS</v>
          </cell>
          <cell r="M39" t="str">
            <v>Kemet</v>
          </cell>
          <cell r="O39" t="str">
            <v>2119425-00-A</v>
          </cell>
        </row>
        <row r="40">
          <cell r="C40" t="str">
            <v>MCASH21GSB7224KTNA01</v>
          </cell>
          <cell r="D40" t="str">
            <v>电子物料</v>
          </cell>
          <cell r="E40" t="str">
            <v>B</v>
          </cell>
          <cell r="F40" t="str">
            <v>RA</v>
          </cell>
          <cell r="G40" t="str">
            <v>CAP,X7R,0.22uF,100V,10%,0805(2012),AEC-Q</v>
          </cell>
          <cell r="H40" t="str">
            <v>N/A</v>
          </cell>
          <cell r="I40" t="str">
            <v/>
          </cell>
          <cell r="J40" t="str">
            <v>730</v>
          </cell>
          <cell r="K40" t="str">
            <v>PCS</v>
          </cell>
          <cell r="M40" t="str">
            <v>Taiyo Yuden</v>
          </cell>
          <cell r="N40" t="str">
            <v>C409</v>
          </cell>
          <cell r="O40" t="str">
            <v>1762506-00-A</v>
          </cell>
        </row>
        <row r="41">
          <cell r="C41" t="str">
            <v>CL21B224KCQVPNE</v>
          </cell>
          <cell r="D41" t="str">
            <v>电子物料</v>
          </cell>
          <cell r="E41" t="str">
            <v>B</v>
          </cell>
          <cell r="F41" t="str">
            <v>RA</v>
          </cell>
          <cell r="G41" t="str">
            <v>CAP,X7R,0.22uF,100V,10%,0805(2012),AEC-Q</v>
          </cell>
          <cell r="H41" t="str">
            <v>N/A</v>
          </cell>
          <cell r="I41" t="str">
            <v/>
          </cell>
          <cell r="J41" t="str">
            <v>730</v>
          </cell>
          <cell r="K41" t="str">
            <v>PCS</v>
          </cell>
          <cell r="L41">
            <v>1</v>
          </cell>
          <cell r="M41" t="str">
            <v>Samsung Electro-Mechanics (SEMCO)</v>
          </cell>
          <cell r="O41" t="str">
            <v>1762506-00-A</v>
          </cell>
          <cell r="P41">
            <v>1.01E-2</v>
          </cell>
        </row>
        <row r="42">
          <cell r="C42" t="str">
            <v>08051C224K4T2A</v>
          </cell>
          <cell r="D42" t="str">
            <v>电子物料</v>
          </cell>
          <cell r="E42" t="str">
            <v>B</v>
          </cell>
          <cell r="F42" t="str">
            <v>RA</v>
          </cell>
          <cell r="G42" t="str">
            <v>CAP,X7R,0.22uF,100V,10%,0805(2012),AEC-Q</v>
          </cell>
          <cell r="H42" t="str">
            <v>N/A</v>
          </cell>
          <cell r="I42" t="str">
            <v/>
          </cell>
          <cell r="J42" t="str">
            <v>730</v>
          </cell>
          <cell r="K42" t="str">
            <v>PCS</v>
          </cell>
          <cell r="M42" t="str">
            <v>AVX</v>
          </cell>
          <cell r="O42" t="str">
            <v>1762506-00-A</v>
          </cell>
        </row>
        <row r="43">
          <cell r="C43" t="str">
            <v>C0805C224K1RACAUTO7210</v>
          </cell>
          <cell r="D43" t="str">
            <v>电子物料</v>
          </cell>
          <cell r="E43" t="str">
            <v>B</v>
          </cell>
          <cell r="F43" t="str">
            <v>RA</v>
          </cell>
          <cell r="G43" t="str">
            <v>CAP,X7R,0.22uF,100V,10%,0805(2012),AEC-Q</v>
          </cell>
          <cell r="H43" t="str">
            <v>N/A</v>
          </cell>
          <cell r="I43" t="str">
            <v/>
          </cell>
          <cell r="J43" t="str">
            <v>730</v>
          </cell>
          <cell r="K43" t="str">
            <v>PCS</v>
          </cell>
          <cell r="M43" t="str">
            <v>Kemet</v>
          </cell>
          <cell r="O43" t="str">
            <v>1762506-00-A</v>
          </cell>
        </row>
        <row r="44">
          <cell r="C44" t="str">
            <v>C0805C224K1RACAUTO</v>
          </cell>
          <cell r="D44" t="str">
            <v>电子物料</v>
          </cell>
          <cell r="E44" t="str">
            <v>B</v>
          </cell>
          <cell r="F44" t="str">
            <v>RA</v>
          </cell>
          <cell r="G44" t="str">
            <v>CAP,X7R,0.22uF,100V,10%,0805(2012),AEC-Q</v>
          </cell>
          <cell r="H44" t="str">
            <v>N/A</v>
          </cell>
          <cell r="I44" t="str">
            <v/>
          </cell>
          <cell r="J44" t="str">
            <v>730</v>
          </cell>
          <cell r="K44" t="str">
            <v>PCS</v>
          </cell>
          <cell r="M44" t="str">
            <v>Kemet</v>
          </cell>
          <cell r="O44" t="str">
            <v>1762506-00-A</v>
          </cell>
        </row>
        <row r="45">
          <cell r="C45" t="str">
            <v>MAASH21GSB7224KTNA01</v>
          </cell>
          <cell r="D45" t="str">
            <v>电子物料</v>
          </cell>
          <cell r="E45" t="str">
            <v>B</v>
          </cell>
          <cell r="F45" t="str">
            <v>RA</v>
          </cell>
          <cell r="G45" t="str">
            <v>CAP,X7R,0.22uF,100V,10%,0805(2012),AEC-Q</v>
          </cell>
          <cell r="H45" t="str">
            <v>N/A</v>
          </cell>
          <cell r="I45" t="str">
            <v/>
          </cell>
          <cell r="J45" t="str">
            <v>730</v>
          </cell>
          <cell r="K45" t="str">
            <v>PCS</v>
          </cell>
          <cell r="M45" t="str">
            <v>Taiyo Yuden</v>
          </cell>
          <cell r="O45" t="str">
            <v>1762506-00-A</v>
          </cell>
        </row>
        <row r="46">
          <cell r="C46" t="str">
            <v>CL10B103KC8WPNC</v>
          </cell>
          <cell r="D46" t="str">
            <v>电子物料</v>
          </cell>
          <cell r="E46" t="str">
            <v>B</v>
          </cell>
          <cell r="F46" t="str">
            <v>RA</v>
          </cell>
          <cell r="G46" t="str">
            <v>CAP,X7R,10nF,100V,10%,0603(1608),AEC-Q</v>
          </cell>
          <cell r="H46" t="str">
            <v>N/A</v>
          </cell>
          <cell r="I46" t="str">
            <v/>
          </cell>
          <cell r="J46" t="str">
            <v>730</v>
          </cell>
          <cell r="K46" t="str">
            <v>PCS</v>
          </cell>
          <cell r="L46">
            <v>7</v>
          </cell>
          <cell r="M46" t="str">
            <v>Samsung Electron Mechanics Co Ltd</v>
          </cell>
          <cell r="N46" t="str">
            <v>C1,C4,C7,C9,C15,C406,C420</v>
          </cell>
          <cell r="O46" t="str">
            <v>1030110-00-A</v>
          </cell>
          <cell r="P46">
            <v>1.7899999999999999E-3</v>
          </cell>
        </row>
        <row r="47">
          <cell r="C47" t="str">
            <v>HMK107B7103KAHT</v>
          </cell>
          <cell r="D47" t="str">
            <v>电子物料</v>
          </cell>
          <cell r="E47" t="str">
            <v>B</v>
          </cell>
          <cell r="F47" t="str">
            <v>RA</v>
          </cell>
          <cell r="G47" t="str">
            <v>CAP,X7R,10nF,100V,10%,0603(1608),AEC-Q</v>
          </cell>
          <cell r="H47" t="str">
            <v>N/A</v>
          </cell>
          <cell r="I47" t="str">
            <v/>
          </cell>
          <cell r="J47" t="str">
            <v>730</v>
          </cell>
          <cell r="K47" t="str">
            <v>PCS</v>
          </cell>
          <cell r="M47" t="str">
            <v>Taiyo Yuden</v>
          </cell>
          <cell r="O47" t="str">
            <v>1030110-00-A</v>
          </cell>
        </row>
        <row r="48">
          <cell r="C48" t="str">
            <v>AC0603KRX7R0BB103</v>
          </cell>
          <cell r="D48" t="str">
            <v>电子物料</v>
          </cell>
          <cell r="E48" t="str">
            <v>B</v>
          </cell>
          <cell r="F48" t="str">
            <v>RA</v>
          </cell>
          <cell r="G48" t="str">
            <v>CAP,X7R,10nF,100V,10%,0603(1608),AEC-Q</v>
          </cell>
          <cell r="H48" t="str">
            <v>N/A</v>
          </cell>
          <cell r="I48" t="str">
            <v/>
          </cell>
          <cell r="J48" t="str">
            <v>730</v>
          </cell>
          <cell r="K48" t="str">
            <v>PCS</v>
          </cell>
          <cell r="M48" t="str">
            <v>Yageo</v>
          </cell>
          <cell r="O48" t="str">
            <v>1030110-00-A</v>
          </cell>
          <cell r="P48">
            <v>3.0000000000000001E-3</v>
          </cell>
        </row>
        <row r="49">
          <cell r="C49" t="str">
            <v>CGA3E2X7R2A103K080AA</v>
          </cell>
          <cell r="D49" t="str">
            <v>电子物料</v>
          </cell>
          <cell r="E49" t="str">
            <v>B</v>
          </cell>
          <cell r="F49" t="str">
            <v>RA</v>
          </cell>
          <cell r="G49" t="str">
            <v>CAP,X7R,10nF,100V,10%,0603(1608),AEC-Q</v>
          </cell>
          <cell r="H49" t="str">
            <v>N/A</v>
          </cell>
          <cell r="I49" t="str">
            <v/>
          </cell>
          <cell r="J49" t="str">
            <v>730</v>
          </cell>
          <cell r="K49" t="str">
            <v>PCS</v>
          </cell>
          <cell r="M49" t="str">
            <v>TDK Corporation Of America</v>
          </cell>
          <cell r="O49" t="str">
            <v>1030110-00-A</v>
          </cell>
          <cell r="P49">
            <v>4.64E-3</v>
          </cell>
        </row>
        <row r="50">
          <cell r="C50" t="str">
            <v>GCM188R72A103KA37D</v>
          </cell>
          <cell r="D50" t="str">
            <v>电子物料</v>
          </cell>
          <cell r="E50" t="str">
            <v>B</v>
          </cell>
          <cell r="F50" t="str">
            <v>RA</v>
          </cell>
          <cell r="G50" t="str">
            <v>CAP,X7R,10nF,100V,10%,0603(1608),AEC-Q</v>
          </cell>
          <cell r="H50" t="str">
            <v>N/A</v>
          </cell>
          <cell r="I50" t="str">
            <v/>
          </cell>
          <cell r="J50" t="str">
            <v>730</v>
          </cell>
          <cell r="K50" t="str">
            <v>PCS</v>
          </cell>
          <cell r="M50" t="str">
            <v>Murata</v>
          </cell>
          <cell r="O50" t="str">
            <v>1030110-00-A</v>
          </cell>
          <cell r="P50">
            <v>2.7000000000000001E-3</v>
          </cell>
        </row>
        <row r="51">
          <cell r="C51" t="str">
            <v>MCASH168SB7103KTNA01</v>
          </cell>
          <cell r="D51" t="str">
            <v>电子物料</v>
          </cell>
          <cell r="E51" t="str">
            <v>B</v>
          </cell>
          <cell r="F51" t="str">
            <v>RA</v>
          </cell>
          <cell r="G51" t="str">
            <v>CAP,X7R,10nF,100V,10%,0603(1608),AEC-Q</v>
          </cell>
          <cell r="H51" t="str">
            <v>N/A</v>
          </cell>
          <cell r="I51" t="str">
            <v/>
          </cell>
          <cell r="J51" t="str">
            <v>730</v>
          </cell>
          <cell r="K51" t="str">
            <v>PCS</v>
          </cell>
          <cell r="M51" t="str">
            <v>Taiyo Yuden</v>
          </cell>
          <cell r="O51" t="str">
            <v>1030110-00-A</v>
          </cell>
        </row>
        <row r="52">
          <cell r="C52" t="str">
            <v>MAASH168SB7103KTCA01</v>
          </cell>
          <cell r="D52" t="str">
            <v>电子物料</v>
          </cell>
          <cell r="E52" t="str">
            <v>B</v>
          </cell>
          <cell r="F52" t="str">
            <v>RA</v>
          </cell>
          <cell r="G52" t="str">
            <v>CAP,X7R,10nF,100V,10%,0603(1608),AEC-Q</v>
          </cell>
          <cell r="H52" t="str">
            <v>N/A</v>
          </cell>
          <cell r="I52" t="str">
            <v/>
          </cell>
          <cell r="J52" t="str">
            <v>730</v>
          </cell>
          <cell r="K52" t="str">
            <v>PCS</v>
          </cell>
          <cell r="M52" t="str">
            <v>Taiyo Yuden</v>
          </cell>
          <cell r="O52" t="str">
            <v>1030110-00-A</v>
          </cell>
        </row>
        <row r="53">
          <cell r="C53" t="str">
            <v>0981-0-15-20-75-14-11-0</v>
          </cell>
          <cell r="D53" t="str">
            <v>电子物料</v>
          </cell>
          <cell r="E53" t="str">
            <v>B</v>
          </cell>
          <cell r="F53" t="str">
            <v>RA</v>
          </cell>
          <cell r="G53" t="str">
            <v>CONN,POGOPIN,1P,8A,5.18MML,SM,GOLD,RoHS</v>
          </cell>
          <cell r="H53" t="str">
            <v>N/A</v>
          </cell>
          <cell r="I53" t="str">
            <v/>
          </cell>
          <cell r="J53" t="str">
            <v>730</v>
          </cell>
          <cell r="K53" t="str">
            <v>PCS</v>
          </cell>
          <cell r="L53">
            <v>4</v>
          </cell>
          <cell r="M53" t="str">
            <v>Mill-Max Manufacturing Corp.</v>
          </cell>
          <cell r="N53" t="str">
            <v>J2,J3,J4,J5</v>
          </cell>
          <cell r="O53" t="str">
            <v>2025902-00-A</v>
          </cell>
        </row>
        <row r="54">
          <cell r="C54" t="str">
            <v>GCM32EC72A106KEC2L</v>
          </cell>
          <cell r="D54" t="str">
            <v>电子物料</v>
          </cell>
          <cell r="E54" t="str">
            <v>B</v>
          </cell>
          <cell r="F54" t="str">
            <v>RA</v>
          </cell>
          <cell r="G54" t="str">
            <v>CAP,X7S,10uF,100V,10%,1210(3225),AEC-Q</v>
          </cell>
          <cell r="H54" t="str">
            <v>N/A</v>
          </cell>
          <cell r="I54" t="str">
            <v/>
          </cell>
          <cell r="J54" t="str">
            <v>730</v>
          </cell>
          <cell r="K54" t="str">
            <v>PCS</v>
          </cell>
          <cell r="M54" t="str">
            <v>Murata</v>
          </cell>
          <cell r="N54" t="str">
            <v>C401,C402,C604,C608,C609,C610,C611,C612,C613</v>
          </cell>
          <cell r="O54" t="str">
            <v>2139250-00-A</v>
          </cell>
          <cell r="P54">
            <v>0.19800000000000001</v>
          </cell>
        </row>
        <row r="55">
          <cell r="C55" t="str">
            <v>CL32Y106KCV6PNE</v>
          </cell>
          <cell r="D55" t="str">
            <v>电子物料</v>
          </cell>
          <cell r="E55" t="str">
            <v>B</v>
          </cell>
          <cell r="F55" t="str">
            <v>RA</v>
          </cell>
          <cell r="G55" t="str">
            <v>CAP,X7S,10uF,100V,10%,1210(3225),AEC-Q</v>
          </cell>
          <cell r="H55" t="str">
            <v>N/A</v>
          </cell>
          <cell r="I55" t="str">
            <v/>
          </cell>
          <cell r="J55" t="str">
            <v>730</v>
          </cell>
          <cell r="K55" t="str">
            <v>PCS</v>
          </cell>
          <cell r="L55">
            <v>9</v>
          </cell>
          <cell r="M55" t="str">
            <v>Samsung Electro-Mechanics (SEMCO)</v>
          </cell>
          <cell r="O55" t="str">
            <v>2139250-00-A</v>
          </cell>
          <cell r="P55">
            <v>0.154</v>
          </cell>
        </row>
        <row r="56">
          <cell r="C56" t="str">
            <v>RMCH10JPTH</v>
          </cell>
          <cell r="D56" t="str">
            <v>电子物料</v>
          </cell>
          <cell r="E56" t="str">
            <v>B</v>
          </cell>
          <cell r="F56" t="str">
            <v>RA</v>
          </cell>
          <cell r="G56" t="str">
            <v>RES,0R0,1/16W,JMP,0402(1005),RoHS,AEC-Q</v>
          </cell>
          <cell r="H56" t="str">
            <v>N/A</v>
          </cell>
          <cell r="I56" t="str">
            <v/>
          </cell>
          <cell r="J56" t="str">
            <v>730</v>
          </cell>
          <cell r="K56" t="str">
            <v>PCS</v>
          </cell>
          <cell r="M56" t="str">
            <v>Kamaya</v>
          </cell>
          <cell r="N56" t="str">
            <v>R301,R401,R405,R705,R706,R707,R708,R709</v>
          </cell>
          <cell r="O56" t="str">
            <v>2007992</v>
          </cell>
          <cell r="P56">
            <v>1.1100000000000001E-3</v>
          </cell>
        </row>
        <row r="57">
          <cell r="C57" t="str">
            <v>ERJ2GE0R00X</v>
          </cell>
          <cell r="D57" t="str">
            <v>电子物料</v>
          </cell>
          <cell r="E57" t="str">
            <v>B</v>
          </cell>
          <cell r="F57" t="str">
            <v>RA</v>
          </cell>
          <cell r="G57" t="str">
            <v>RES,0R0,1/16W,JMP,0402(1005),RoHS,AEC-Q</v>
          </cell>
          <cell r="H57" t="str">
            <v>N/A</v>
          </cell>
          <cell r="I57" t="str">
            <v/>
          </cell>
          <cell r="J57" t="str">
            <v>730</v>
          </cell>
          <cell r="K57" t="str">
            <v>PCS</v>
          </cell>
          <cell r="M57" t="str">
            <v>Panasonic</v>
          </cell>
          <cell r="O57" t="str">
            <v>2007992</v>
          </cell>
          <cell r="P57">
            <v>1.98E-3</v>
          </cell>
        </row>
        <row r="58">
          <cell r="C58" t="str">
            <v>RK73Z1ETTP</v>
          </cell>
          <cell r="D58" t="str">
            <v>电子物料</v>
          </cell>
          <cell r="E58" t="str">
            <v>B</v>
          </cell>
          <cell r="F58" t="str">
            <v>RA</v>
          </cell>
          <cell r="G58" t="str">
            <v>RES,0R0,1/16W,JMP,0402(1005),RoHS,AEC-Q</v>
          </cell>
          <cell r="H58" t="str">
            <v>N/A</v>
          </cell>
          <cell r="I58" t="str">
            <v/>
          </cell>
          <cell r="J58" t="str">
            <v>730</v>
          </cell>
          <cell r="K58" t="str">
            <v>PCS</v>
          </cell>
          <cell r="M58" t="str">
            <v>KOA Speer</v>
          </cell>
          <cell r="O58" t="str">
            <v>2007992</v>
          </cell>
          <cell r="P58">
            <v>7.6000000000000004E-4</v>
          </cell>
        </row>
        <row r="59">
          <cell r="C59" t="str">
            <v>CRCW04020000Z0ED</v>
          </cell>
          <cell r="D59" t="str">
            <v>电子物料</v>
          </cell>
          <cell r="E59" t="str">
            <v>B</v>
          </cell>
          <cell r="F59" t="str">
            <v>RA</v>
          </cell>
          <cell r="G59" t="str">
            <v>RES,0R0,1/16W,JMP,0402(1005),RoHS,AEC-Q</v>
          </cell>
          <cell r="H59" t="str">
            <v>N/A</v>
          </cell>
          <cell r="I59" t="str">
            <v/>
          </cell>
          <cell r="J59" t="str">
            <v>730</v>
          </cell>
          <cell r="K59" t="str">
            <v>PCS</v>
          </cell>
          <cell r="M59" t="str">
            <v>Vishay</v>
          </cell>
          <cell r="O59" t="str">
            <v>2007992</v>
          </cell>
          <cell r="P59">
            <v>5.2999999999999998E-4</v>
          </cell>
        </row>
        <row r="60">
          <cell r="C60" t="str">
            <v>AC0402JR-070RL</v>
          </cell>
          <cell r="D60" t="str">
            <v>电子物料</v>
          </cell>
          <cell r="E60" t="str">
            <v>B</v>
          </cell>
          <cell r="F60" t="str">
            <v>RA</v>
          </cell>
          <cell r="G60" t="str">
            <v>RES,0R0,1/16W,JMP,0402(1005),RoHS,AEC-Q</v>
          </cell>
          <cell r="H60" t="str">
            <v>N/A</v>
          </cell>
          <cell r="I60" t="str">
            <v/>
          </cell>
          <cell r="J60" t="str">
            <v>730</v>
          </cell>
          <cell r="K60" t="str">
            <v>PCS</v>
          </cell>
          <cell r="L60">
            <v>8</v>
          </cell>
          <cell r="M60" t="str">
            <v>Yageo</v>
          </cell>
          <cell r="O60" t="str">
            <v>2007992</v>
          </cell>
          <cell r="P60">
            <v>2.9999999999999997E-4</v>
          </cell>
        </row>
        <row r="61">
          <cell r="C61" t="str">
            <v>AU10182015-001LF</v>
          </cell>
          <cell r="D61" t="str">
            <v>电子物料</v>
          </cell>
          <cell r="E61" t="str">
            <v>B</v>
          </cell>
          <cell r="F61" t="str">
            <v>RA</v>
          </cell>
          <cell r="G61" t="str">
            <v>CONN,TAO HDR,2HP 4LP SMT CNR,VER,TIN</v>
          </cell>
          <cell r="H61" t="str">
            <v>N/A</v>
          </cell>
          <cell r="I61" t="str">
            <v/>
          </cell>
          <cell r="J61" t="str">
            <v>730</v>
          </cell>
          <cell r="K61" t="str">
            <v>PCS</v>
          </cell>
          <cell r="L61">
            <v>1</v>
          </cell>
          <cell r="M61" t="str">
            <v>Amphenol</v>
          </cell>
          <cell r="N61" t="str">
            <v>J1</v>
          </cell>
          <cell r="O61" t="str">
            <v>2163105-00-A</v>
          </cell>
        </row>
        <row r="62">
          <cell r="C62" t="str">
            <v>SMAJ54A-Q</v>
          </cell>
          <cell r="D62" t="str">
            <v>电子物料</v>
          </cell>
          <cell r="E62" t="str">
            <v>B</v>
          </cell>
          <cell r="F62" t="str">
            <v>RA</v>
          </cell>
          <cell r="G62" t="str">
            <v>DIODE,TVS,54V,400W,SMA,AEC-Q,RoHS</v>
          </cell>
          <cell r="H62" t="str">
            <v>N/A</v>
          </cell>
          <cell r="I62" t="str">
            <v/>
          </cell>
          <cell r="J62" t="str">
            <v>730</v>
          </cell>
          <cell r="K62" t="str">
            <v>PCS</v>
          </cell>
          <cell r="L62">
            <v>1</v>
          </cell>
          <cell r="M62" t="str">
            <v>Bourns</v>
          </cell>
          <cell r="N62" t="str">
            <v>D401</v>
          </cell>
          <cell r="O62" t="str">
            <v>1641036-00-A</v>
          </cell>
          <cell r="P62">
            <v>7.3700000000000002E-2</v>
          </cell>
        </row>
        <row r="63">
          <cell r="C63" t="str">
            <v>RK73H1HTTC1001D</v>
          </cell>
          <cell r="D63" t="str">
            <v>电子物料</v>
          </cell>
          <cell r="E63" t="str">
            <v>B</v>
          </cell>
          <cell r="F63" t="str">
            <v>RA</v>
          </cell>
          <cell r="G63" t="str">
            <v>RES,1K00,0.05W,0.5%,0201(0603),AEC-Q</v>
          </cell>
          <cell r="H63" t="str">
            <v>N/A</v>
          </cell>
          <cell r="I63" t="str">
            <v/>
          </cell>
          <cell r="J63" t="str">
            <v>730</v>
          </cell>
          <cell r="K63" t="str">
            <v>PCS</v>
          </cell>
          <cell r="M63" t="str">
            <v>KOA Speer</v>
          </cell>
          <cell r="N63" t="str">
            <v>R13,R20</v>
          </cell>
          <cell r="O63" t="str">
            <v>1737612-00-A</v>
          </cell>
        </row>
        <row r="64">
          <cell r="C64" t="str">
            <v>RMCH06-102DPA</v>
          </cell>
          <cell r="D64" t="str">
            <v>电子物料</v>
          </cell>
          <cell r="E64" t="str">
            <v>B</v>
          </cell>
          <cell r="F64" t="str">
            <v>RA</v>
          </cell>
          <cell r="G64" t="str">
            <v>RES,1K00,0.05W,0.5%,0201(0603),AEC-Q</v>
          </cell>
          <cell r="H64" t="str">
            <v>N/A</v>
          </cell>
          <cell r="I64" t="str">
            <v/>
          </cell>
          <cell r="J64" t="str">
            <v>730</v>
          </cell>
          <cell r="K64" t="str">
            <v>PCS</v>
          </cell>
          <cell r="L64">
            <v>2</v>
          </cell>
          <cell r="M64" t="str">
            <v>Kamaya</v>
          </cell>
          <cell r="O64" t="str">
            <v>1737612-00-A</v>
          </cell>
          <cell r="P64">
            <v>1.056E-2</v>
          </cell>
        </row>
        <row r="65">
          <cell r="C65" t="str">
            <v>RK73H1JTTD49R9F</v>
          </cell>
          <cell r="D65" t="str">
            <v>电子物料</v>
          </cell>
          <cell r="E65" t="str">
            <v>B</v>
          </cell>
          <cell r="F65" t="str">
            <v>RA</v>
          </cell>
          <cell r="G65" t="str">
            <v>RES,49R9,1/10W,1%,0603(1608),AEC-Q</v>
          </cell>
          <cell r="H65" t="str">
            <v>N/A</v>
          </cell>
          <cell r="I65" t="str">
            <v/>
          </cell>
          <cell r="J65" t="str">
            <v>730</v>
          </cell>
          <cell r="K65" t="str">
            <v>PCS</v>
          </cell>
          <cell r="M65" t="str">
            <v>KOA Speer</v>
          </cell>
          <cell r="N65" t="str">
            <v>R304,R305</v>
          </cell>
          <cell r="O65" t="str">
            <v>1114067-00-A</v>
          </cell>
        </row>
        <row r="66">
          <cell r="C66" t="str">
            <v>CRCW060349R9FKEA</v>
          </cell>
          <cell r="D66" t="str">
            <v>电子物料</v>
          </cell>
          <cell r="E66" t="str">
            <v>B</v>
          </cell>
          <cell r="F66" t="str">
            <v>RA</v>
          </cell>
          <cell r="G66" t="str">
            <v>RES,49R9,1/10W,1%,0603(1608),AEC-Q</v>
          </cell>
          <cell r="H66" t="str">
            <v>N/A</v>
          </cell>
          <cell r="I66" t="str">
            <v/>
          </cell>
          <cell r="J66" t="str">
            <v>730</v>
          </cell>
          <cell r="K66" t="str">
            <v>PCS</v>
          </cell>
          <cell r="M66" t="str">
            <v>Vishay</v>
          </cell>
          <cell r="O66" t="str">
            <v>1114067-00-A</v>
          </cell>
        </row>
        <row r="67">
          <cell r="C67" t="str">
            <v>RMCH16K49R9FTP</v>
          </cell>
          <cell r="D67" t="str">
            <v>电子物料</v>
          </cell>
          <cell r="E67" t="str">
            <v>B</v>
          </cell>
          <cell r="F67" t="str">
            <v>RA</v>
          </cell>
          <cell r="G67" t="str">
            <v>RES,49R9,1/10W,1%,0603(1608),AEC-Q</v>
          </cell>
          <cell r="H67" t="str">
            <v>N/A</v>
          </cell>
          <cell r="I67" t="str">
            <v/>
          </cell>
          <cell r="J67" t="str">
            <v>730</v>
          </cell>
          <cell r="K67" t="str">
            <v>PCS</v>
          </cell>
          <cell r="M67" t="str">
            <v>Kamaya</v>
          </cell>
          <cell r="O67" t="str">
            <v>1114067-00-A</v>
          </cell>
          <cell r="P67">
            <v>1.4499999999999999E-3</v>
          </cell>
        </row>
        <row r="68">
          <cell r="C68" t="str">
            <v>AC0603FR-0749R9L</v>
          </cell>
          <cell r="D68" t="str">
            <v>电子物料</v>
          </cell>
          <cell r="E68" t="str">
            <v>B</v>
          </cell>
          <cell r="F68" t="str">
            <v>RA</v>
          </cell>
          <cell r="G68" t="str">
            <v>RES,49R9,1/10W,1%,0603(1608),AEC-Q</v>
          </cell>
          <cell r="H68" t="str">
            <v>N/A</v>
          </cell>
          <cell r="I68" t="str">
            <v/>
          </cell>
          <cell r="J68" t="str">
            <v>730</v>
          </cell>
          <cell r="K68" t="str">
            <v>PCS</v>
          </cell>
          <cell r="L68">
            <v>2</v>
          </cell>
          <cell r="M68" t="str">
            <v>Yageo</v>
          </cell>
          <cell r="O68" t="str">
            <v>1114067-00-A</v>
          </cell>
          <cell r="P68">
            <v>6.6E-4</v>
          </cell>
        </row>
        <row r="69">
          <cell r="C69" t="str">
            <v>CRCW0603510RFKEA</v>
          </cell>
          <cell r="D69" t="str">
            <v>电子物料</v>
          </cell>
          <cell r="E69" t="str">
            <v>B</v>
          </cell>
          <cell r="F69" t="str">
            <v>RA</v>
          </cell>
          <cell r="G69" t="str">
            <v>RES,510R,1/10W,1%,0603(1608),AEC-Q</v>
          </cell>
          <cell r="H69" t="str">
            <v>N/A</v>
          </cell>
          <cell r="I69" t="str">
            <v/>
          </cell>
          <cell r="J69" t="str">
            <v>730</v>
          </cell>
          <cell r="K69" t="str">
            <v>PCS</v>
          </cell>
          <cell r="M69" t="str">
            <v>Vishay</v>
          </cell>
          <cell r="N69" t="str">
            <v>R608,R615</v>
          </cell>
          <cell r="O69" t="str">
            <v>1114182-00-A</v>
          </cell>
        </row>
        <row r="70">
          <cell r="C70" t="str">
            <v>RK73H1JTTD5100F</v>
          </cell>
          <cell r="D70" t="str">
            <v>电子物料</v>
          </cell>
          <cell r="E70" t="str">
            <v>B</v>
          </cell>
          <cell r="F70" t="str">
            <v>RA</v>
          </cell>
          <cell r="G70" t="str">
            <v>RES,510R,1/10W,1%,0603(1608),AEC-Q</v>
          </cell>
          <cell r="H70" t="str">
            <v>N/A</v>
          </cell>
          <cell r="I70" t="str">
            <v/>
          </cell>
          <cell r="J70" t="str">
            <v>730</v>
          </cell>
          <cell r="K70" t="str">
            <v>PCS</v>
          </cell>
          <cell r="M70" t="str">
            <v>KOA Speer</v>
          </cell>
          <cell r="O70" t="str">
            <v>1114182-00-A</v>
          </cell>
        </row>
        <row r="71">
          <cell r="C71" t="str">
            <v>RMCH16K511FTP</v>
          </cell>
          <cell r="D71" t="str">
            <v>电子物料</v>
          </cell>
          <cell r="E71" t="str">
            <v>B</v>
          </cell>
          <cell r="F71" t="str">
            <v>RA</v>
          </cell>
          <cell r="G71" t="str">
            <v>RES,510R,1/10W,1%,0603(1608),AEC-Q</v>
          </cell>
          <cell r="H71" t="str">
            <v>N/A</v>
          </cell>
          <cell r="I71" t="str">
            <v/>
          </cell>
          <cell r="J71" t="str">
            <v>730</v>
          </cell>
          <cell r="K71" t="str">
            <v>PCS</v>
          </cell>
          <cell r="M71" t="str">
            <v>Kamaya</v>
          </cell>
          <cell r="O71" t="str">
            <v>1114182-00-A</v>
          </cell>
          <cell r="P71">
            <v>1.4499999999999999E-3</v>
          </cell>
        </row>
        <row r="72">
          <cell r="C72" t="str">
            <v>AC0603FR-07510RL</v>
          </cell>
          <cell r="D72" t="str">
            <v>电子物料</v>
          </cell>
          <cell r="E72" t="str">
            <v>B</v>
          </cell>
          <cell r="F72" t="str">
            <v>RA</v>
          </cell>
          <cell r="G72" t="str">
            <v>RES,510R,1/10W,1%,0603(1608),AEC-Q</v>
          </cell>
          <cell r="H72" t="str">
            <v>N/A</v>
          </cell>
          <cell r="I72" t="str">
            <v/>
          </cell>
          <cell r="J72" t="str">
            <v>730</v>
          </cell>
          <cell r="K72" t="str">
            <v>PCS</v>
          </cell>
          <cell r="L72">
            <v>2</v>
          </cell>
          <cell r="M72" t="str">
            <v>Yageo</v>
          </cell>
          <cell r="O72" t="str">
            <v>1114182-00-A</v>
          </cell>
          <cell r="P72">
            <v>6.6E-4</v>
          </cell>
        </row>
        <row r="73">
          <cell r="C73" t="str">
            <v>GCJ188R72A104KA01D</v>
          </cell>
          <cell r="D73" t="str">
            <v>电子物料</v>
          </cell>
          <cell r="E73" t="str">
            <v>B</v>
          </cell>
          <cell r="F73" t="str">
            <v>RA</v>
          </cell>
          <cell r="G73" t="str">
            <v>CAP,X7R,0.1uF,100V,10%,0603S,AEC-Q</v>
          </cell>
          <cell r="H73" t="str">
            <v>N/A</v>
          </cell>
          <cell r="I73" t="str">
            <v/>
          </cell>
          <cell r="J73" t="str">
            <v>730</v>
          </cell>
          <cell r="K73" t="str">
            <v>PCS</v>
          </cell>
          <cell r="L73">
            <v>8</v>
          </cell>
          <cell r="M73" t="str">
            <v>Murata</v>
          </cell>
          <cell r="N73" t="str">
            <v>C309,C310,C403,C405,C601,C602,C605,C606</v>
          </cell>
          <cell r="O73" t="str">
            <v>1125327-00-A</v>
          </cell>
          <cell r="P73">
            <v>1.38E-2</v>
          </cell>
        </row>
        <row r="74">
          <cell r="C74" t="str">
            <v>HMJ107BB7104KAHT</v>
          </cell>
          <cell r="D74" t="str">
            <v>电子物料</v>
          </cell>
          <cell r="E74" t="str">
            <v>B</v>
          </cell>
          <cell r="F74" t="str">
            <v>RA</v>
          </cell>
          <cell r="G74" t="str">
            <v>CAP,X7R,0.1uF,100V,10%,0603S,AEC-Q</v>
          </cell>
          <cell r="H74" t="str">
            <v>N/A</v>
          </cell>
          <cell r="I74" t="str">
            <v/>
          </cell>
          <cell r="J74" t="str">
            <v>730</v>
          </cell>
          <cell r="K74" t="str">
            <v>PCS</v>
          </cell>
          <cell r="M74" t="str">
            <v>Taiyo Yuden</v>
          </cell>
          <cell r="O74" t="str">
            <v>1125327-00-A</v>
          </cell>
          <cell r="P74">
            <v>3.73E-2</v>
          </cell>
        </row>
        <row r="75">
          <cell r="C75" t="str">
            <v>MCJCH168BB7104KTPA01</v>
          </cell>
          <cell r="D75" t="str">
            <v>电子物料</v>
          </cell>
          <cell r="E75" t="str">
            <v>B</v>
          </cell>
          <cell r="F75" t="str">
            <v>RA</v>
          </cell>
          <cell r="G75" t="str">
            <v>CAP,X7R,0.1uF,100V,10%,0603S,AEC-Q</v>
          </cell>
          <cell r="H75" t="str">
            <v>N/A</v>
          </cell>
          <cell r="I75" t="str">
            <v/>
          </cell>
          <cell r="J75" t="str">
            <v>730</v>
          </cell>
          <cell r="K75" t="str">
            <v>PCS</v>
          </cell>
          <cell r="M75" t="str">
            <v>Taiyo Yuden</v>
          </cell>
          <cell r="O75" t="str">
            <v>1125327-00-A</v>
          </cell>
          <cell r="P75">
            <v>3.8800000000000001E-2</v>
          </cell>
        </row>
        <row r="76">
          <cell r="C76" t="str">
            <v>ESD601DPYRQ1</v>
          </cell>
          <cell r="D76" t="str">
            <v>电子物料</v>
          </cell>
          <cell r="E76" t="str">
            <v>B</v>
          </cell>
          <cell r="F76" t="str">
            <v>RA</v>
          </cell>
          <cell r="G76" t="str">
            <v>DIODE,TVS,ESD15kV,18Vr,2.7A,X1SON2,AEC-Q</v>
          </cell>
          <cell r="H76" t="str">
            <v>N/A</v>
          </cell>
          <cell r="I76" t="str">
            <v/>
          </cell>
          <cell r="J76" t="str">
            <v>730</v>
          </cell>
          <cell r="K76" t="str">
            <v>PCS</v>
          </cell>
          <cell r="L76">
            <v>2</v>
          </cell>
          <cell r="M76" t="str">
            <v>Texas Instruments</v>
          </cell>
          <cell r="N76" t="str">
            <v>D301,D302</v>
          </cell>
          <cell r="O76" t="str">
            <v>2089966-00-A</v>
          </cell>
          <cell r="P76">
            <v>2.9000000000000001E-2</v>
          </cell>
        </row>
        <row r="77">
          <cell r="C77" t="str">
            <v>RK73H1HTTC5232F</v>
          </cell>
          <cell r="D77" t="str">
            <v>电子物料</v>
          </cell>
          <cell r="E77" t="str">
            <v>B</v>
          </cell>
          <cell r="F77" t="str">
            <v>RA</v>
          </cell>
          <cell r="G77" t="str">
            <v>RES,52K3,0.05W,1%,0201(0603),AEC-Q</v>
          </cell>
          <cell r="H77" t="str">
            <v>N/A</v>
          </cell>
          <cell r="I77" t="str">
            <v/>
          </cell>
          <cell r="J77" t="str">
            <v>730</v>
          </cell>
          <cell r="K77" t="str">
            <v>PCS</v>
          </cell>
          <cell r="M77" t="str">
            <v>KOA Speer</v>
          </cell>
          <cell r="N77" t="str">
            <v>R410</v>
          </cell>
          <cell r="O77" t="str">
            <v>1736637-00-A</v>
          </cell>
        </row>
        <row r="78">
          <cell r="C78" t="str">
            <v>RCC020152K3FKED</v>
          </cell>
          <cell r="D78" t="str">
            <v>电子物料</v>
          </cell>
          <cell r="E78" t="str">
            <v>B</v>
          </cell>
          <cell r="F78" t="str">
            <v>RA</v>
          </cell>
          <cell r="G78" t="str">
            <v>RES,52K3,0.05W,1%,0201(0603),AEC-Q</v>
          </cell>
          <cell r="H78" t="str">
            <v>N/A</v>
          </cell>
          <cell r="I78" t="str">
            <v/>
          </cell>
          <cell r="J78" t="str">
            <v>730</v>
          </cell>
          <cell r="K78" t="str">
            <v>PCS</v>
          </cell>
          <cell r="M78" t="str">
            <v>Vishay</v>
          </cell>
          <cell r="O78" t="str">
            <v>1736637-00-A</v>
          </cell>
        </row>
        <row r="79">
          <cell r="C79" t="str">
            <v>ERJ1GJF5232C</v>
          </cell>
          <cell r="D79" t="str">
            <v>电子物料</v>
          </cell>
          <cell r="E79" t="str">
            <v>B</v>
          </cell>
          <cell r="F79" t="str">
            <v>RA</v>
          </cell>
          <cell r="G79" t="str">
            <v>RES,52K3,0.05W,1%,0201(0603),AEC-Q</v>
          </cell>
          <cell r="H79" t="str">
            <v>N/A</v>
          </cell>
          <cell r="I79" t="str">
            <v/>
          </cell>
          <cell r="J79" t="str">
            <v>730</v>
          </cell>
          <cell r="K79" t="str">
            <v>PCS</v>
          </cell>
          <cell r="M79" t="str">
            <v>Panasonic</v>
          </cell>
          <cell r="O79" t="str">
            <v>1736637-00-A</v>
          </cell>
        </row>
        <row r="80">
          <cell r="C80" t="str">
            <v>RMCH06-5232FPA</v>
          </cell>
          <cell r="D80" t="str">
            <v>电子物料</v>
          </cell>
          <cell r="E80" t="str">
            <v>B</v>
          </cell>
          <cell r="F80" t="str">
            <v>RA</v>
          </cell>
          <cell r="G80" t="str">
            <v>RES,52K3,0.05W,1%,0201(0603),AEC-Q</v>
          </cell>
          <cell r="H80" t="str">
            <v>N/A</v>
          </cell>
          <cell r="I80" t="str">
            <v/>
          </cell>
          <cell r="J80" t="str">
            <v>730</v>
          </cell>
          <cell r="K80" t="str">
            <v>PCS</v>
          </cell>
          <cell r="M80" t="str">
            <v>Kamaya</v>
          </cell>
          <cell r="O80" t="str">
            <v>1736637-00-A</v>
          </cell>
          <cell r="P80">
            <v>2.66E-3</v>
          </cell>
        </row>
        <row r="81">
          <cell r="C81" t="str">
            <v>AC0201FR-0752K3L</v>
          </cell>
          <cell r="D81" t="str">
            <v>电子物料</v>
          </cell>
          <cell r="E81" t="str">
            <v>B</v>
          </cell>
          <cell r="F81" t="str">
            <v>RA</v>
          </cell>
          <cell r="G81" t="str">
            <v>RES,52K3,0.05W,1%,0201(0603),AEC-Q</v>
          </cell>
          <cell r="H81" t="str">
            <v>N/A</v>
          </cell>
          <cell r="I81" t="str">
            <v/>
          </cell>
          <cell r="J81" t="str">
            <v>730</v>
          </cell>
          <cell r="K81" t="str">
            <v>PCS</v>
          </cell>
          <cell r="L81">
            <v>1</v>
          </cell>
          <cell r="M81" t="str">
            <v>Yageo</v>
          </cell>
          <cell r="O81" t="str">
            <v>1736637-00-A</v>
          </cell>
          <cell r="P81">
            <v>5.9999999999999995E-4</v>
          </cell>
        </row>
        <row r="82">
          <cell r="C82" t="str">
            <v>BSS123Q-13</v>
          </cell>
          <cell r="D82" t="str">
            <v>电子物料</v>
          </cell>
          <cell r="E82" t="str">
            <v>B</v>
          </cell>
          <cell r="F82" t="str">
            <v>RA</v>
          </cell>
          <cell r="G82" t="str">
            <v>XSTR,MOSFET,N-CH,100V,170mA,SOT23,AEC-Q</v>
          </cell>
          <cell r="H82" t="str">
            <v>N/A</v>
          </cell>
          <cell r="I82" t="str">
            <v/>
          </cell>
          <cell r="J82" t="str">
            <v>730</v>
          </cell>
          <cell r="K82" t="str">
            <v>PCS</v>
          </cell>
          <cell r="L82">
            <v>1</v>
          </cell>
          <cell r="M82" t="str">
            <v>Diodes</v>
          </cell>
          <cell r="N82" t="str">
            <v>Q2</v>
          </cell>
          <cell r="O82" t="str">
            <v>1968722-00-A</v>
          </cell>
          <cell r="P82">
            <v>0.27</v>
          </cell>
        </row>
        <row r="83">
          <cell r="C83" t="str">
            <v>BSS123Q-7</v>
          </cell>
          <cell r="D83" t="str">
            <v>电子物料</v>
          </cell>
          <cell r="E83" t="str">
            <v>B</v>
          </cell>
          <cell r="F83" t="str">
            <v>RA</v>
          </cell>
          <cell r="G83" t="str">
            <v>XSTR,MOSFET,N-CH,100V,170mA,SOT23,AEC-Q</v>
          </cell>
          <cell r="H83" t="str">
            <v>N/A</v>
          </cell>
          <cell r="I83" t="str">
            <v/>
          </cell>
          <cell r="J83" t="str">
            <v>730</v>
          </cell>
          <cell r="K83" t="str">
            <v>PCS</v>
          </cell>
          <cell r="M83" t="str">
            <v>Diodes</v>
          </cell>
          <cell r="O83" t="str">
            <v>1968722-00-A</v>
          </cell>
        </row>
        <row r="84">
          <cell r="C84" t="str">
            <v>BSS123NH6433XTMA1</v>
          </cell>
          <cell r="D84" t="str">
            <v>电子物料</v>
          </cell>
          <cell r="E84" t="str">
            <v>B</v>
          </cell>
          <cell r="F84" t="str">
            <v>RA</v>
          </cell>
          <cell r="G84" t="str">
            <v>XSTR,MOSFET,N-CH,100V,170mA,SOT23,AEC-Q</v>
          </cell>
          <cell r="H84" t="str">
            <v>N/A</v>
          </cell>
          <cell r="I84" t="str">
            <v/>
          </cell>
          <cell r="J84" t="str">
            <v>730</v>
          </cell>
          <cell r="K84" t="str">
            <v>PCS</v>
          </cell>
          <cell r="M84" t="str">
            <v>Infineon Technologies</v>
          </cell>
          <cell r="O84" t="str">
            <v>1968722-00-A</v>
          </cell>
        </row>
        <row r="85">
          <cell r="C85" t="str">
            <v>BSS123NH6327XTSA1</v>
          </cell>
          <cell r="D85" t="str">
            <v>电子物料</v>
          </cell>
          <cell r="E85" t="str">
            <v>B</v>
          </cell>
          <cell r="F85" t="str">
            <v>RA</v>
          </cell>
          <cell r="G85" t="str">
            <v>XSTR,MOSFET,N-CH,100V,170mA,SOT23,AEC-Q</v>
          </cell>
          <cell r="H85" t="str">
            <v>N/A</v>
          </cell>
          <cell r="I85" t="str">
            <v/>
          </cell>
          <cell r="J85" t="str">
            <v>730</v>
          </cell>
          <cell r="K85" t="str">
            <v>PCS</v>
          </cell>
          <cell r="M85" t="str">
            <v>Infineon Technologies</v>
          </cell>
          <cell r="O85" t="str">
            <v>1968722-00-A</v>
          </cell>
        </row>
        <row r="86">
          <cell r="C86" t="str">
            <v>TPS7B4255QDBVRQ1</v>
          </cell>
          <cell r="D86" t="str">
            <v>电子物料</v>
          </cell>
          <cell r="E86" t="str">
            <v>B</v>
          </cell>
          <cell r="F86" t="str">
            <v>RA</v>
          </cell>
          <cell r="G86" t="str">
            <v>IC,REG,LDO,ADJ,40V,70mA,SOT23-5(DBV),AEC-Q</v>
          </cell>
          <cell r="H86" t="str">
            <v>N/A</v>
          </cell>
          <cell r="I86" t="str">
            <v/>
          </cell>
          <cell r="J86" t="str">
            <v>730</v>
          </cell>
          <cell r="K86" t="str">
            <v>PCS</v>
          </cell>
          <cell r="L86">
            <v>1</v>
          </cell>
          <cell r="M86" t="str">
            <v>Texas Instruments</v>
          </cell>
          <cell r="N86" t="str">
            <v>U2</v>
          </cell>
          <cell r="O86" t="str">
            <v>1943253-00-A</v>
          </cell>
          <cell r="P86">
            <v>8.8999999999999996E-2</v>
          </cell>
        </row>
        <row r="87">
          <cell r="C87" t="str">
            <v>GCJ188C70J475KE02J</v>
          </cell>
          <cell r="D87" t="str">
            <v>电子物料</v>
          </cell>
          <cell r="E87" t="str">
            <v>B</v>
          </cell>
          <cell r="F87" t="str">
            <v>RA</v>
          </cell>
          <cell r="G87" t="str">
            <v>CAP,X7S,4.7uF,6.3V,10%,0603(1608),AEC-Q</v>
          </cell>
          <cell r="H87" t="str">
            <v>N/A</v>
          </cell>
          <cell r="I87" t="str">
            <v/>
          </cell>
          <cell r="J87" t="str">
            <v>730</v>
          </cell>
          <cell r="K87" t="str">
            <v>PCS</v>
          </cell>
          <cell r="L87">
            <v>2</v>
          </cell>
          <cell r="M87" t="str">
            <v>Murata</v>
          </cell>
          <cell r="N87" t="str">
            <v>C302,C303</v>
          </cell>
          <cell r="O87" t="str">
            <v>1483242-00-A</v>
          </cell>
          <cell r="P87">
            <v>3.6600000000000001E-2</v>
          </cell>
        </row>
        <row r="88">
          <cell r="C88" t="str">
            <v>GCJ188C70J475KE02D</v>
          </cell>
          <cell r="D88" t="str">
            <v>电子物料</v>
          </cell>
          <cell r="E88" t="str">
            <v>B</v>
          </cell>
          <cell r="F88" t="str">
            <v>RA</v>
          </cell>
          <cell r="G88" t="str">
            <v>CAP,X7S,4.7uF,6.3V,10%,0603(1608),AEC-Q</v>
          </cell>
          <cell r="H88" t="str">
            <v>N/A</v>
          </cell>
          <cell r="I88" t="str">
            <v/>
          </cell>
          <cell r="J88" t="str">
            <v>730</v>
          </cell>
          <cell r="K88" t="str">
            <v>PCS</v>
          </cell>
          <cell r="M88" t="str">
            <v>Murata</v>
          </cell>
          <cell r="O88" t="str">
            <v>1483242-00-A</v>
          </cell>
        </row>
        <row r="89">
          <cell r="C89" t="str">
            <v>RCC020140K2FKED</v>
          </cell>
          <cell r="D89" t="str">
            <v>电子物料</v>
          </cell>
          <cell r="E89" t="str">
            <v>B</v>
          </cell>
          <cell r="F89" t="str">
            <v>RA</v>
          </cell>
          <cell r="G89" t="str">
            <v>RES,40K2,0.05W,1%,0201(0603),AEC-Q</v>
          </cell>
          <cell r="H89" t="str">
            <v>N/A</v>
          </cell>
          <cell r="I89" t="str">
            <v/>
          </cell>
          <cell r="J89" t="str">
            <v>730</v>
          </cell>
          <cell r="K89" t="str">
            <v>PCS</v>
          </cell>
          <cell r="M89" t="str">
            <v>Vishay</v>
          </cell>
          <cell r="N89" t="str">
            <v>R406</v>
          </cell>
          <cell r="O89" t="str">
            <v>1736648-00-A</v>
          </cell>
        </row>
        <row r="90">
          <cell r="C90" t="str">
            <v>RK73H1HTTC4022F</v>
          </cell>
          <cell r="D90" t="str">
            <v>电子物料</v>
          </cell>
          <cell r="E90" t="str">
            <v>B</v>
          </cell>
          <cell r="F90" t="str">
            <v>RA</v>
          </cell>
          <cell r="G90" t="str">
            <v>RES,40K2,0.05W,1%,0201(0603),AEC-Q</v>
          </cell>
          <cell r="H90" t="str">
            <v>N/A</v>
          </cell>
          <cell r="I90" t="str">
            <v/>
          </cell>
          <cell r="J90" t="str">
            <v>730</v>
          </cell>
          <cell r="K90" t="str">
            <v>PCS</v>
          </cell>
          <cell r="M90" t="str">
            <v>KOA Speer</v>
          </cell>
          <cell r="O90" t="str">
            <v>1736648-00-A</v>
          </cell>
        </row>
        <row r="91">
          <cell r="C91" t="str">
            <v>ERJ1GJF4022C</v>
          </cell>
          <cell r="D91" t="str">
            <v>电子物料</v>
          </cell>
          <cell r="E91" t="str">
            <v>B</v>
          </cell>
          <cell r="F91" t="str">
            <v>RA</v>
          </cell>
          <cell r="G91" t="str">
            <v>RES,40K2,0.05W,1%,0201(0603),AEC-Q</v>
          </cell>
          <cell r="H91" t="str">
            <v>N/A</v>
          </cell>
          <cell r="I91" t="str">
            <v/>
          </cell>
          <cell r="J91" t="str">
            <v>730</v>
          </cell>
          <cell r="K91" t="str">
            <v>PCS</v>
          </cell>
          <cell r="M91" t="str">
            <v>Panasonic</v>
          </cell>
          <cell r="O91" t="str">
            <v>1736648-00-A</v>
          </cell>
        </row>
        <row r="92">
          <cell r="C92" t="str">
            <v>RMCH06-4022FPA</v>
          </cell>
          <cell r="D92" t="str">
            <v>电子物料</v>
          </cell>
          <cell r="E92" t="str">
            <v>B</v>
          </cell>
          <cell r="F92" t="str">
            <v>RA</v>
          </cell>
          <cell r="G92" t="str">
            <v>RES,40K2,0.05W,1%,0201(0603),AEC-Q</v>
          </cell>
          <cell r="H92" t="str">
            <v>N/A</v>
          </cell>
          <cell r="I92" t="str">
            <v/>
          </cell>
          <cell r="J92" t="str">
            <v>730</v>
          </cell>
          <cell r="K92" t="str">
            <v>PCS</v>
          </cell>
          <cell r="M92" t="str">
            <v>Kamaya</v>
          </cell>
          <cell r="O92" t="str">
            <v>1736648-00-A</v>
          </cell>
          <cell r="P92">
            <v>2.66E-3</v>
          </cell>
        </row>
        <row r="93">
          <cell r="C93" t="str">
            <v>AC0201FR-0740K2L</v>
          </cell>
          <cell r="D93" t="str">
            <v>电子物料</v>
          </cell>
          <cell r="E93" t="str">
            <v>B</v>
          </cell>
          <cell r="F93" t="str">
            <v>RA</v>
          </cell>
          <cell r="G93" t="str">
            <v>RES,40K2,0.05W,1%,0201(0603),AEC-Q</v>
          </cell>
          <cell r="H93" t="str">
            <v>N/A</v>
          </cell>
          <cell r="I93" t="str">
            <v/>
          </cell>
          <cell r="J93" t="str">
            <v>730</v>
          </cell>
          <cell r="K93" t="str">
            <v>PCS</v>
          </cell>
          <cell r="L93">
            <v>1</v>
          </cell>
          <cell r="M93" t="str">
            <v>Yageo</v>
          </cell>
          <cell r="O93" t="str">
            <v>1736648-00-A</v>
          </cell>
          <cell r="P93">
            <v>5.9999999999999995E-4</v>
          </cell>
        </row>
        <row r="94">
          <cell r="C94" t="str">
            <v>RCC020111K0FKED</v>
          </cell>
          <cell r="D94" t="str">
            <v>电子物料</v>
          </cell>
          <cell r="E94" t="str">
            <v>B</v>
          </cell>
          <cell r="F94" t="str">
            <v>RA</v>
          </cell>
          <cell r="G94" t="str">
            <v>RES,11K0,0.05W,1%,0201(0603),AEC-Q</v>
          </cell>
          <cell r="H94" t="str">
            <v>N/A</v>
          </cell>
          <cell r="I94" t="str">
            <v/>
          </cell>
          <cell r="J94" t="str">
            <v>730</v>
          </cell>
          <cell r="K94" t="str">
            <v>PCS</v>
          </cell>
          <cell r="M94" t="str">
            <v>Vishay</v>
          </cell>
          <cell r="N94" t="str">
            <v>R609,R616</v>
          </cell>
          <cell r="O94" t="str">
            <v>1736701-00-A</v>
          </cell>
        </row>
        <row r="95">
          <cell r="C95" t="str">
            <v>RK73H1HTTC1102F</v>
          </cell>
          <cell r="D95" t="str">
            <v>电子物料</v>
          </cell>
          <cell r="E95" t="str">
            <v>B</v>
          </cell>
          <cell r="F95" t="str">
            <v>RA</v>
          </cell>
          <cell r="G95" t="str">
            <v>RES,11K0,0.05W,1%,0201(0603),AEC-Q</v>
          </cell>
          <cell r="H95" t="str">
            <v>N/A</v>
          </cell>
          <cell r="I95" t="str">
            <v/>
          </cell>
          <cell r="J95" t="str">
            <v>730</v>
          </cell>
          <cell r="K95" t="str">
            <v>PCS</v>
          </cell>
          <cell r="M95" t="str">
            <v>KOA Speer</v>
          </cell>
          <cell r="O95" t="str">
            <v>1736701-00-A</v>
          </cell>
        </row>
        <row r="96">
          <cell r="C96" t="str">
            <v>ERJ1GJF1102C</v>
          </cell>
          <cell r="D96" t="str">
            <v>电子物料</v>
          </cell>
          <cell r="E96" t="str">
            <v>B</v>
          </cell>
          <cell r="F96" t="str">
            <v>RA</v>
          </cell>
          <cell r="G96" t="str">
            <v>RES,11K0,0.05W,1%,0201(0603),AEC-Q</v>
          </cell>
          <cell r="H96" t="str">
            <v>N/A</v>
          </cell>
          <cell r="I96" t="str">
            <v/>
          </cell>
          <cell r="J96" t="str">
            <v>730</v>
          </cell>
          <cell r="K96" t="str">
            <v>PCS</v>
          </cell>
          <cell r="M96" t="str">
            <v>Panasonic</v>
          </cell>
          <cell r="O96" t="str">
            <v>1736701-00-A</v>
          </cell>
        </row>
        <row r="97">
          <cell r="C97" t="str">
            <v>RMCH06-113FPA</v>
          </cell>
          <cell r="D97" t="str">
            <v>电子物料</v>
          </cell>
          <cell r="E97" t="str">
            <v>B</v>
          </cell>
          <cell r="F97" t="str">
            <v>RA</v>
          </cell>
          <cell r="G97" t="str">
            <v>RES,11K0,0.05W,1%,0201(0603),AEC-Q</v>
          </cell>
          <cell r="H97" t="str">
            <v>N/A</v>
          </cell>
          <cell r="I97" t="str">
            <v/>
          </cell>
          <cell r="J97" t="str">
            <v>730</v>
          </cell>
          <cell r="K97" t="str">
            <v>PCS</v>
          </cell>
          <cell r="M97" t="str">
            <v>Kamaya</v>
          </cell>
          <cell r="O97" t="str">
            <v>1736701-00-A</v>
          </cell>
          <cell r="P97">
            <v>2.66E-3</v>
          </cell>
        </row>
        <row r="98">
          <cell r="C98" t="str">
            <v>AC0201FR-0711KL</v>
          </cell>
          <cell r="D98" t="str">
            <v>电子物料</v>
          </cell>
          <cell r="E98" t="str">
            <v>B</v>
          </cell>
          <cell r="F98" t="str">
            <v>RA</v>
          </cell>
          <cell r="G98" t="str">
            <v>RES,11K0,0.05W,1%,0201(0603),AEC-Q</v>
          </cell>
          <cell r="H98" t="str">
            <v>N/A</v>
          </cell>
          <cell r="I98" t="str">
            <v/>
          </cell>
          <cell r="J98" t="str">
            <v>730</v>
          </cell>
          <cell r="K98" t="str">
            <v>PCS</v>
          </cell>
          <cell r="L98">
            <v>2</v>
          </cell>
          <cell r="M98" t="str">
            <v>Yageo</v>
          </cell>
          <cell r="O98" t="str">
            <v>1736701-00-A</v>
          </cell>
          <cell r="P98">
            <v>5.9999999999999995E-4</v>
          </cell>
        </row>
        <row r="99">
          <cell r="C99" t="str">
            <v>RCC02012K00FKED</v>
          </cell>
          <cell r="D99" t="str">
            <v>电子物料</v>
          </cell>
          <cell r="E99" t="str">
            <v>B</v>
          </cell>
          <cell r="F99" t="str">
            <v>RA</v>
          </cell>
          <cell r="G99" t="str">
            <v>RES,2K00,0.05W,1%,0201(0603),AEC-Q</v>
          </cell>
          <cell r="H99" t="str">
            <v>N/A</v>
          </cell>
          <cell r="I99" t="str">
            <v/>
          </cell>
          <cell r="J99" t="str">
            <v>730</v>
          </cell>
          <cell r="K99" t="str">
            <v>PCS</v>
          </cell>
          <cell r="M99" t="str">
            <v>Vishay</v>
          </cell>
          <cell r="N99" t="str">
            <v>R408</v>
          </cell>
          <cell r="O99" t="str">
            <v>1736771-00-A</v>
          </cell>
        </row>
        <row r="100">
          <cell r="C100" t="str">
            <v>RK73H1HTTC2001F</v>
          </cell>
          <cell r="D100" t="str">
            <v>电子物料</v>
          </cell>
          <cell r="E100" t="str">
            <v>B</v>
          </cell>
          <cell r="F100" t="str">
            <v>RA</v>
          </cell>
          <cell r="G100" t="str">
            <v>RES,2K00,0.05W,1%,0201(0603),AEC-Q</v>
          </cell>
          <cell r="H100" t="str">
            <v>N/A</v>
          </cell>
          <cell r="I100" t="str">
            <v/>
          </cell>
          <cell r="J100" t="str">
            <v>730</v>
          </cell>
          <cell r="K100" t="str">
            <v>PCS</v>
          </cell>
          <cell r="M100" t="str">
            <v>KOA Speer</v>
          </cell>
          <cell r="O100" t="str">
            <v>1736771-00-A</v>
          </cell>
        </row>
        <row r="101">
          <cell r="C101" t="str">
            <v>ERJ1GJF2001C</v>
          </cell>
          <cell r="D101" t="str">
            <v>电子物料</v>
          </cell>
          <cell r="E101" t="str">
            <v>B</v>
          </cell>
          <cell r="F101" t="str">
            <v>RA</v>
          </cell>
          <cell r="G101" t="str">
            <v>RES,2K00,0.05W,1%,0201(0603),AEC-Q</v>
          </cell>
          <cell r="H101" t="str">
            <v>N/A</v>
          </cell>
          <cell r="I101" t="str">
            <v/>
          </cell>
          <cell r="J101" t="str">
            <v>730</v>
          </cell>
          <cell r="K101" t="str">
            <v>PCS</v>
          </cell>
          <cell r="M101" t="str">
            <v>Panasonic</v>
          </cell>
          <cell r="O101" t="str">
            <v>1736771-00-A</v>
          </cell>
        </row>
        <row r="102">
          <cell r="C102" t="str">
            <v>RMCH06-202FPA</v>
          </cell>
          <cell r="D102" t="str">
            <v>电子物料</v>
          </cell>
          <cell r="E102" t="str">
            <v>B</v>
          </cell>
          <cell r="F102" t="str">
            <v>RA</v>
          </cell>
          <cell r="G102" t="str">
            <v>RES,2K00,0.05W,1%,0201(0603),AEC-Q</v>
          </cell>
          <cell r="H102" t="str">
            <v>N/A</v>
          </cell>
          <cell r="I102" t="str">
            <v/>
          </cell>
          <cell r="J102" t="str">
            <v>730</v>
          </cell>
          <cell r="K102" t="str">
            <v>PCS</v>
          </cell>
          <cell r="M102" t="str">
            <v>Kamaya</v>
          </cell>
          <cell r="O102" t="str">
            <v>1736771-00-A</v>
          </cell>
          <cell r="P102">
            <v>2.66E-3</v>
          </cell>
        </row>
        <row r="103">
          <cell r="C103" t="str">
            <v>AC0201FR-072KL</v>
          </cell>
          <cell r="D103" t="str">
            <v>电子物料</v>
          </cell>
          <cell r="E103" t="str">
            <v>B</v>
          </cell>
          <cell r="F103" t="str">
            <v>RA</v>
          </cell>
          <cell r="G103" t="str">
            <v>RES,2K00,0.05W,1%,0201(0603),AEC-Q</v>
          </cell>
          <cell r="H103" t="str">
            <v>N/A</v>
          </cell>
          <cell r="I103" t="str">
            <v/>
          </cell>
          <cell r="J103" t="str">
            <v>730</v>
          </cell>
          <cell r="K103" t="str">
            <v>PCS</v>
          </cell>
          <cell r="L103">
            <v>1</v>
          </cell>
          <cell r="M103" t="str">
            <v>Yageo</v>
          </cell>
          <cell r="O103" t="str">
            <v>1736771-00-A</v>
          </cell>
          <cell r="P103">
            <v>5.9999999999999995E-4</v>
          </cell>
        </row>
        <row r="104">
          <cell r="C104" t="str">
            <v>RK73H1HTTC1002F</v>
          </cell>
          <cell r="D104" t="str">
            <v>电子物料</v>
          </cell>
          <cell r="E104" t="str">
            <v>B</v>
          </cell>
          <cell r="F104" t="str">
            <v>RA</v>
          </cell>
          <cell r="G104" t="str">
            <v>RES,10K0,0.05W,1%,0201(0603),AEC-Q</v>
          </cell>
          <cell r="H104" t="str">
            <v>N/A</v>
          </cell>
          <cell r="I104" t="str">
            <v/>
          </cell>
          <cell r="J104" t="str">
            <v>730</v>
          </cell>
          <cell r="K104" t="str">
            <v>PCS</v>
          </cell>
          <cell r="M104" t="str">
            <v>KOA Speer</v>
          </cell>
          <cell r="N104" t="str">
            <v>R1,R2,R3,R4,R5,R8,R9,R12,R19,R21,R30,R31,R306,R411,R601,R602,R603,R604,R605,R606,R607,R610,R611,R614</v>
          </cell>
          <cell r="O104" t="str">
            <v>1736705-00-A</v>
          </cell>
        </row>
        <row r="105">
          <cell r="C105" t="str">
            <v>RMCH06-103FPA</v>
          </cell>
          <cell r="D105" t="str">
            <v>电子物料</v>
          </cell>
          <cell r="E105" t="str">
            <v>B</v>
          </cell>
          <cell r="F105" t="str">
            <v>RA</v>
          </cell>
          <cell r="G105" t="str">
            <v>RES,10K0,0.05W,1%,0201(0603),AEC-Q</v>
          </cell>
          <cell r="H105" t="str">
            <v>N/A</v>
          </cell>
          <cell r="I105" t="str">
            <v/>
          </cell>
          <cell r="J105" t="str">
            <v>730</v>
          </cell>
          <cell r="K105" t="str">
            <v>PCS</v>
          </cell>
          <cell r="M105" t="str">
            <v>Kamaya</v>
          </cell>
          <cell r="O105" t="str">
            <v>1736705-00-A</v>
          </cell>
          <cell r="P105">
            <v>2.66E-3</v>
          </cell>
        </row>
        <row r="106">
          <cell r="C106" t="str">
            <v>RCC020110K0FKED</v>
          </cell>
          <cell r="D106" t="str">
            <v>电子物料</v>
          </cell>
          <cell r="E106" t="str">
            <v>B</v>
          </cell>
          <cell r="F106" t="str">
            <v>RA</v>
          </cell>
          <cell r="G106" t="str">
            <v>RES,10K0,0.05W,1%,0201(0603),AEC-Q</v>
          </cell>
          <cell r="H106" t="str">
            <v>N/A</v>
          </cell>
          <cell r="I106" t="str">
            <v/>
          </cell>
          <cell r="J106" t="str">
            <v>730</v>
          </cell>
          <cell r="K106" t="str">
            <v>PCS</v>
          </cell>
          <cell r="M106" t="str">
            <v>Vishay</v>
          </cell>
          <cell r="O106" t="str">
            <v>1736705-00-A</v>
          </cell>
        </row>
        <row r="107">
          <cell r="C107" t="str">
            <v>ERJ1GJF1002C</v>
          </cell>
          <cell r="D107" t="str">
            <v>电子物料</v>
          </cell>
          <cell r="E107" t="str">
            <v>B</v>
          </cell>
          <cell r="F107" t="str">
            <v>RA</v>
          </cell>
          <cell r="G107" t="str">
            <v>RES,10K0,0.05W,1%,0201(0603),AEC-Q</v>
          </cell>
          <cell r="H107" t="str">
            <v>N/A</v>
          </cell>
          <cell r="I107" t="str">
            <v/>
          </cell>
          <cell r="J107" t="str">
            <v>730</v>
          </cell>
          <cell r="K107" t="str">
            <v>PCS</v>
          </cell>
          <cell r="M107" t="str">
            <v>Panasonic</v>
          </cell>
          <cell r="O107" t="str">
            <v>1736705-00-A</v>
          </cell>
        </row>
        <row r="108">
          <cell r="C108" t="str">
            <v>AC0201FR-0710KL</v>
          </cell>
          <cell r="D108" t="str">
            <v>电子物料</v>
          </cell>
          <cell r="E108" t="str">
            <v>B</v>
          </cell>
          <cell r="F108" t="str">
            <v>RA</v>
          </cell>
          <cell r="G108" t="str">
            <v>RES,10K0,0.05W,1%,0201(0603),AEC-Q</v>
          </cell>
          <cell r="H108" t="str">
            <v>N/A</v>
          </cell>
          <cell r="I108" t="str">
            <v/>
          </cell>
          <cell r="J108" t="str">
            <v>730</v>
          </cell>
          <cell r="K108" t="str">
            <v>PCS</v>
          </cell>
          <cell r="L108">
            <v>24</v>
          </cell>
          <cell r="M108" t="str">
            <v>Yageo</v>
          </cell>
          <cell r="O108" t="str">
            <v>1736705-00-A</v>
          </cell>
          <cell r="P108">
            <v>5.9999999999999995E-4</v>
          </cell>
        </row>
        <row r="109">
          <cell r="C109" t="str">
            <v>NO value</v>
          </cell>
          <cell r="D109" t="str">
            <v>电子物料</v>
          </cell>
          <cell r="E109" t="str">
            <v>B</v>
          </cell>
          <cell r="F109" t="str">
            <v>RA</v>
          </cell>
          <cell r="G109" t="str">
            <v>FLEX OVER FOAM, THS SENSOR</v>
          </cell>
          <cell r="H109" t="str">
            <v>N/A</v>
          </cell>
          <cell r="I109" t="str">
            <v/>
          </cell>
          <cell r="J109" t="str">
            <v>730</v>
          </cell>
          <cell r="K109" t="str">
            <v>PCS</v>
          </cell>
          <cell r="L109">
            <v>1</v>
          </cell>
          <cell r="M109" t="str">
            <v>NO value</v>
          </cell>
          <cell r="N109" t="str">
            <v>U703</v>
          </cell>
          <cell r="O109" t="str">
            <v>2120077-00-A</v>
          </cell>
        </row>
        <row r="110">
          <cell r="C110" t="str">
            <v>TMP112DQDRLRQ1</v>
          </cell>
          <cell r="D110" t="str">
            <v>电子物料</v>
          </cell>
          <cell r="E110" t="str">
            <v>B</v>
          </cell>
          <cell r="F110" t="str">
            <v>RA</v>
          </cell>
          <cell r="G110" t="str">
            <v>IC,SENSE,TEMP,TMP112D,SOT563-6,AEC-Q</v>
          </cell>
          <cell r="H110" t="str">
            <v>N/A</v>
          </cell>
          <cell r="I110" t="str">
            <v/>
          </cell>
          <cell r="J110" t="str">
            <v>730</v>
          </cell>
          <cell r="K110" t="str">
            <v>PCS</v>
          </cell>
          <cell r="L110">
            <v>1</v>
          </cell>
          <cell r="M110" t="str">
            <v>Texas Instruments</v>
          </cell>
          <cell r="N110" t="str">
            <v>U1</v>
          </cell>
          <cell r="O110" t="str">
            <v>2125545-00-A</v>
          </cell>
          <cell r="P110">
            <v>0.125</v>
          </cell>
        </row>
        <row r="111">
          <cell r="C111" t="str">
            <v>CGA1A2X7R0J103K030BA</v>
          </cell>
          <cell r="D111" t="str">
            <v>电子物料</v>
          </cell>
          <cell r="E111" t="str">
            <v>B</v>
          </cell>
          <cell r="F111" t="str">
            <v>RA</v>
          </cell>
          <cell r="G111" t="str">
            <v>CAP,X7R,10nF,10%,6.3V,0201(0603),AEC-Q</v>
          </cell>
          <cell r="H111" t="str">
            <v>N/A</v>
          </cell>
          <cell r="I111" t="str">
            <v/>
          </cell>
          <cell r="J111" t="str">
            <v>730</v>
          </cell>
          <cell r="K111" t="str">
            <v>PCS</v>
          </cell>
          <cell r="L111">
            <v>1</v>
          </cell>
          <cell r="M111" t="str">
            <v>TDK Corporation Of America</v>
          </cell>
          <cell r="N111" t="str">
            <v>C1</v>
          </cell>
          <cell r="O111" t="str">
            <v>1008054-00-A</v>
          </cell>
          <cell r="P111">
            <v>2.5799999999999998E-3</v>
          </cell>
        </row>
        <row r="112">
          <cell r="C112" t="str">
            <v>GCM033C71A104KE02D</v>
          </cell>
          <cell r="D112" t="str">
            <v>电子物料</v>
          </cell>
          <cell r="E112" t="str">
            <v>B</v>
          </cell>
          <cell r="F112" t="str">
            <v>RA</v>
          </cell>
          <cell r="G112" t="str">
            <v>CAP,X7S,100nF,10V,10%,0201(0603),AEC-Q</v>
          </cell>
          <cell r="H112" t="str">
            <v>N/A</v>
          </cell>
          <cell r="I112" t="str">
            <v/>
          </cell>
          <cell r="J112" t="str">
            <v>730</v>
          </cell>
          <cell r="K112" t="str">
            <v>PCS</v>
          </cell>
          <cell r="M112" t="str">
            <v>Murata</v>
          </cell>
          <cell r="N112" t="str">
            <v>C6,C301,C304,C314,C701,C702,C703</v>
          </cell>
          <cell r="O112" t="str">
            <v>1812593-00-A</v>
          </cell>
        </row>
        <row r="113">
          <cell r="C113" t="str">
            <v>GCM033C71A104KE02J</v>
          </cell>
          <cell r="D113" t="str">
            <v>电子物料</v>
          </cell>
          <cell r="E113" t="str">
            <v>B</v>
          </cell>
          <cell r="F113" t="str">
            <v>RA</v>
          </cell>
          <cell r="G113" t="str">
            <v>CAP,X7S,100nF,10V,10%,0201(0603),AEC-Q</v>
          </cell>
          <cell r="H113" t="str">
            <v>N/A</v>
          </cell>
          <cell r="I113" t="str">
            <v/>
          </cell>
          <cell r="J113" t="str">
            <v>730</v>
          </cell>
          <cell r="K113" t="str">
            <v>PCS</v>
          </cell>
          <cell r="L113">
            <v>7</v>
          </cell>
          <cell r="M113" t="str">
            <v>Murata</v>
          </cell>
          <cell r="O113" t="str">
            <v>1812593-00-A</v>
          </cell>
          <cell r="P113">
            <v>4.4999999999999997E-3</v>
          </cell>
        </row>
        <row r="114">
          <cell r="C114" t="str">
            <v>SRN8040TA-100M</v>
          </cell>
          <cell r="D114" t="str">
            <v>电子物料</v>
          </cell>
          <cell r="E114" t="str">
            <v>B</v>
          </cell>
          <cell r="F114" t="str">
            <v>RA</v>
          </cell>
          <cell r="G114" t="str">
            <v>IND,PWR,10uH,5A,20%,SM,AEC-Q</v>
          </cell>
          <cell r="H114" t="str">
            <v>N/A</v>
          </cell>
          <cell r="I114" t="str">
            <v/>
          </cell>
          <cell r="J114" t="str">
            <v>730</v>
          </cell>
          <cell r="K114" t="str">
            <v>PCS</v>
          </cell>
          <cell r="L114">
            <v>1</v>
          </cell>
          <cell r="M114" t="str">
            <v>Bourns Inc.</v>
          </cell>
          <cell r="N114" t="str">
            <v>L401</v>
          </cell>
          <cell r="O114" t="str">
            <v>1527301-00-A</v>
          </cell>
          <cell r="P114">
            <v>0.115</v>
          </cell>
        </row>
        <row r="115">
          <cell r="C115" t="str">
            <v>C1206C105K1RACAUTO7210</v>
          </cell>
          <cell r="D115" t="str">
            <v>电子物料</v>
          </cell>
          <cell r="E115" t="str">
            <v>B</v>
          </cell>
          <cell r="F115" t="str">
            <v>RA</v>
          </cell>
          <cell r="G115" t="str">
            <v>CAP,X7R,1.0uF,100V,10%,1206(3216),AEC-Q</v>
          </cell>
          <cell r="H115" t="str">
            <v>N/A</v>
          </cell>
          <cell r="I115" t="str">
            <v/>
          </cell>
          <cell r="J115" t="str">
            <v>730</v>
          </cell>
          <cell r="K115" t="str">
            <v>PCS</v>
          </cell>
          <cell r="M115" t="str">
            <v>Kemet</v>
          </cell>
          <cell r="N115" t="str">
            <v>C407,C408</v>
          </cell>
          <cell r="O115" t="str">
            <v>1762002-00-A</v>
          </cell>
        </row>
        <row r="116">
          <cell r="C116" t="str">
            <v>GCM31CR72A105KA03L</v>
          </cell>
          <cell r="D116" t="str">
            <v>电子物料</v>
          </cell>
          <cell r="E116" t="str">
            <v>B</v>
          </cell>
          <cell r="F116" t="str">
            <v>RA</v>
          </cell>
          <cell r="G116" t="str">
            <v>CAP,X7R,1.0uF,100V,10%,1206(3216),AEC-Q</v>
          </cell>
          <cell r="H116" t="str">
            <v>N/A</v>
          </cell>
          <cell r="I116" t="str">
            <v/>
          </cell>
          <cell r="J116" t="str">
            <v>730</v>
          </cell>
          <cell r="K116" t="str">
            <v>PCS</v>
          </cell>
          <cell r="M116" t="str">
            <v>Murata</v>
          </cell>
          <cell r="O116" t="str">
            <v>1762002-00-A</v>
          </cell>
          <cell r="P116">
            <v>6.5000000000000002E-2</v>
          </cell>
        </row>
        <row r="117">
          <cell r="C117" t="str">
            <v>GCM31CR72A105KA03K</v>
          </cell>
          <cell r="D117" t="str">
            <v>电子物料</v>
          </cell>
          <cell r="E117" t="str">
            <v>B</v>
          </cell>
          <cell r="F117" t="str">
            <v>RA</v>
          </cell>
          <cell r="G117" t="str">
            <v>CAP,X7R,1.0uF,100V,10%,1206(3216),AEC-Q</v>
          </cell>
          <cell r="H117" t="str">
            <v>N/A</v>
          </cell>
          <cell r="I117" t="str">
            <v/>
          </cell>
          <cell r="J117" t="str">
            <v>730</v>
          </cell>
          <cell r="K117" t="str">
            <v>PCS</v>
          </cell>
          <cell r="M117" t="str">
            <v>Murata</v>
          </cell>
          <cell r="O117" t="str">
            <v>1762002-00-A</v>
          </cell>
          <cell r="P117">
            <v>6.5000000000000002E-2</v>
          </cell>
        </row>
        <row r="118">
          <cell r="C118" t="str">
            <v>CL31B105KCHVPNE</v>
          </cell>
          <cell r="D118" t="str">
            <v>电子物料</v>
          </cell>
          <cell r="E118" t="str">
            <v>B</v>
          </cell>
          <cell r="F118" t="str">
            <v>RA</v>
          </cell>
          <cell r="G118" t="str">
            <v>CAP,X7R,1.0uF,100V,10%,1206(3216),AEC-Q</v>
          </cell>
          <cell r="H118" t="str">
            <v>N/A</v>
          </cell>
          <cell r="I118" t="str">
            <v/>
          </cell>
          <cell r="J118" t="str">
            <v>730</v>
          </cell>
          <cell r="K118" t="str">
            <v>PCS</v>
          </cell>
          <cell r="L118">
            <v>2</v>
          </cell>
          <cell r="M118" t="str">
            <v>Samsung Electro Mechanics Co Ltd</v>
          </cell>
          <cell r="O118" t="str">
            <v>1762002-00-A</v>
          </cell>
          <cell r="P118">
            <v>2.2589999999999999E-2</v>
          </cell>
        </row>
        <row r="119">
          <cell r="C119" t="str">
            <v>12061C105K4T2A</v>
          </cell>
          <cell r="D119" t="str">
            <v>电子物料</v>
          </cell>
          <cell r="E119" t="str">
            <v>B</v>
          </cell>
          <cell r="F119" t="str">
            <v>RA</v>
          </cell>
          <cell r="G119" t="str">
            <v>CAP,X7R,1.0uF,100V,10%,1206(3216),AEC-Q</v>
          </cell>
          <cell r="H119" t="str">
            <v>N/A</v>
          </cell>
          <cell r="I119" t="str">
            <v/>
          </cell>
          <cell r="J119" t="str">
            <v>730</v>
          </cell>
          <cell r="K119" t="str">
            <v>PCS</v>
          </cell>
          <cell r="M119" t="str">
            <v>AVX</v>
          </cell>
          <cell r="O119" t="str">
            <v>1762002-00-A</v>
          </cell>
        </row>
        <row r="120">
          <cell r="C120" t="str">
            <v>C1206C105K1RACAUTO</v>
          </cell>
          <cell r="D120" t="str">
            <v>电子物料</v>
          </cell>
          <cell r="E120" t="str">
            <v>B</v>
          </cell>
          <cell r="F120" t="str">
            <v>RA</v>
          </cell>
          <cell r="G120" t="str">
            <v>CAP,X7R,1.0uF,100V,10%,1206(3216),AEC-Q</v>
          </cell>
          <cell r="H120" t="str">
            <v>N/A</v>
          </cell>
          <cell r="I120" t="str">
            <v/>
          </cell>
          <cell r="J120" t="str">
            <v>730</v>
          </cell>
          <cell r="K120" t="str">
            <v>PCS</v>
          </cell>
          <cell r="M120" t="str">
            <v>Kemet</v>
          </cell>
          <cell r="O120" t="str">
            <v>1762002-00-A</v>
          </cell>
        </row>
        <row r="121">
          <cell r="C121" t="str">
            <v>12061C105K4T4A</v>
          </cell>
          <cell r="D121" t="str">
            <v>电子物料</v>
          </cell>
          <cell r="E121" t="str">
            <v>B</v>
          </cell>
          <cell r="F121" t="str">
            <v>RA</v>
          </cell>
          <cell r="G121" t="str">
            <v>CAP,X7R,1.0uF,100V,10%,1206(3216),AEC-Q</v>
          </cell>
          <cell r="H121" t="str">
            <v>N/A</v>
          </cell>
          <cell r="I121" t="str">
            <v/>
          </cell>
          <cell r="J121" t="str">
            <v>730</v>
          </cell>
          <cell r="K121" t="str">
            <v>PCS</v>
          </cell>
          <cell r="M121" t="str">
            <v>AVX</v>
          </cell>
          <cell r="O121" t="str">
            <v>1762002-00-A</v>
          </cell>
        </row>
        <row r="122">
          <cell r="C122" t="str">
            <v>AC1206KKX7R0BB105</v>
          </cell>
          <cell r="D122" t="str">
            <v>电子物料</v>
          </cell>
          <cell r="E122" t="str">
            <v>B</v>
          </cell>
          <cell r="F122" t="str">
            <v>RA</v>
          </cell>
          <cell r="G122" t="str">
            <v>CAP,X7R,1.0uF,100V,10%,1206(3216),AEC-Q</v>
          </cell>
          <cell r="H122" t="str">
            <v>N/A</v>
          </cell>
          <cell r="I122" t="str">
            <v/>
          </cell>
          <cell r="J122" t="str">
            <v>730</v>
          </cell>
          <cell r="K122" t="str">
            <v>PCS</v>
          </cell>
          <cell r="M122" t="str">
            <v>Yageo</v>
          </cell>
          <cell r="O122" t="str">
            <v>1762002-00-A</v>
          </cell>
          <cell r="P122">
            <v>0.04</v>
          </cell>
        </row>
        <row r="123">
          <cell r="C123" t="str">
            <v>10155502-A106KLF</v>
          </cell>
          <cell r="D123" t="str">
            <v>电子物料</v>
          </cell>
          <cell r="E123" t="str">
            <v>B</v>
          </cell>
          <cell r="F123" t="str">
            <v>RA</v>
          </cell>
          <cell r="G123" t="str">
            <v>CONN,HDR,STR,10155502,CODE A,6P,SM,TIN</v>
          </cell>
          <cell r="H123" t="str">
            <v>N/A</v>
          </cell>
          <cell r="I123" t="str">
            <v/>
          </cell>
          <cell r="J123" t="str">
            <v>730</v>
          </cell>
          <cell r="K123" t="str">
            <v>PCS</v>
          </cell>
          <cell r="L123">
            <v>1</v>
          </cell>
          <cell r="M123" t="str">
            <v>Tyco Electronics Logistics AG</v>
          </cell>
          <cell r="N123" t="str">
            <v>J6</v>
          </cell>
          <cell r="O123" t="str">
            <v>1867744-00-A</v>
          </cell>
        </row>
        <row r="124">
          <cell r="C124" t="str">
            <v>LMR38025SQDRRRQ1</v>
          </cell>
          <cell r="D124" t="str">
            <v>电子物料</v>
          </cell>
          <cell r="E124" t="str">
            <v>B</v>
          </cell>
          <cell r="F124" t="str">
            <v>RA</v>
          </cell>
          <cell r="G124" t="str">
            <v>IC,CONV,SYNC,LMR38025-Q1,WSON12,AEC-Q</v>
          </cell>
          <cell r="H124" t="str">
            <v>N/A</v>
          </cell>
          <cell r="I124" t="str">
            <v/>
          </cell>
          <cell r="J124" t="str">
            <v>730</v>
          </cell>
          <cell r="K124" t="str">
            <v>PCS</v>
          </cell>
          <cell r="L124">
            <v>1</v>
          </cell>
          <cell r="M124" t="str">
            <v>Texas Instruments</v>
          </cell>
          <cell r="N124" t="str">
            <v>U401</v>
          </cell>
          <cell r="O124" t="str">
            <v>2039741-00-A</v>
          </cell>
          <cell r="P124">
            <v>0.55200000000000005</v>
          </cell>
        </row>
        <row r="125">
          <cell r="C125" t="str">
            <v>GCM1885C2A221JA16D</v>
          </cell>
          <cell r="D125" t="str">
            <v>电子物料</v>
          </cell>
          <cell r="E125" t="str">
            <v>B</v>
          </cell>
          <cell r="F125" t="str">
            <v>RA</v>
          </cell>
          <cell r="G125" t="str">
            <v>CAP,COG,220pF,100V,5%,0603(1608),AEC-Q</v>
          </cell>
          <cell r="H125" t="str">
            <v>N/A</v>
          </cell>
          <cell r="I125" t="str">
            <v/>
          </cell>
          <cell r="J125" t="str">
            <v>730</v>
          </cell>
          <cell r="K125" t="str">
            <v>PCS</v>
          </cell>
          <cell r="L125">
            <v>1</v>
          </cell>
          <cell r="M125" t="str">
            <v>Murata</v>
          </cell>
          <cell r="N125" t="str">
            <v>C29</v>
          </cell>
          <cell r="O125" t="str">
            <v>1004223-00-A</v>
          </cell>
          <cell r="P125">
            <v>4.7999999999999996E-3</v>
          </cell>
        </row>
        <row r="126">
          <cell r="C126" t="str">
            <v>GCM033R71E331KA03D</v>
          </cell>
          <cell r="D126" t="str">
            <v>电子物料</v>
          </cell>
          <cell r="E126" t="str">
            <v>B</v>
          </cell>
          <cell r="F126" t="str">
            <v>RA</v>
          </cell>
          <cell r="G126" t="str">
            <v>CAP,X7R,330pF,10%,25V,0201(0603),AEC-Q</v>
          </cell>
          <cell r="H126" t="str">
            <v>N/A</v>
          </cell>
          <cell r="I126" t="str">
            <v/>
          </cell>
          <cell r="J126" t="str">
            <v>730</v>
          </cell>
          <cell r="K126" t="str">
            <v>PCS</v>
          </cell>
          <cell r="L126">
            <v>1</v>
          </cell>
          <cell r="M126" t="str">
            <v>Murata</v>
          </cell>
          <cell r="N126" t="str">
            <v>C413</v>
          </cell>
          <cell r="O126" t="str">
            <v>1008031-00-A</v>
          </cell>
          <cell r="P126">
            <v>2.2000000000000001E-3</v>
          </cell>
        </row>
        <row r="127">
          <cell r="C127" t="str">
            <v>GCM033R71E331KA03J</v>
          </cell>
          <cell r="D127" t="str">
            <v>电子物料</v>
          </cell>
          <cell r="E127" t="str">
            <v>B</v>
          </cell>
          <cell r="F127" t="str">
            <v>RA</v>
          </cell>
          <cell r="G127" t="str">
            <v>CAP,X7R,330pF,10%,25V,0201(0603),AEC-Q</v>
          </cell>
          <cell r="H127" t="str">
            <v>N/A</v>
          </cell>
          <cell r="I127" t="str">
            <v/>
          </cell>
          <cell r="J127" t="str">
            <v>730</v>
          </cell>
          <cell r="K127" t="str">
            <v>PCS</v>
          </cell>
          <cell r="M127" t="str">
            <v>Murata</v>
          </cell>
          <cell r="O127" t="str">
            <v>1008031-00-A</v>
          </cell>
        </row>
        <row r="128">
          <cell r="C128" t="str">
            <v>CGA1A2X7R1E331K030BA</v>
          </cell>
          <cell r="D128" t="str">
            <v>电子物料</v>
          </cell>
          <cell r="E128" t="str">
            <v>B</v>
          </cell>
          <cell r="F128" t="str">
            <v>RA</v>
          </cell>
          <cell r="G128" t="str">
            <v>CAP,X7R,330pF,10%,25V,0201(0603),AEC-Q</v>
          </cell>
          <cell r="H128" t="str">
            <v>N/A</v>
          </cell>
          <cell r="I128" t="str">
            <v/>
          </cell>
          <cell r="J128" t="str">
            <v>730</v>
          </cell>
          <cell r="K128" t="str">
            <v>PCS</v>
          </cell>
          <cell r="M128" t="str">
            <v>TDK Corporation Of America</v>
          </cell>
          <cell r="O128" t="str">
            <v>1008031-00-A</v>
          </cell>
          <cell r="P128">
            <v>3.6099999999999999E-3</v>
          </cell>
        </row>
        <row r="129">
          <cell r="C129" t="str">
            <v>GCM033R71A103KA03D</v>
          </cell>
          <cell r="D129" t="str">
            <v>电子物料</v>
          </cell>
          <cell r="E129" t="str">
            <v>B</v>
          </cell>
          <cell r="F129" t="str">
            <v>RA</v>
          </cell>
          <cell r="G129" t="str">
            <v>CAP,X7R,10nF,10%,10V,0201(0603),AEC-Q</v>
          </cell>
          <cell r="H129" t="str">
            <v>N/A</v>
          </cell>
          <cell r="I129" t="str">
            <v/>
          </cell>
          <cell r="J129" t="str">
            <v>730</v>
          </cell>
          <cell r="K129" t="str">
            <v>PCS</v>
          </cell>
          <cell r="L129">
            <v>9</v>
          </cell>
          <cell r="M129" t="str">
            <v>Murata</v>
          </cell>
          <cell r="N129" t="str">
            <v>C5,C12,C30,C31,C305,C421,C603,C607,C614</v>
          </cell>
          <cell r="O129" t="str">
            <v>1008053-00-A</v>
          </cell>
          <cell r="P129">
            <v>1.6999999999999999E-3</v>
          </cell>
        </row>
        <row r="130">
          <cell r="C130" t="str">
            <v>GCM033R71A103KA03J</v>
          </cell>
          <cell r="D130" t="str">
            <v>电子物料</v>
          </cell>
          <cell r="E130" t="str">
            <v>B</v>
          </cell>
          <cell r="F130" t="str">
            <v>RA</v>
          </cell>
          <cell r="G130" t="str">
            <v>CAP,X7R,10nF,10%,10V,0201(0603),AEC-Q</v>
          </cell>
          <cell r="H130" t="str">
            <v>N/A</v>
          </cell>
          <cell r="I130" t="str">
            <v/>
          </cell>
          <cell r="J130" t="str">
            <v>730</v>
          </cell>
          <cell r="K130" t="str">
            <v>PCS</v>
          </cell>
          <cell r="M130" t="str">
            <v>Murata</v>
          </cell>
          <cell r="O130" t="str">
            <v>1008053-00-A</v>
          </cell>
        </row>
        <row r="131">
          <cell r="C131" t="str">
            <v>CGA1A2X7R1A103K030BA</v>
          </cell>
          <cell r="D131" t="str">
            <v>电子物料</v>
          </cell>
          <cell r="E131" t="str">
            <v>B</v>
          </cell>
          <cell r="F131" t="str">
            <v>RA</v>
          </cell>
          <cell r="G131" t="str">
            <v>CAP,X7R,10nF,10%,10V,0201(0603),AEC-Q</v>
          </cell>
          <cell r="H131" t="str">
            <v>N/A</v>
          </cell>
          <cell r="I131" t="str">
            <v/>
          </cell>
          <cell r="J131" t="str">
            <v>730</v>
          </cell>
          <cell r="K131" t="str">
            <v>PCS</v>
          </cell>
          <cell r="M131" t="str">
            <v>TDK Corporation Of America</v>
          </cell>
          <cell r="O131" t="str">
            <v>1008053-00-A</v>
          </cell>
          <cell r="P131">
            <v>2.5799999999999998E-3</v>
          </cell>
        </row>
        <row r="132">
          <cell r="C132" t="str">
            <v>ACT1210E-241-2P</v>
          </cell>
          <cell r="D132" t="str">
            <v>电子物料</v>
          </cell>
          <cell r="E132" t="str">
            <v>B</v>
          </cell>
          <cell r="F132" t="str">
            <v>RA</v>
          </cell>
          <cell r="G132" t="str">
            <v>IND,CHOKE,CM,240uH,70mA,1210(3225),AEC-Q</v>
          </cell>
          <cell r="H132" t="str">
            <v>N/A</v>
          </cell>
          <cell r="I132" t="str">
            <v/>
          </cell>
          <cell r="J132" t="str">
            <v>730</v>
          </cell>
          <cell r="K132" t="str">
            <v>PCS</v>
          </cell>
          <cell r="L132">
            <v>1</v>
          </cell>
          <cell r="M132" t="str">
            <v>TDK Corporation</v>
          </cell>
          <cell r="N132" t="str">
            <v>L301</v>
          </cell>
          <cell r="O132" t="str">
            <v>2042830-00-A</v>
          </cell>
          <cell r="P132">
            <v>0.27836</v>
          </cell>
        </row>
        <row r="133">
          <cell r="C133" t="str">
            <v>BAT54CW-QX</v>
          </cell>
          <cell r="D133" t="str">
            <v>电子物料</v>
          </cell>
          <cell r="E133" t="str">
            <v>B</v>
          </cell>
          <cell r="F133" t="str">
            <v>RA</v>
          </cell>
          <cell r="G133" t="str">
            <v>DIODE,SCHOTTKY,CK,30V,200mA,SC70,AEC-Q</v>
          </cell>
          <cell r="H133" t="str">
            <v>N/A</v>
          </cell>
          <cell r="I133" t="str">
            <v/>
          </cell>
          <cell r="J133" t="str">
            <v>730</v>
          </cell>
          <cell r="K133" t="str">
            <v>PCS</v>
          </cell>
          <cell r="L133">
            <v>1</v>
          </cell>
          <cell r="M133" t="str">
            <v>Nexperia</v>
          </cell>
          <cell r="N133" t="str">
            <v>D601</v>
          </cell>
          <cell r="O133" t="str">
            <v>1062260-00-A</v>
          </cell>
          <cell r="P133">
            <v>1.069E-2</v>
          </cell>
        </row>
        <row r="134">
          <cell r="C134" t="str">
            <v>RK73H1HTTC1003F</v>
          </cell>
          <cell r="D134" t="str">
            <v>电子物料</v>
          </cell>
          <cell r="E134" t="str">
            <v>B</v>
          </cell>
          <cell r="F134" t="str">
            <v>RA</v>
          </cell>
          <cell r="G134" t="str">
            <v>RES,100K,0.05W,1%,0201(0603),AEC-Q</v>
          </cell>
          <cell r="H134" t="str">
            <v>N/A</v>
          </cell>
          <cell r="I134" t="str">
            <v/>
          </cell>
          <cell r="J134" t="str">
            <v>730</v>
          </cell>
          <cell r="K134" t="str">
            <v>PCS</v>
          </cell>
          <cell r="M134" t="str">
            <v>KOA Speer</v>
          </cell>
          <cell r="N134" t="str">
            <v>R16,R18,R303,R404</v>
          </cell>
          <cell r="O134" t="str">
            <v>1736610-00-A</v>
          </cell>
          <cell r="P134">
            <v>3.5999999999999999E-3</v>
          </cell>
        </row>
        <row r="135">
          <cell r="C135" t="str">
            <v>RCC0201100KFKED</v>
          </cell>
          <cell r="D135" t="str">
            <v>电子物料</v>
          </cell>
          <cell r="E135" t="str">
            <v>B</v>
          </cell>
          <cell r="F135" t="str">
            <v>RA</v>
          </cell>
          <cell r="G135" t="str">
            <v>RES,100K,0.05W,1%,0201(0603),AEC-Q</v>
          </cell>
          <cell r="H135" t="str">
            <v>N/A</v>
          </cell>
          <cell r="I135" t="str">
            <v/>
          </cell>
          <cell r="J135" t="str">
            <v>730</v>
          </cell>
          <cell r="K135" t="str">
            <v>PCS</v>
          </cell>
          <cell r="M135" t="str">
            <v>Vishay</v>
          </cell>
          <cell r="O135" t="str">
            <v>1736610-00-A</v>
          </cell>
        </row>
        <row r="136">
          <cell r="C136" t="str">
            <v>ERJ1GJF1003C</v>
          </cell>
          <cell r="D136" t="str">
            <v>电子物料</v>
          </cell>
          <cell r="E136" t="str">
            <v>B</v>
          </cell>
          <cell r="F136" t="str">
            <v>RA</v>
          </cell>
          <cell r="G136" t="str">
            <v>RES,100K,0.05W,1%,0201(0603),AEC-Q</v>
          </cell>
          <cell r="H136" t="str">
            <v>N/A</v>
          </cell>
          <cell r="I136" t="str">
            <v/>
          </cell>
          <cell r="J136" t="str">
            <v>730</v>
          </cell>
          <cell r="K136" t="str">
            <v>PCS</v>
          </cell>
          <cell r="M136" t="str">
            <v>Panasonic</v>
          </cell>
          <cell r="O136" t="str">
            <v>1736610-00-A</v>
          </cell>
          <cell r="P136">
            <v>1.52E-2</v>
          </cell>
        </row>
        <row r="137">
          <cell r="C137" t="str">
            <v>AC0201FR-07100KL</v>
          </cell>
          <cell r="D137" t="str">
            <v>电子物料</v>
          </cell>
          <cell r="E137" t="str">
            <v>B</v>
          </cell>
          <cell r="F137" t="str">
            <v>RA</v>
          </cell>
          <cell r="G137" t="str">
            <v>RES,100K,0.05W,1%,0201(0603),AEC-Q</v>
          </cell>
          <cell r="H137" t="str">
            <v>N/A</v>
          </cell>
          <cell r="I137" t="str">
            <v/>
          </cell>
          <cell r="J137" t="str">
            <v>730</v>
          </cell>
          <cell r="K137" t="str">
            <v>PCS</v>
          </cell>
          <cell r="L137">
            <v>4</v>
          </cell>
          <cell r="M137" t="str">
            <v>Yageo</v>
          </cell>
          <cell r="O137" t="str">
            <v>1736610-00-A</v>
          </cell>
          <cell r="P137">
            <v>5.9999999999999995E-4</v>
          </cell>
        </row>
        <row r="138">
          <cell r="C138" t="str">
            <v>RMCH06-472FPA</v>
          </cell>
          <cell r="D138" t="str">
            <v>电子物料</v>
          </cell>
          <cell r="E138" t="str">
            <v>B</v>
          </cell>
          <cell r="F138" t="str">
            <v>RA</v>
          </cell>
          <cell r="G138" t="str">
            <v>RES,4K70,0.05W,1%,0201(0603),AEC-Q</v>
          </cell>
          <cell r="H138" t="str">
            <v>N/A</v>
          </cell>
          <cell r="I138" t="str">
            <v/>
          </cell>
          <cell r="J138" t="str">
            <v>730</v>
          </cell>
          <cell r="K138" t="str">
            <v>PCS</v>
          </cell>
          <cell r="M138" t="str">
            <v>Kamaya</v>
          </cell>
          <cell r="N138" t="str">
            <v>R10,R11,R23,R617,R701,R702</v>
          </cell>
          <cell r="O138" t="str">
            <v>1736467-00-A</v>
          </cell>
          <cell r="P138">
            <v>2.66E-3</v>
          </cell>
        </row>
        <row r="139">
          <cell r="C139" t="str">
            <v>RK73H1HTTC4701F</v>
          </cell>
          <cell r="D139" t="str">
            <v>电子物料</v>
          </cell>
          <cell r="E139" t="str">
            <v>B</v>
          </cell>
          <cell r="F139" t="str">
            <v>RA</v>
          </cell>
          <cell r="G139" t="str">
            <v>RES,4K70,0.05W,1%,0201(0603),AEC-Q</v>
          </cell>
          <cell r="H139" t="str">
            <v>N/A</v>
          </cell>
          <cell r="I139" t="str">
            <v/>
          </cell>
          <cell r="J139" t="str">
            <v>730</v>
          </cell>
          <cell r="K139" t="str">
            <v>PCS</v>
          </cell>
          <cell r="M139" t="str">
            <v>KOA Speer</v>
          </cell>
          <cell r="O139" t="str">
            <v>1736467-00-A</v>
          </cell>
        </row>
        <row r="140">
          <cell r="C140" t="str">
            <v>RCC02014K70FKED</v>
          </cell>
          <cell r="D140" t="str">
            <v>电子物料</v>
          </cell>
          <cell r="E140" t="str">
            <v>B</v>
          </cell>
          <cell r="F140" t="str">
            <v>RA</v>
          </cell>
          <cell r="G140" t="str">
            <v>RES,4K70,0.05W,1%,0201(0603),AEC-Q</v>
          </cell>
          <cell r="H140" t="str">
            <v>N/A</v>
          </cell>
          <cell r="I140" t="str">
            <v/>
          </cell>
          <cell r="J140" t="str">
            <v>730</v>
          </cell>
          <cell r="K140" t="str">
            <v>PCS</v>
          </cell>
          <cell r="M140" t="str">
            <v>Vishay</v>
          </cell>
          <cell r="O140" t="str">
            <v>1736467-00-A</v>
          </cell>
        </row>
        <row r="141">
          <cell r="C141" t="str">
            <v>ERJ1GJF4701C</v>
          </cell>
          <cell r="D141" t="str">
            <v>电子物料</v>
          </cell>
          <cell r="E141" t="str">
            <v>B</v>
          </cell>
          <cell r="F141" t="str">
            <v>RA</v>
          </cell>
          <cell r="G141" t="str">
            <v>RES,4K70,0.05W,1%,0201(0603),AEC-Q</v>
          </cell>
          <cell r="H141" t="str">
            <v>N/A</v>
          </cell>
          <cell r="I141" t="str">
            <v/>
          </cell>
          <cell r="J141" t="str">
            <v>730</v>
          </cell>
          <cell r="K141" t="str">
            <v>PCS</v>
          </cell>
          <cell r="M141" t="str">
            <v>Panasonic</v>
          </cell>
          <cell r="O141" t="str">
            <v>1736467-00-A</v>
          </cell>
        </row>
        <row r="142">
          <cell r="C142" t="str">
            <v>AC0201FR-074K7L</v>
          </cell>
          <cell r="D142" t="str">
            <v>电子物料</v>
          </cell>
          <cell r="E142" t="str">
            <v>B</v>
          </cell>
          <cell r="F142" t="str">
            <v>RA</v>
          </cell>
          <cell r="G142" t="str">
            <v>RES,4K70,0.05W,1%,0201(0603),AEC-Q</v>
          </cell>
          <cell r="H142" t="str">
            <v>N/A</v>
          </cell>
          <cell r="I142" t="str">
            <v/>
          </cell>
          <cell r="J142" t="str">
            <v>730</v>
          </cell>
          <cell r="K142" t="str">
            <v>PCS</v>
          </cell>
          <cell r="L142">
            <v>6</v>
          </cell>
          <cell r="M142" t="str">
            <v>Yageo</v>
          </cell>
          <cell r="O142" t="str">
            <v>1736467-00-A</v>
          </cell>
          <cell r="P142">
            <v>5.9999999999999995E-4</v>
          </cell>
        </row>
        <row r="143">
          <cell r="C143" t="str">
            <v>KAM05CR71A105KH</v>
          </cell>
          <cell r="D143" t="str">
            <v>电子物料</v>
          </cell>
          <cell r="E143" t="str">
            <v>B</v>
          </cell>
          <cell r="F143" t="str">
            <v>RA</v>
          </cell>
          <cell r="G143" t="str">
            <v>CAP,X7R,1uF,10V,10%,0402(1005),AEC-Q</v>
          </cell>
          <cell r="H143" t="str">
            <v>N/A</v>
          </cell>
          <cell r="I143" t="str">
            <v/>
          </cell>
          <cell r="J143" t="str">
            <v>730</v>
          </cell>
          <cell r="K143" t="str">
            <v>PCS</v>
          </cell>
          <cell r="L143">
            <v>5</v>
          </cell>
          <cell r="M143" t="str">
            <v>KYOCERA AVX</v>
          </cell>
          <cell r="N143" t="str">
            <v>C8,C33,C34,C35,C306</v>
          </cell>
          <cell r="O143" t="str">
            <v>2082289-00-A</v>
          </cell>
          <cell r="P143">
            <v>8.2500000000000004E-3</v>
          </cell>
        </row>
        <row r="144">
          <cell r="C144" t="str">
            <v>SIB-104-02-F-S-LC</v>
          </cell>
          <cell r="D144" t="str">
            <v>电子物料</v>
          </cell>
          <cell r="E144" t="str">
            <v>B</v>
          </cell>
          <cell r="F144" t="str">
            <v>RA</v>
          </cell>
          <cell r="G144" t="str">
            <v>CONN,SIB,STR,4P,2.54MM,SM,GOLD,RoHS</v>
          </cell>
          <cell r="H144" t="str">
            <v>N/A</v>
          </cell>
          <cell r="I144" t="str">
            <v/>
          </cell>
          <cell r="J144" t="str">
            <v>730</v>
          </cell>
          <cell r="K144" t="str">
            <v>PCS</v>
          </cell>
          <cell r="L144">
            <v>1</v>
          </cell>
          <cell r="M144" t="str">
            <v>Samtec Inc</v>
          </cell>
          <cell r="N144" t="str">
            <v>J7</v>
          </cell>
          <cell r="O144" t="str">
            <v>2141496-00-A</v>
          </cell>
        </row>
        <row r="145">
          <cell r="C145" t="str">
            <v>TLV9002QDGKRQ1</v>
          </cell>
          <cell r="D145" t="str">
            <v>电子物料</v>
          </cell>
          <cell r="E145" t="str">
            <v>B</v>
          </cell>
          <cell r="F145" t="str">
            <v>RA</v>
          </cell>
          <cell r="G145" t="str">
            <v>IC,OPAMP,1MHz,TLV9002-Q1,8VSSOP,AEC-Q</v>
          </cell>
          <cell r="H145" t="str">
            <v>N/A</v>
          </cell>
          <cell r="I145" t="str">
            <v/>
          </cell>
          <cell r="J145" t="str">
            <v>730</v>
          </cell>
          <cell r="K145" t="str">
            <v>PCS</v>
          </cell>
          <cell r="L145">
            <v>1</v>
          </cell>
          <cell r="M145" t="str">
            <v>Texas Instruments</v>
          </cell>
          <cell r="N145" t="str">
            <v>U4</v>
          </cell>
          <cell r="O145" t="str">
            <v>1693451-00-A</v>
          </cell>
          <cell r="P145">
            <v>9.5000000000000001E-2</v>
          </cell>
        </row>
        <row r="146">
          <cell r="C146" t="str">
            <v>SR2512KK-071RL</v>
          </cell>
          <cell r="D146" t="str">
            <v>电子物料</v>
          </cell>
          <cell r="E146" t="str">
            <v>B</v>
          </cell>
          <cell r="F146" t="str">
            <v>RA</v>
          </cell>
          <cell r="G146" t="str">
            <v>RES,PULSE,1R0,1W,10%,2512(6432),AEC-Q</v>
          </cell>
          <cell r="H146" t="str">
            <v>N/A</v>
          </cell>
          <cell r="I146" t="str">
            <v/>
          </cell>
          <cell r="J146" t="str">
            <v>730</v>
          </cell>
          <cell r="K146" t="str">
            <v>PCS</v>
          </cell>
          <cell r="L146">
            <v>2</v>
          </cell>
          <cell r="M146" t="str">
            <v>Yageo</v>
          </cell>
          <cell r="N146" t="str">
            <v>R402,R403</v>
          </cell>
          <cell r="O146" t="str">
            <v>1939256-00-A</v>
          </cell>
          <cell r="P146">
            <v>0.12</v>
          </cell>
        </row>
        <row r="147">
          <cell r="C147" t="str">
            <v>CRCW25121R00KNEGIF</v>
          </cell>
          <cell r="D147" t="str">
            <v>电子物料</v>
          </cell>
          <cell r="E147" t="str">
            <v>B</v>
          </cell>
          <cell r="F147" t="str">
            <v>RA</v>
          </cell>
          <cell r="G147" t="str">
            <v>RES,PULSE,1R0,1W,10%,2512(6432),AEC-Q</v>
          </cell>
          <cell r="H147" t="str">
            <v>N/A</v>
          </cell>
          <cell r="I147" t="str">
            <v/>
          </cell>
          <cell r="J147" t="str">
            <v>730</v>
          </cell>
          <cell r="K147" t="str">
            <v>PCS</v>
          </cell>
          <cell r="M147" t="str">
            <v>Vishay</v>
          </cell>
          <cell r="O147" t="str">
            <v>1939256-00-A</v>
          </cell>
        </row>
        <row r="148">
          <cell r="C148" t="str">
            <v>SG73W3ATTE1R0K</v>
          </cell>
          <cell r="D148" t="str">
            <v>电子物料</v>
          </cell>
          <cell r="E148" t="str">
            <v>B</v>
          </cell>
          <cell r="F148" t="str">
            <v>RA</v>
          </cell>
          <cell r="G148" t="str">
            <v>RES,PULSE,1R0,1W,10%,2512(6432),AEC-Q</v>
          </cell>
          <cell r="H148" t="str">
            <v>N/A</v>
          </cell>
          <cell r="I148" t="str">
            <v/>
          </cell>
          <cell r="J148" t="str">
            <v>730</v>
          </cell>
          <cell r="K148" t="str">
            <v>PCS</v>
          </cell>
          <cell r="M148" t="str">
            <v>KOA Speer</v>
          </cell>
          <cell r="O148" t="str">
            <v>1939256-00-A</v>
          </cell>
        </row>
        <row r="149">
          <cell r="C149" t="str">
            <v>RPC2512JT1R00</v>
          </cell>
          <cell r="D149" t="str">
            <v>电子物料</v>
          </cell>
          <cell r="E149" t="str">
            <v>B</v>
          </cell>
          <cell r="F149" t="str">
            <v>RA</v>
          </cell>
          <cell r="G149" t="str">
            <v>RES,PULSE,1R0,1W,10%,2512(6432),AEC-Q</v>
          </cell>
          <cell r="H149" t="str">
            <v>N/A</v>
          </cell>
          <cell r="I149" t="str">
            <v/>
          </cell>
          <cell r="J149" t="str">
            <v>730</v>
          </cell>
          <cell r="K149" t="str">
            <v>PCS</v>
          </cell>
          <cell r="M149" t="str">
            <v>Stackpole Electronics</v>
          </cell>
          <cell r="O149" t="str">
            <v>1939256-00-A</v>
          </cell>
        </row>
        <row r="150">
          <cell r="C150" t="str">
            <v>TMUX1308QBQBRQ1</v>
          </cell>
          <cell r="D150" t="str">
            <v>电子物料</v>
          </cell>
          <cell r="E150" t="str">
            <v>B</v>
          </cell>
          <cell r="F150" t="str">
            <v>RA</v>
          </cell>
          <cell r="G150" t="str">
            <v>IC,MUX,SGL,8:1,TMUX1308,WQFN16,AEC-Q</v>
          </cell>
          <cell r="H150" t="str">
            <v>N/A</v>
          </cell>
          <cell r="I150" t="str">
            <v/>
          </cell>
          <cell r="J150" t="str">
            <v>730</v>
          </cell>
          <cell r="K150" t="str">
            <v>PCS</v>
          </cell>
          <cell r="L150">
            <v>1</v>
          </cell>
          <cell r="M150" t="str">
            <v>Texas Instruments</v>
          </cell>
          <cell r="N150" t="str">
            <v>U302</v>
          </cell>
          <cell r="O150" t="str">
            <v>2122361-00-A</v>
          </cell>
          <cell r="P150">
            <v>6.3E-2</v>
          </cell>
        </row>
        <row r="151">
          <cell r="C151" t="str">
            <v>TPS1HTC30AQPWPRQ1</v>
          </cell>
          <cell r="D151" t="str">
            <v>电子物料</v>
          </cell>
          <cell r="E151" t="str">
            <v>B</v>
          </cell>
          <cell r="F151" t="str">
            <v>RA</v>
          </cell>
          <cell r="G151" t="str">
            <v>IC,POWER SW,TPS1HTC30-Q1,HTSSOP14,AEC-Q</v>
          </cell>
          <cell r="H151" t="str">
            <v>N/A</v>
          </cell>
          <cell r="I151" t="str">
            <v/>
          </cell>
          <cell r="J151" t="str">
            <v>730</v>
          </cell>
          <cell r="K151" t="str">
            <v>PCS</v>
          </cell>
          <cell r="L151">
            <v>2</v>
          </cell>
          <cell r="M151" t="str">
            <v>Texas Instruments</v>
          </cell>
          <cell r="N151" t="str">
            <v>U601,U602</v>
          </cell>
          <cell r="O151" t="str">
            <v>1864161-00-A</v>
          </cell>
          <cell r="P151">
            <v>0.53</v>
          </cell>
        </row>
        <row r="152">
          <cell r="C152" t="str">
            <v>OPT4003DTSRQ1</v>
          </cell>
          <cell r="D152" t="str">
            <v>电子物料</v>
          </cell>
          <cell r="E152" t="str">
            <v>B</v>
          </cell>
          <cell r="F152" t="str">
            <v>RA</v>
          </cell>
          <cell r="G152" t="str">
            <v>IC,ALS,I2C,OPT4003-Q1,SOT8/DTS0008A,AECQ</v>
          </cell>
          <cell r="H152" t="str">
            <v>N/A</v>
          </cell>
          <cell r="I152" t="str">
            <v/>
          </cell>
          <cell r="J152" t="str">
            <v>730</v>
          </cell>
          <cell r="K152" t="str">
            <v>PCS</v>
          </cell>
          <cell r="L152">
            <v>1</v>
          </cell>
          <cell r="M152" t="str">
            <v>Texas Instruments</v>
          </cell>
          <cell r="N152" t="str">
            <v>U702</v>
          </cell>
          <cell r="O152" t="str">
            <v>2086798-00-A</v>
          </cell>
          <cell r="P152">
            <v>0.36</v>
          </cell>
        </row>
        <row r="153">
          <cell r="C153" t="str">
            <v>CL31B106KAHVPNE</v>
          </cell>
          <cell r="D153" t="str">
            <v>电子物料</v>
          </cell>
          <cell r="E153" t="str">
            <v>B</v>
          </cell>
          <cell r="F153" t="str">
            <v>RA</v>
          </cell>
          <cell r="G153" t="str">
            <v>CAP,X7R,10uF,25V,10%,1206(3216),AEC-Q</v>
          </cell>
          <cell r="H153" t="str">
            <v>N/A</v>
          </cell>
          <cell r="I153" t="str">
            <v/>
          </cell>
          <cell r="J153" t="str">
            <v>730</v>
          </cell>
          <cell r="K153" t="str">
            <v>PCS</v>
          </cell>
          <cell r="L153">
            <v>13</v>
          </cell>
          <cell r="M153" t="str">
            <v>Samsung Electro-Mechanics (SEMCO)</v>
          </cell>
          <cell r="N153" t="str">
            <v>C14,C17,C18,C19,C20,C21,C22,C23,C24,C25,C26,C27,C28</v>
          </cell>
          <cell r="O153" t="str">
            <v>1139274-00-A</v>
          </cell>
          <cell r="P153">
            <v>2.75E-2</v>
          </cell>
        </row>
        <row r="154">
          <cell r="C154" t="str">
            <v>CGA5L1X7R1E106K160AC</v>
          </cell>
          <cell r="D154" t="str">
            <v>电子物料</v>
          </cell>
          <cell r="E154" t="str">
            <v>B</v>
          </cell>
          <cell r="F154" t="str">
            <v>RA</v>
          </cell>
          <cell r="G154" t="str">
            <v>CAP,X7R,10uF,25V,10%,1206(3216),AEC-Q</v>
          </cell>
          <cell r="H154" t="str">
            <v>N/A</v>
          </cell>
          <cell r="I154" t="str">
            <v/>
          </cell>
          <cell r="J154" t="str">
            <v>730</v>
          </cell>
          <cell r="K154" t="str">
            <v>PCS</v>
          </cell>
          <cell r="M154" t="str">
            <v>TDK Corporation Of America</v>
          </cell>
          <cell r="O154" t="str">
            <v>1139274-00-A</v>
          </cell>
          <cell r="P154">
            <v>4.6530000000000002E-2</v>
          </cell>
        </row>
        <row r="155">
          <cell r="C155" t="str">
            <v>AM25070307</v>
          </cell>
          <cell r="D155" t="str">
            <v>电子物料</v>
          </cell>
          <cell r="E155" t="str">
            <v>B</v>
          </cell>
          <cell r="F155" t="str">
            <v>RA</v>
          </cell>
          <cell r="G155" t="str">
            <v>XTAL,25MHz,12pF,20ppm,SM,AECQ</v>
          </cell>
          <cell r="H155" t="str">
            <v>N/A</v>
          </cell>
          <cell r="I155" t="str">
            <v/>
          </cell>
          <cell r="J155" t="str">
            <v>730</v>
          </cell>
          <cell r="K155" t="str">
            <v>PCS</v>
          </cell>
          <cell r="M155" t="str">
            <v>TXC</v>
          </cell>
          <cell r="N155" t="str">
            <v>X301</v>
          </cell>
          <cell r="O155" t="str">
            <v>1458972-00-A</v>
          </cell>
          <cell r="P155">
            <v>7.4999999999999997E-2</v>
          </cell>
        </row>
        <row r="156">
          <cell r="C156" t="str">
            <v>1C325000BE0A</v>
          </cell>
          <cell r="D156" t="str">
            <v>电子物料</v>
          </cell>
          <cell r="E156" t="str">
            <v>B</v>
          </cell>
          <cell r="F156" t="str">
            <v>RA</v>
          </cell>
          <cell r="G156" t="str">
            <v>XTAL,25MHz,12pF,20ppm,SM,AECQ</v>
          </cell>
          <cell r="H156" t="str">
            <v>N/A</v>
          </cell>
          <cell r="I156" t="str">
            <v/>
          </cell>
          <cell r="J156" t="str">
            <v>730</v>
          </cell>
          <cell r="K156" t="str">
            <v>PCS</v>
          </cell>
          <cell r="L156">
            <v>1</v>
          </cell>
          <cell r="M156" t="str">
            <v>KDS</v>
          </cell>
          <cell r="O156" t="str">
            <v>1458972-00-A</v>
          </cell>
          <cell r="P156">
            <v>6.8000000000000005E-2</v>
          </cell>
        </row>
        <row r="157">
          <cell r="C157" t="str">
            <v>EXS00A-CS14701</v>
          </cell>
          <cell r="D157" t="str">
            <v>电子物料</v>
          </cell>
          <cell r="E157" t="str">
            <v>B</v>
          </cell>
          <cell r="F157" t="str">
            <v>RA</v>
          </cell>
          <cell r="G157" t="str">
            <v>XTAL,25MHz,12pF,20ppm,SM,AECQ</v>
          </cell>
          <cell r="H157" t="str">
            <v>N/A</v>
          </cell>
          <cell r="I157" t="str">
            <v/>
          </cell>
          <cell r="J157" t="str">
            <v>730</v>
          </cell>
          <cell r="K157" t="str">
            <v>PCS</v>
          </cell>
          <cell r="M157" t="str">
            <v>NDK America</v>
          </cell>
          <cell r="O157" t="str">
            <v>1458972-00-A</v>
          </cell>
          <cell r="P157">
            <v>0.12</v>
          </cell>
        </row>
        <row r="158">
          <cell r="C158" t="str">
            <v>NX3225SA 25M EXS00A-CS11395</v>
          </cell>
          <cell r="D158" t="str">
            <v>电子物料</v>
          </cell>
          <cell r="E158" t="str">
            <v>B</v>
          </cell>
          <cell r="F158" t="str">
            <v>RA</v>
          </cell>
          <cell r="G158" t="str">
            <v>XTAL,25MHz,12pF,20ppm,SM,AECQ</v>
          </cell>
          <cell r="H158" t="str">
            <v>N/A</v>
          </cell>
          <cell r="I158" t="str">
            <v/>
          </cell>
          <cell r="J158" t="str">
            <v>730</v>
          </cell>
          <cell r="K158" t="str">
            <v>PCS</v>
          </cell>
          <cell r="M158" t="str">
            <v>NDK America</v>
          </cell>
          <cell r="O158" t="str">
            <v>1458972-00-A</v>
          </cell>
        </row>
        <row r="159">
          <cell r="C159" t="str">
            <v>RK73H1HTTC2202F</v>
          </cell>
          <cell r="D159" t="str">
            <v>电子物料</v>
          </cell>
          <cell r="E159" t="str">
            <v>B</v>
          </cell>
          <cell r="F159" t="str">
            <v>RA</v>
          </cell>
          <cell r="G159" t="str">
            <v>RES,22K0,0.05W,1%,0201(0603),AEC-Q</v>
          </cell>
          <cell r="H159" t="str">
            <v>N/A</v>
          </cell>
          <cell r="I159" t="str">
            <v/>
          </cell>
          <cell r="J159" t="str">
            <v>730</v>
          </cell>
          <cell r="K159" t="str">
            <v>PCS</v>
          </cell>
          <cell r="M159" t="str">
            <v>KOA Speer</v>
          </cell>
          <cell r="N159" t="str">
            <v>R407</v>
          </cell>
          <cell r="O159" t="str">
            <v>1736457-00-A</v>
          </cell>
        </row>
        <row r="160">
          <cell r="C160" t="str">
            <v>ERJ1GJF2202C</v>
          </cell>
          <cell r="D160" t="str">
            <v>电子物料</v>
          </cell>
          <cell r="E160" t="str">
            <v>B</v>
          </cell>
          <cell r="F160" t="str">
            <v>RA</v>
          </cell>
          <cell r="G160" t="str">
            <v>RES,22K0,0.05W,1%,0201(0603),AEC-Q</v>
          </cell>
          <cell r="H160" t="str">
            <v>N/A</v>
          </cell>
          <cell r="I160" t="str">
            <v/>
          </cell>
          <cell r="J160" t="str">
            <v>730</v>
          </cell>
          <cell r="K160" t="str">
            <v>PCS</v>
          </cell>
          <cell r="M160" t="str">
            <v>Panasonic</v>
          </cell>
          <cell r="O160" t="str">
            <v>1736457-00-A</v>
          </cell>
        </row>
        <row r="161">
          <cell r="C161" t="str">
            <v>RMCH06-223FPA</v>
          </cell>
          <cell r="D161" t="str">
            <v>电子物料</v>
          </cell>
          <cell r="E161" t="str">
            <v>B</v>
          </cell>
          <cell r="F161" t="str">
            <v>RA</v>
          </cell>
          <cell r="G161" t="str">
            <v>RES,22K0,0.05W,1%,0201(0603),AEC-Q</v>
          </cell>
          <cell r="H161" t="str">
            <v>N/A</v>
          </cell>
          <cell r="I161" t="str">
            <v/>
          </cell>
          <cell r="J161" t="str">
            <v>730</v>
          </cell>
          <cell r="K161" t="str">
            <v>PCS</v>
          </cell>
          <cell r="M161" t="str">
            <v>Kamaya</v>
          </cell>
          <cell r="O161" t="str">
            <v>1736457-00-A</v>
          </cell>
          <cell r="P161">
            <v>2.66E-3</v>
          </cell>
        </row>
        <row r="162">
          <cell r="C162" t="str">
            <v>RCC020122K0FKED</v>
          </cell>
          <cell r="D162" t="str">
            <v>电子物料</v>
          </cell>
          <cell r="E162" t="str">
            <v>B</v>
          </cell>
          <cell r="F162" t="str">
            <v>RA</v>
          </cell>
          <cell r="G162" t="str">
            <v>RES,22K0,0.05W,1%,0201(0603),AEC-Q</v>
          </cell>
          <cell r="H162" t="str">
            <v>N/A</v>
          </cell>
          <cell r="I162" t="str">
            <v/>
          </cell>
          <cell r="J162" t="str">
            <v>730</v>
          </cell>
          <cell r="K162" t="str">
            <v>PCS</v>
          </cell>
          <cell r="M162" t="str">
            <v>Vishay</v>
          </cell>
          <cell r="O162" t="str">
            <v>1736457-00-A</v>
          </cell>
        </row>
        <row r="163">
          <cell r="C163" t="str">
            <v>AC0201FR-0722KL</v>
          </cell>
          <cell r="D163" t="str">
            <v>电子物料</v>
          </cell>
          <cell r="E163" t="str">
            <v>B</v>
          </cell>
          <cell r="F163" t="str">
            <v>RA</v>
          </cell>
          <cell r="G163" t="str">
            <v>RES,22K0,0.05W,1%,0201(0603),AEC-Q</v>
          </cell>
          <cell r="H163" t="str">
            <v>N/A</v>
          </cell>
          <cell r="I163" t="str">
            <v/>
          </cell>
          <cell r="J163" t="str">
            <v>730</v>
          </cell>
          <cell r="K163" t="str">
            <v>PCS</v>
          </cell>
          <cell r="L163">
            <v>1</v>
          </cell>
          <cell r="M163" t="str">
            <v>Yageo</v>
          </cell>
          <cell r="O163" t="str">
            <v>1736457-00-A</v>
          </cell>
          <cell r="P163">
            <v>5.9999999999999995E-4</v>
          </cell>
        </row>
        <row r="164">
          <cell r="C164" t="str">
            <v>CGA1A2C0G1H180J030BA</v>
          </cell>
          <cell r="D164" t="str">
            <v>电子物料</v>
          </cell>
          <cell r="E164" t="str">
            <v>B</v>
          </cell>
          <cell r="F164" t="str">
            <v>RA</v>
          </cell>
          <cell r="G164" t="str">
            <v>CAP,C0G,18pF,50V,5%,0201(0603),AEC-Q</v>
          </cell>
          <cell r="H164" t="str">
            <v>N/A</v>
          </cell>
          <cell r="I164" t="str">
            <v/>
          </cell>
          <cell r="J164" t="str">
            <v>730</v>
          </cell>
          <cell r="K164" t="str">
            <v>PCS</v>
          </cell>
          <cell r="M164" t="str">
            <v>TDK Corporation Of America</v>
          </cell>
          <cell r="N164" t="str">
            <v>C312,C313</v>
          </cell>
          <cell r="O164" t="str">
            <v>1614244-00-A</v>
          </cell>
          <cell r="P164">
            <v>5.3699999999999998E-3</v>
          </cell>
        </row>
        <row r="165">
          <cell r="C165" t="str">
            <v>MCASU063SCG180JFNA01</v>
          </cell>
          <cell r="D165" t="str">
            <v>电子物料</v>
          </cell>
          <cell r="E165" t="str">
            <v>B</v>
          </cell>
          <cell r="F165" t="str">
            <v>RA</v>
          </cell>
          <cell r="G165" t="str">
            <v>CAP,C0G,18pF,50V,5%,0201(0603),AEC-Q</v>
          </cell>
          <cell r="H165" t="str">
            <v>N/A</v>
          </cell>
          <cell r="I165" t="str">
            <v/>
          </cell>
          <cell r="J165" t="str">
            <v>730</v>
          </cell>
          <cell r="K165" t="str">
            <v>PCS</v>
          </cell>
          <cell r="M165" t="str">
            <v>Taiyo Yuden</v>
          </cell>
          <cell r="O165" t="str">
            <v>1614244-00-A</v>
          </cell>
        </row>
        <row r="166">
          <cell r="C166" t="str">
            <v>GCM0335C1H180JA16D</v>
          </cell>
          <cell r="D166" t="str">
            <v>电子物料</v>
          </cell>
          <cell r="E166" t="str">
            <v>B</v>
          </cell>
          <cell r="F166" t="str">
            <v>RA</v>
          </cell>
          <cell r="G166" t="str">
            <v>CAP,C0G,18pF,50V,5%,0201(0603),AEC-Q</v>
          </cell>
          <cell r="H166" t="str">
            <v>N/A</v>
          </cell>
          <cell r="I166" t="str">
            <v/>
          </cell>
          <cell r="J166" t="str">
            <v>730</v>
          </cell>
          <cell r="K166" t="str">
            <v>PCS</v>
          </cell>
          <cell r="L166">
            <v>2</v>
          </cell>
          <cell r="M166" t="str">
            <v>Murata</v>
          </cell>
          <cell r="O166" t="str">
            <v>1614244-00-A</v>
          </cell>
          <cell r="P166">
            <v>2E-3</v>
          </cell>
        </row>
        <row r="167">
          <cell r="C167" t="str">
            <v>GCM0335C1H180JA16J</v>
          </cell>
          <cell r="D167" t="str">
            <v>电子物料</v>
          </cell>
          <cell r="E167" t="str">
            <v>B</v>
          </cell>
          <cell r="F167" t="str">
            <v>RA</v>
          </cell>
          <cell r="G167" t="str">
            <v>CAP,C0G,18pF,50V,5%,0201(0603),AEC-Q</v>
          </cell>
          <cell r="H167" t="str">
            <v>N/A</v>
          </cell>
          <cell r="I167" t="str">
            <v/>
          </cell>
          <cell r="J167" t="str">
            <v>730</v>
          </cell>
          <cell r="K167" t="str">
            <v>PCS</v>
          </cell>
          <cell r="M167" t="str">
            <v>Murata</v>
          </cell>
          <cell r="O167" t="str">
            <v>1614244-00-A</v>
          </cell>
        </row>
        <row r="168">
          <cell r="C168" t="str">
            <v>AD3301WBCPZ</v>
          </cell>
          <cell r="D168" t="str">
            <v>电子物料</v>
          </cell>
          <cell r="E168" t="str">
            <v>B</v>
          </cell>
          <cell r="F168" t="str">
            <v>RA</v>
          </cell>
          <cell r="G168" t="str">
            <v>IC,XCVR,10BASE-T1S,AD3301,LFCSP24,AEC-Q</v>
          </cell>
          <cell r="H168" t="str">
            <v>N/A</v>
          </cell>
          <cell r="I168" t="str">
            <v/>
          </cell>
          <cell r="J168" t="str">
            <v>730</v>
          </cell>
          <cell r="K168" t="str">
            <v>PCS</v>
          </cell>
          <cell r="L168">
            <v>1</v>
          </cell>
          <cell r="M168" t="str">
            <v>Analog Devices (ADI)</v>
          </cell>
          <cell r="N168" t="str">
            <v>U301</v>
          </cell>
          <cell r="O168" t="str">
            <v>2038851-00-A</v>
          </cell>
          <cell r="P168">
            <v>1.71</v>
          </cell>
        </row>
        <row r="169">
          <cell r="C169" t="str">
            <v>TLV76701QWDRBRQ1</v>
          </cell>
          <cell r="D169" t="str">
            <v>电子物料</v>
          </cell>
          <cell r="E169" t="str">
            <v>B</v>
          </cell>
          <cell r="F169" t="str">
            <v>RA</v>
          </cell>
          <cell r="G169" t="str">
            <v>IC,REG,LDO,ADJ,1A,TLV76701,VSON8,AEC-Q</v>
          </cell>
          <cell r="H169" t="str">
            <v>N/A</v>
          </cell>
          <cell r="I169" t="str">
            <v/>
          </cell>
          <cell r="J169" t="str">
            <v>730</v>
          </cell>
          <cell r="K169" t="str">
            <v>PCS</v>
          </cell>
          <cell r="L169">
            <v>1</v>
          </cell>
          <cell r="M169" t="str">
            <v>Texas Instruments</v>
          </cell>
          <cell r="N169" t="str">
            <v>U402</v>
          </cell>
          <cell r="O169" t="str">
            <v>1607488-00-A</v>
          </cell>
          <cell r="P169">
            <v>0.129</v>
          </cell>
        </row>
        <row r="170">
          <cell r="C170" t="str">
            <v>RK73H1ETTP1003F</v>
          </cell>
          <cell r="D170" t="str">
            <v>电子物料</v>
          </cell>
          <cell r="E170" t="str">
            <v>B</v>
          </cell>
          <cell r="F170" t="str">
            <v>RA</v>
          </cell>
          <cell r="G170" t="str">
            <v>RES,100K,1/16W,1%,0402(1005),AEC-Q</v>
          </cell>
          <cell r="H170" t="str">
            <v>N/A</v>
          </cell>
          <cell r="I170" t="str">
            <v/>
          </cell>
          <cell r="J170" t="str">
            <v>730</v>
          </cell>
          <cell r="K170" t="str">
            <v>PCS</v>
          </cell>
          <cell r="M170" t="str">
            <v>KOA Speer</v>
          </cell>
          <cell r="N170" t="str">
            <v>R310,R613</v>
          </cell>
          <cell r="O170" t="str">
            <v>1113645-00-A</v>
          </cell>
          <cell r="P170">
            <v>9.1E-4</v>
          </cell>
        </row>
        <row r="171">
          <cell r="C171" t="str">
            <v>RMCH10K104FTH</v>
          </cell>
          <cell r="D171" t="str">
            <v>电子物料</v>
          </cell>
          <cell r="E171" t="str">
            <v>B</v>
          </cell>
          <cell r="F171" t="str">
            <v>RA</v>
          </cell>
          <cell r="G171" t="str">
            <v>RES,100K,1/16W,1%,0402(1005),AEC-Q</v>
          </cell>
          <cell r="H171" t="str">
            <v>N/A</v>
          </cell>
          <cell r="I171" t="str">
            <v/>
          </cell>
          <cell r="J171" t="str">
            <v>730</v>
          </cell>
          <cell r="K171" t="str">
            <v>PCS</v>
          </cell>
          <cell r="M171" t="str">
            <v>Kamaya</v>
          </cell>
          <cell r="O171" t="str">
            <v>1113645-00-A</v>
          </cell>
          <cell r="P171">
            <v>1.1100000000000001E-3</v>
          </cell>
        </row>
        <row r="172">
          <cell r="C172" t="str">
            <v>ERJ-2RKF1003X</v>
          </cell>
          <cell r="D172" t="str">
            <v>电子物料</v>
          </cell>
          <cell r="E172" t="str">
            <v>B</v>
          </cell>
          <cell r="F172" t="str">
            <v>RA</v>
          </cell>
          <cell r="G172" t="str">
            <v>RES,100K,1/16W,1%,0402(1005),AEC-Q</v>
          </cell>
          <cell r="H172" t="str">
            <v>N/A</v>
          </cell>
          <cell r="I172" t="str">
            <v/>
          </cell>
          <cell r="J172" t="str">
            <v>730</v>
          </cell>
          <cell r="K172" t="str">
            <v>PCS</v>
          </cell>
          <cell r="M172" t="str">
            <v>Panasonic</v>
          </cell>
          <cell r="O172" t="str">
            <v>1113645-00-A</v>
          </cell>
          <cell r="P172">
            <v>2.33E-3</v>
          </cell>
        </row>
        <row r="173">
          <cell r="C173" t="str">
            <v>VISHAY&amp;CRCW0402100KFKED</v>
          </cell>
          <cell r="D173" t="str">
            <v>电子物料</v>
          </cell>
          <cell r="E173" t="str">
            <v>B</v>
          </cell>
          <cell r="F173" t="str">
            <v>RA</v>
          </cell>
          <cell r="G173" t="str">
            <v>RES,100K,1/16W,1%,0402(1005),AEC-Q</v>
          </cell>
          <cell r="H173" t="str">
            <v>N/A</v>
          </cell>
          <cell r="I173" t="str">
            <v/>
          </cell>
          <cell r="J173" t="str">
            <v>730</v>
          </cell>
          <cell r="K173" t="str">
            <v>PCS</v>
          </cell>
          <cell r="M173" t="str">
            <v>Vishay</v>
          </cell>
          <cell r="O173" t="str">
            <v>1113645-00-A</v>
          </cell>
          <cell r="P173">
            <v>5.0000000000000001E-4</v>
          </cell>
        </row>
        <row r="174">
          <cell r="C174" t="str">
            <v>AC0402FR-07100KL</v>
          </cell>
          <cell r="D174" t="str">
            <v>电子物料</v>
          </cell>
          <cell r="E174" t="str">
            <v>B</v>
          </cell>
          <cell r="F174" t="str">
            <v>RA</v>
          </cell>
          <cell r="G174" t="str">
            <v>RES,100K,1/16W,1%,0402(1005),AEC-Q</v>
          </cell>
          <cell r="H174" t="str">
            <v>N/A</v>
          </cell>
          <cell r="I174" t="str">
            <v/>
          </cell>
          <cell r="J174" t="str">
            <v>730</v>
          </cell>
          <cell r="K174" t="str">
            <v>PCS</v>
          </cell>
          <cell r="L174">
            <v>2</v>
          </cell>
          <cell r="M174" t="str">
            <v>Yageo</v>
          </cell>
          <cell r="O174" t="str">
            <v>1113645-00-A</v>
          </cell>
          <cell r="P174">
            <v>3.4000000000000002E-4</v>
          </cell>
        </row>
        <row r="175">
          <cell r="L175">
            <v>188</v>
          </cell>
        </row>
        <row r="178">
          <cell r="H178" t="str">
            <v xml:space="preserve">      Verified by:</v>
          </cell>
          <cell r="K178" t="str">
            <v>RF/ME</v>
          </cell>
        </row>
        <row r="179">
          <cell r="C179" t="str">
            <v>B=buy-in material</v>
          </cell>
        </row>
        <row r="180">
          <cell r="C180" t="str">
            <v>P=in house prodced semi.-finish</v>
          </cell>
          <cell r="K180" t="str">
            <v xml:space="preserve">  PM</v>
          </cell>
        </row>
        <row r="181">
          <cell r="C181" t="str">
            <v>M=in-house finished product</v>
          </cell>
        </row>
        <row r="182">
          <cell r="C182" t="str">
            <v xml:space="preserve">O=offer by supplier </v>
          </cell>
        </row>
        <row r="183">
          <cell r="C183" t="str">
            <v>V=in house produced semi-finished (virtual for BOM build only)</v>
          </cell>
        </row>
        <row r="184">
          <cell r="C184" t="str">
            <v>C=offer by  customer</v>
          </cell>
        </row>
        <row r="185">
          <cell r="C185" t="str">
            <v>Unit: Day</v>
          </cell>
        </row>
        <row r="186">
          <cell r="C186" t="str">
            <v xml:space="preserve">Product Storage Life: </v>
          </cell>
          <cell r="D186" t="str">
            <v>180 Days</v>
          </cell>
        </row>
        <row r="188">
          <cell r="C188" t="str">
            <v xml:space="preserve">           (  ) Mobile          (  ) Laptop          (  ) Tablet    (  ) Portable  (  ) Wearable  (  ) Accessory    (  )   Camera module     (  ) Automotive</v>
          </cell>
        </row>
        <row r="191">
          <cell r="C191" t="str">
            <v>SAA项目号</v>
          </cell>
          <cell r="D191" t="str">
            <v/>
          </cell>
          <cell r="E191" t="str">
            <v>Author:</v>
          </cell>
          <cell r="H191" t="str">
            <v>File Name:</v>
          </cell>
        </row>
        <row r="193">
          <cell r="C193" t="str">
            <v>Language:EN</v>
          </cell>
          <cell r="E193" t="str">
            <v xml:space="preserve">Check: </v>
          </cell>
          <cell r="H193" t="str">
            <v xml:space="preserve">File Number:     </v>
          </cell>
        </row>
        <row r="194">
          <cell r="C194" t="str">
            <v>Sheet 110-1/1</v>
          </cell>
        </row>
      </sheetData>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eline"/>
      <sheetName val="Design Drawing"/>
      <sheetName val="Process Concept"/>
      <sheetName val="Summary"/>
      <sheetName val="P&amp;P Ref"/>
      <sheetName val="CPH"/>
      <sheetName val="Layout NXTR with 1R"/>
      <sheetName val="Equipment List"/>
    </sheetNames>
    <sheetDataSet>
      <sheetData sheetId="0" refreshError="1"/>
      <sheetData sheetId="1" refreshError="1"/>
      <sheetData sheetId="2" refreshError="1"/>
      <sheetData sheetId="3">
        <row r="3">
          <cell r="D3" t="str">
            <v/>
          </cell>
        </row>
        <row r="4">
          <cell r="D4" t="str">
            <v/>
          </cell>
        </row>
        <row r="5">
          <cell r="D5" t="str">
            <v/>
          </cell>
        </row>
        <row r="6">
          <cell r="D6" t="str">
            <v/>
          </cell>
        </row>
        <row r="7">
          <cell r="D7" t="str">
            <v/>
          </cell>
        </row>
        <row r="8">
          <cell r="D8" t="str">
            <v/>
          </cell>
        </row>
        <row r="9">
          <cell r="D9" t="str">
            <v/>
          </cell>
        </row>
        <row r="10">
          <cell r="D10" t="str">
            <v/>
          </cell>
        </row>
        <row r="11">
          <cell r="D11" t="str">
            <v/>
          </cell>
        </row>
        <row r="12">
          <cell r="D12" t="str">
            <v/>
          </cell>
        </row>
        <row r="13">
          <cell r="D13" t="str">
            <v/>
          </cell>
        </row>
        <row r="14">
          <cell r="D14" t="str">
            <v/>
          </cell>
        </row>
        <row r="15">
          <cell r="D15" t="str">
            <v/>
          </cell>
        </row>
        <row r="16">
          <cell r="D16" t="str">
            <v/>
          </cell>
        </row>
        <row r="17">
          <cell r="D17" t="str">
            <v/>
          </cell>
        </row>
        <row r="18">
          <cell r="D18" t="str">
            <v/>
          </cell>
        </row>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sheetData>
      <sheetData sheetId="4" refreshError="1"/>
      <sheetData sheetId="5" refreshError="1"/>
      <sheetData sheetId="6" refreshError="1"/>
      <sheetData sheetId="7">
        <row r="2">
          <cell r="A2" t="str">
            <v>AOI --- Final Assembly 1</v>
          </cell>
          <cell r="B2" t="str">
            <v>Automatic Optical Inspection --- Final Assembly</v>
          </cell>
        </row>
        <row r="3">
          <cell r="A3" t="str">
            <v>AOI --- Final Assembly 2</v>
          </cell>
          <cell r="B3" t="str">
            <v>Automatic Optical Inspection --- Final Assembly</v>
          </cell>
        </row>
        <row r="4">
          <cell r="A4" t="str">
            <v>AOI --- Final Assembly 3</v>
          </cell>
          <cell r="B4" t="str">
            <v>Automatic Optical Inspection --- Final Assembly</v>
          </cell>
        </row>
        <row r="5">
          <cell r="A5" t="str">
            <v>AOI --- Final Assembly 4</v>
          </cell>
          <cell r="B5" t="str">
            <v>Automatic Optical Inspection --- Final Assembly</v>
          </cell>
        </row>
        <row r="6">
          <cell r="A6" t="str">
            <v>AOI --- Final Assembly 5</v>
          </cell>
          <cell r="B6" t="str">
            <v>Automatic Optical Inspection --- Final Assembly</v>
          </cell>
        </row>
        <row r="7">
          <cell r="A7" t="str">
            <v>AOI --- Final Assembly 6</v>
          </cell>
          <cell r="B7" t="str">
            <v>Automatic Optical Inspection --- Final Assembly</v>
          </cell>
        </row>
        <row r="8">
          <cell r="A8" t="str">
            <v>AOI --- Final Assembly 7</v>
          </cell>
          <cell r="B8" t="str">
            <v>Automatic Optical Inspection --- Final Assembly</v>
          </cell>
        </row>
        <row r="9">
          <cell r="A9" t="str">
            <v>AOI --- Final Assembly 8</v>
          </cell>
          <cell r="B9" t="str">
            <v>Automatic Optical Inspection --- Final Assembly</v>
          </cell>
        </row>
        <row r="10">
          <cell r="A10" t="str">
            <v>AOI --- Pins 1</v>
          </cell>
          <cell r="B10" t="str">
            <v>Automatic Optical Inspection --- Connector Pins</v>
          </cell>
        </row>
        <row r="11">
          <cell r="A11" t="str">
            <v>AOI --- Pins 2</v>
          </cell>
          <cell r="B11" t="str">
            <v>Automatic Optical Inspection --- Connector Pins</v>
          </cell>
        </row>
        <row r="12">
          <cell r="A12" t="str">
            <v>AOI --- Pins 3</v>
          </cell>
          <cell r="B12" t="str">
            <v>Automatic Optical Inspection --- Connector Pins</v>
          </cell>
        </row>
        <row r="13">
          <cell r="A13" t="str">
            <v>AOI --- Pins 4</v>
          </cell>
          <cell r="B13" t="str">
            <v>Automatic Optical Inspection --- Connector Pins</v>
          </cell>
        </row>
        <row r="14">
          <cell r="A14" t="str">
            <v>AOI --- Pins 5</v>
          </cell>
          <cell r="B14" t="str">
            <v>Automatic Optical Inspection --- Connector Pins</v>
          </cell>
        </row>
        <row r="15">
          <cell r="A15" t="str">
            <v>AOI --- Pins 6</v>
          </cell>
          <cell r="B15" t="str">
            <v>Automatic Optical Inspection --- Connector Pins</v>
          </cell>
        </row>
        <row r="16">
          <cell r="A16" t="str">
            <v>AOI --- Pins 7</v>
          </cell>
          <cell r="B16" t="str">
            <v>Automatic Optical Inspection --- Connector Pins</v>
          </cell>
        </row>
        <row r="17">
          <cell r="A17" t="str">
            <v>AOI --- Pins 8</v>
          </cell>
          <cell r="B17" t="str">
            <v>Automatic Optical Inspection --- Connector Pins</v>
          </cell>
        </row>
        <row r="18">
          <cell r="A18" t="str">
            <v>AOI --- RTV 1</v>
          </cell>
          <cell r="B18" t="str">
            <v>Automatic Optical Inspection --- RTV</v>
          </cell>
        </row>
        <row r="19">
          <cell r="A19" t="str">
            <v>AOI --- RTV 2</v>
          </cell>
          <cell r="B19" t="str">
            <v>Automatic Optical Inspection --- RTV</v>
          </cell>
        </row>
        <row r="20">
          <cell r="A20" t="str">
            <v>AOI --- RTV 3</v>
          </cell>
          <cell r="B20" t="str">
            <v>Automatic Optical Inspection --- RTV</v>
          </cell>
        </row>
        <row r="21">
          <cell r="A21" t="str">
            <v>AOI --- RTV 4</v>
          </cell>
          <cell r="B21" t="str">
            <v>Automatic Optical Inspection --- RTV</v>
          </cell>
        </row>
        <row r="22">
          <cell r="A22" t="str">
            <v>AOI --- SMD 3D 1</v>
          </cell>
          <cell r="B22" t="str">
            <v>Automatic Optical Inspection --- SMD</v>
          </cell>
        </row>
        <row r="23">
          <cell r="A23" t="str">
            <v>AOI --- SMD 3D 2</v>
          </cell>
          <cell r="B23" t="str">
            <v>Automatic Optical Inspection --- SMD</v>
          </cell>
        </row>
        <row r="24">
          <cell r="A24" t="str">
            <v>AOI --- SMD 3D 3</v>
          </cell>
          <cell r="B24" t="str">
            <v>Automatic Optical Inspection --- SMD</v>
          </cell>
        </row>
        <row r="25">
          <cell r="A25" t="str">
            <v>AOI --- SMD 3D 4</v>
          </cell>
          <cell r="B25" t="str">
            <v>Automatic Optical Inspection --- SMD</v>
          </cell>
        </row>
        <row r="26">
          <cell r="A26" t="str">
            <v>AOI --- SMD 3D 5</v>
          </cell>
          <cell r="B26" t="str">
            <v>Automatic Optical Inspection --- SMD</v>
          </cell>
        </row>
        <row r="27">
          <cell r="A27" t="str">
            <v>AOI --- SMD 3D 6</v>
          </cell>
          <cell r="B27" t="str">
            <v>Automatic Optical Inspection --- SMD</v>
          </cell>
        </row>
        <row r="28">
          <cell r="A28" t="str">
            <v>AOI --- SMD 3D 7</v>
          </cell>
          <cell r="B28" t="str">
            <v>Automatic Optical Inspection --- SMD</v>
          </cell>
        </row>
        <row r="29">
          <cell r="A29" t="str">
            <v>AOI --- SMD 3D 8</v>
          </cell>
          <cell r="B29" t="str">
            <v>Automatic Optical Inspection --- SMD</v>
          </cell>
        </row>
        <row r="30">
          <cell r="A30" t="str">
            <v>AOI --- SMD 3D 1 Dual Lane</v>
          </cell>
          <cell r="B30" t="str">
            <v>Automatic Optical Inspection --- SMD</v>
          </cell>
        </row>
        <row r="31">
          <cell r="A31" t="str">
            <v>AOI --- SMD 3D 2 Dual Lane</v>
          </cell>
          <cell r="B31" t="str">
            <v>Automatic Optical Inspection --- SMD</v>
          </cell>
        </row>
        <row r="32">
          <cell r="A32" t="str">
            <v>AOI --- SMD 3D 3 Dual Lane</v>
          </cell>
          <cell r="B32" t="str">
            <v>Automatic Optical Inspection --- SMD</v>
          </cell>
        </row>
        <row r="33">
          <cell r="A33" t="str">
            <v>AOI --- SMD 3D 4 Dual Lane</v>
          </cell>
          <cell r="B33" t="str">
            <v>Automatic Optical Inspection --- SMD</v>
          </cell>
        </row>
        <row r="34">
          <cell r="A34" t="str">
            <v>AOI --- SMD 3D 5 Dual Lane</v>
          </cell>
          <cell r="B34" t="str">
            <v>Automatic Optical Inspection --- SMD</v>
          </cell>
        </row>
        <row r="35">
          <cell r="A35" t="str">
            <v>AOI --- SMD 3D 6 Dual Lane</v>
          </cell>
          <cell r="B35" t="str">
            <v>Automatic Optical Inspection --- SMD</v>
          </cell>
        </row>
        <row r="36">
          <cell r="A36" t="str">
            <v>AOI --- SMD 3D 7 Dual Lane</v>
          </cell>
          <cell r="B36" t="str">
            <v>Automatic Optical Inspection --- SMD</v>
          </cell>
        </row>
        <row r="37">
          <cell r="A37" t="str">
            <v>AOI --- SMD 3D 8 Dual Lane</v>
          </cell>
          <cell r="B37" t="str">
            <v>Automatic Optical Inspection --- SMD</v>
          </cell>
        </row>
        <row r="38">
          <cell r="A38" t="str">
            <v>AOI --- THT 3D 1</v>
          </cell>
          <cell r="B38" t="str">
            <v>Automatic Optical Inspection --- THT</v>
          </cell>
        </row>
        <row r="39">
          <cell r="A39" t="str">
            <v>AOI --- THT 3D 2</v>
          </cell>
          <cell r="B39" t="str">
            <v>Automatic Optical Inspection --- THT</v>
          </cell>
        </row>
        <row r="40">
          <cell r="A40" t="str">
            <v>AOI --- THT 3D 3</v>
          </cell>
          <cell r="B40" t="str">
            <v>Automatic Optical Inspection --- THT</v>
          </cell>
        </row>
        <row r="41">
          <cell r="A41" t="str">
            <v>AOI --- THT 3D 4</v>
          </cell>
          <cell r="B41" t="str">
            <v>Automatic Optical Inspection --- THT</v>
          </cell>
        </row>
        <row r="42">
          <cell r="A42" t="str">
            <v>AOI --- Underfill 1</v>
          </cell>
          <cell r="B42" t="str">
            <v>Automatic Optical Inspection --- Underfill</v>
          </cell>
        </row>
        <row r="43">
          <cell r="A43" t="str">
            <v>AOI --- Underfill 2</v>
          </cell>
          <cell r="B43" t="str">
            <v>Automatic Optical Inspection --- Underfill</v>
          </cell>
        </row>
        <row r="44">
          <cell r="A44" t="str">
            <v>AOI --- Underfill 3</v>
          </cell>
          <cell r="B44" t="str">
            <v>Automatic Optical Inspection --- Underfill</v>
          </cell>
        </row>
        <row r="45">
          <cell r="A45" t="str">
            <v>AOI --- Underfill 4</v>
          </cell>
          <cell r="B45" t="str">
            <v>Automatic Optical Inspection --- Underfill</v>
          </cell>
        </row>
        <row r="46">
          <cell r="A46" t="str">
            <v>AOI --- Underfill 5</v>
          </cell>
          <cell r="B46" t="str">
            <v>Automatic Optical Inspection --- Underfill</v>
          </cell>
        </row>
        <row r="47">
          <cell r="A47" t="str">
            <v>AOI --- Underfill 6</v>
          </cell>
          <cell r="B47" t="str">
            <v>Automatic Optical Inspection --- Underfill</v>
          </cell>
        </row>
        <row r="48">
          <cell r="A48" t="str">
            <v>AOI --- Underfill 7</v>
          </cell>
          <cell r="B48" t="str">
            <v>Automatic Optical Inspection --- Underfill</v>
          </cell>
        </row>
        <row r="49">
          <cell r="A49" t="str">
            <v>AOI --- Underfill 8</v>
          </cell>
          <cell r="B49" t="str">
            <v>Automatic Optical Inspection --- Underfill</v>
          </cell>
        </row>
        <row r="50">
          <cell r="A50" t="str">
            <v>AOI --- UV 1</v>
          </cell>
          <cell r="B50" t="str">
            <v>Automatic UV Inspection</v>
          </cell>
        </row>
        <row r="51">
          <cell r="A51" t="str">
            <v>AOI --- UV 2</v>
          </cell>
          <cell r="B51" t="str">
            <v>Automatic UV Inspection</v>
          </cell>
        </row>
        <row r="52">
          <cell r="A52" t="str">
            <v>AOI --- UV 3</v>
          </cell>
          <cell r="B52" t="str">
            <v>Automatic UV Inspection</v>
          </cell>
        </row>
        <row r="53">
          <cell r="A53" t="str">
            <v>AOI --- UV 4</v>
          </cell>
          <cell r="B53" t="str">
            <v>Automatic UV Inspection</v>
          </cell>
        </row>
        <row r="54">
          <cell r="A54" t="str">
            <v>AOI --- UV 5</v>
          </cell>
          <cell r="B54" t="str">
            <v>Automatic UV Inspection</v>
          </cell>
        </row>
        <row r="55">
          <cell r="A55" t="str">
            <v>AOI --- UV 6</v>
          </cell>
          <cell r="B55" t="str">
            <v>Automatic UV Inspection</v>
          </cell>
        </row>
        <row r="56">
          <cell r="A56" t="str">
            <v>AOI --- UV 7</v>
          </cell>
          <cell r="B56" t="str">
            <v>Automatic UV Inspection</v>
          </cell>
        </row>
        <row r="57">
          <cell r="A57" t="str">
            <v>AOI --- UV 8</v>
          </cell>
          <cell r="B57" t="str">
            <v>Automatic UV Inspection</v>
          </cell>
        </row>
        <row r="58">
          <cell r="A58" t="str">
            <v>AOI --- UV 9</v>
          </cell>
          <cell r="B58" t="str">
            <v>Automatic UV Inspection</v>
          </cell>
        </row>
        <row r="59">
          <cell r="A59" t="str">
            <v>AOI --- UV 10</v>
          </cell>
          <cell r="B59" t="str">
            <v>Automatic UV Inspection</v>
          </cell>
        </row>
        <row r="60">
          <cell r="A60" t="str">
            <v>AOI --- Wire Bond 1</v>
          </cell>
          <cell r="B60" t="str">
            <v>Automatic WB Inspection</v>
          </cell>
        </row>
        <row r="61">
          <cell r="A61" t="str">
            <v>AOI --- Wire Bond 2</v>
          </cell>
          <cell r="B61" t="str">
            <v>Automatic WB Inspection</v>
          </cell>
        </row>
        <row r="62">
          <cell r="A62" t="str">
            <v>AOI --- Wire Bond 3</v>
          </cell>
          <cell r="B62" t="str">
            <v>Automatic WB Inspection</v>
          </cell>
        </row>
        <row r="63">
          <cell r="A63" t="str">
            <v>AOI --- Wire Bond 4</v>
          </cell>
          <cell r="B63" t="str">
            <v>Automatic WB Inspection</v>
          </cell>
        </row>
        <row r="64">
          <cell r="A64" t="str">
            <v>AOI --- Wire Bond 5</v>
          </cell>
          <cell r="B64" t="str">
            <v>Automatic WB Inspection</v>
          </cell>
        </row>
        <row r="65">
          <cell r="A65" t="str">
            <v>AOI --- Wire Bond 6</v>
          </cell>
          <cell r="B65" t="str">
            <v>Automatic WB Inspection</v>
          </cell>
        </row>
        <row r="66">
          <cell r="A66" t="str">
            <v>AOI --- Wire Bond 7</v>
          </cell>
          <cell r="B66" t="str">
            <v>Automatic WB Inspection</v>
          </cell>
        </row>
        <row r="67">
          <cell r="A67" t="str">
            <v>AOI --- Wire Bond 8</v>
          </cell>
          <cell r="B67" t="str">
            <v>Automatic WB Inspection</v>
          </cell>
        </row>
        <row r="68">
          <cell r="A68" t="str">
            <v>AOI --- Wire Bond 9</v>
          </cell>
          <cell r="B68" t="str">
            <v>Automatic WB Inspection</v>
          </cell>
        </row>
        <row r="69">
          <cell r="A69" t="str">
            <v>AOI --- Wire Bond 10</v>
          </cell>
          <cell r="B69" t="str">
            <v>Automatic WB Inspection</v>
          </cell>
        </row>
        <row r="70">
          <cell r="A70" t="str">
            <v>Automatic Assembly 1</v>
          </cell>
          <cell r="B70" t="str">
            <v>Automatic Assembly</v>
          </cell>
        </row>
        <row r="71">
          <cell r="A71" t="str">
            <v>Automatic Assembly 2</v>
          </cell>
          <cell r="B71" t="str">
            <v>Automatic Assembly</v>
          </cell>
        </row>
        <row r="72">
          <cell r="A72" t="str">
            <v>Automatic Assembly 3</v>
          </cell>
          <cell r="B72" t="str">
            <v>Automatic Assembly</v>
          </cell>
        </row>
        <row r="73">
          <cell r="A73" t="str">
            <v>Automatic Assembly 4</v>
          </cell>
          <cell r="B73" t="str">
            <v>Automatic Assembly</v>
          </cell>
        </row>
        <row r="74">
          <cell r="A74" t="str">
            <v>Automatic Assembly 5</v>
          </cell>
          <cell r="B74" t="str">
            <v>Automatic Assembly</v>
          </cell>
        </row>
        <row r="75">
          <cell r="A75" t="str">
            <v>Automatic Assembly 6</v>
          </cell>
          <cell r="B75" t="str">
            <v>Automatic Assembly</v>
          </cell>
        </row>
        <row r="76">
          <cell r="A76" t="str">
            <v>Automatic Assembly 7</v>
          </cell>
          <cell r="B76" t="str">
            <v>Automatic Assembly</v>
          </cell>
        </row>
        <row r="77">
          <cell r="A77" t="str">
            <v>Automatic Assembly 8</v>
          </cell>
          <cell r="B77" t="str">
            <v>Automatic Assembly</v>
          </cell>
        </row>
        <row r="78">
          <cell r="A78" t="str">
            <v>Automatic Assembly 9</v>
          </cell>
          <cell r="B78" t="str">
            <v>Automatic Assembly</v>
          </cell>
        </row>
        <row r="79">
          <cell r="A79" t="str">
            <v>Automatic Assembly 10</v>
          </cell>
          <cell r="B79" t="str">
            <v>Automatic Assembly</v>
          </cell>
        </row>
        <row r="80">
          <cell r="A80" t="str">
            <v>Automatic Assembly Loader/Unloader 1</v>
          </cell>
          <cell r="B80" t="str">
            <v>Transport Loader/Unloader</v>
          </cell>
        </row>
        <row r="81">
          <cell r="A81" t="str">
            <v>Automatic Assembly Loader/Unloader 2</v>
          </cell>
          <cell r="B81" t="str">
            <v>Transport Loader/Unloader</v>
          </cell>
        </row>
        <row r="82">
          <cell r="A82" t="str">
            <v>Automatic Assembly Loader/Unloader 3</v>
          </cell>
          <cell r="B82" t="str">
            <v>Transport Loader/Unloader</v>
          </cell>
        </row>
        <row r="83">
          <cell r="A83" t="str">
            <v>Automatic Assembly Loader/Unloader 4</v>
          </cell>
          <cell r="B83" t="str">
            <v>Transport Loader/Unloader</v>
          </cell>
        </row>
        <row r="84">
          <cell r="A84" t="str">
            <v>Automatic Assembly Loader/Unloader 5</v>
          </cell>
          <cell r="B84" t="str">
            <v>Transport Loader/Unloader</v>
          </cell>
        </row>
        <row r="85">
          <cell r="A85" t="str">
            <v>Automatic Assembly Loader/Unloader 6</v>
          </cell>
          <cell r="B85" t="str">
            <v>Transport Loader/Unloader</v>
          </cell>
        </row>
        <row r="86">
          <cell r="A86" t="str">
            <v>Automatic Assembly Loader/Unloader 7</v>
          </cell>
          <cell r="B86" t="str">
            <v>Transport Loader/Unloader</v>
          </cell>
        </row>
        <row r="87">
          <cell r="A87" t="str">
            <v>Automatic Assembly Loader/Unloader 8</v>
          </cell>
          <cell r="B87" t="str">
            <v>Transport Loader/Unloader</v>
          </cell>
        </row>
        <row r="88">
          <cell r="A88" t="str">
            <v>Automatic Assembly Loader/Unloader 9</v>
          </cell>
          <cell r="B88" t="str">
            <v>Transport Loader/Unloader</v>
          </cell>
        </row>
        <row r="89">
          <cell r="A89" t="str">
            <v>Automatic Assembly Loader/Unloader 10</v>
          </cell>
          <cell r="B89" t="str">
            <v>Transport Loader/Unloader</v>
          </cell>
        </row>
        <row r="90">
          <cell r="A90" t="str">
            <v>Automatic Assembly Loader/Unloader 11</v>
          </cell>
          <cell r="B90" t="str">
            <v>Transport Loader/Unloader</v>
          </cell>
        </row>
        <row r="91">
          <cell r="A91" t="str">
            <v>Automatic Assembly Loader/Unloader 12</v>
          </cell>
          <cell r="B91" t="str">
            <v>Transport Loader/Unloader</v>
          </cell>
        </row>
        <row r="92">
          <cell r="A92" t="str">
            <v>Automatic Assembly Loader/Unloader 13</v>
          </cell>
          <cell r="B92" t="str">
            <v>Transport Loader/Unloader</v>
          </cell>
        </row>
        <row r="93">
          <cell r="A93" t="str">
            <v>Automatic Assembly Loader/Unloader 14</v>
          </cell>
          <cell r="B93" t="str">
            <v>Transport Loader/Unloader</v>
          </cell>
        </row>
        <row r="94">
          <cell r="A94" t="str">
            <v>Automatic Assembly Loader/Unloader 15</v>
          </cell>
          <cell r="B94" t="str">
            <v>Transport Loader/Unloader</v>
          </cell>
        </row>
        <row r="95">
          <cell r="A95" t="str">
            <v>Automatic Assembly Loader/Unloader 16</v>
          </cell>
          <cell r="B95" t="str">
            <v>Transport Loader/Unloader</v>
          </cell>
        </row>
        <row r="96">
          <cell r="A96" t="str">
            <v>Automatic Assembly Loader/Unloader 17</v>
          </cell>
          <cell r="B96" t="str">
            <v>Transport Loader/Unloader</v>
          </cell>
        </row>
        <row r="97">
          <cell r="A97" t="str">
            <v>Automatic Assembly Loader/Unloader 18</v>
          </cell>
          <cell r="B97" t="str">
            <v>Transport Loader/Unloader</v>
          </cell>
        </row>
        <row r="98">
          <cell r="A98" t="str">
            <v>Automatic Assembly Loader/Unloader 19</v>
          </cell>
          <cell r="B98" t="str">
            <v>Transport Loader/Unloader</v>
          </cell>
        </row>
        <row r="99">
          <cell r="A99" t="str">
            <v>Automatic Assembly Loader/Unloader 20</v>
          </cell>
          <cell r="B99" t="str">
            <v>Transport Loader/Unloader</v>
          </cell>
        </row>
        <row r="100">
          <cell r="A100" t="str">
            <v>Automatic Assembly Loader/Unloader 21</v>
          </cell>
          <cell r="B100" t="str">
            <v>Transport Loader/Unloader</v>
          </cell>
        </row>
        <row r="101">
          <cell r="A101" t="str">
            <v>Automatic Assembly Loader/Unloader 22</v>
          </cell>
          <cell r="B101" t="str">
            <v>Transport Loader/Unloader</v>
          </cell>
        </row>
        <row r="102">
          <cell r="A102" t="str">
            <v>Automatic Assembly Loader/Unloader 23</v>
          </cell>
          <cell r="B102" t="str">
            <v>Transport Loader/Unloader</v>
          </cell>
        </row>
        <row r="103">
          <cell r="A103" t="str">
            <v>Automatic Assembly Loader/Unloader 24</v>
          </cell>
          <cell r="B103" t="str">
            <v>Transport Loader/Unloader</v>
          </cell>
        </row>
        <row r="104">
          <cell r="A104" t="str">
            <v>Automatic Assembly Loader/Unloader 25</v>
          </cell>
          <cell r="B104" t="str">
            <v>Transport Loader/Unloader</v>
          </cell>
        </row>
        <row r="105">
          <cell r="A105" t="str">
            <v>Automatic Assembly Loader/Unloader 26</v>
          </cell>
          <cell r="B105" t="str">
            <v>Transport Loader/Unloader</v>
          </cell>
        </row>
        <row r="106">
          <cell r="A106" t="str">
            <v>Automatic Assembly Loader/Unloader 27</v>
          </cell>
          <cell r="B106" t="str">
            <v>Transport Loader/Unloader</v>
          </cell>
        </row>
        <row r="107">
          <cell r="A107" t="str">
            <v>Automatic Assembly Loader/Unloader 28</v>
          </cell>
          <cell r="B107" t="str">
            <v>Transport Loader/Unloader</v>
          </cell>
        </row>
        <row r="108">
          <cell r="A108" t="str">
            <v>Automatic Assembly Loader/Unloader 29</v>
          </cell>
          <cell r="B108" t="str">
            <v>Transport Loader/Unloader</v>
          </cell>
        </row>
        <row r="109">
          <cell r="A109" t="str">
            <v>Automatic Assembly Loader/Unloader 30</v>
          </cell>
          <cell r="B109" t="str">
            <v>Transport Loader/Unloader</v>
          </cell>
        </row>
        <row r="110">
          <cell r="A110" t="str">
            <v>Automatic Assembly Loader/Unloader 31</v>
          </cell>
          <cell r="B110" t="str">
            <v>Transport Loader/Unloader</v>
          </cell>
        </row>
        <row r="111">
          <cell r="A111" t="str">
            <v>Automatic Assembly Loader/Unloader 32</v>
          </cell>
          <cell r="B111" t="str">
            <v>Transport Loader/Unloader</v>
          </cell>
        </row>
        <row r="112">
          <cell r="A112" t="str">
            <v>Automatic Assembly Loader/Unloader 33</v>
          </cell>
          <cell r="B112" t="str">
            <v>Transport Loader/Unloader</v>
          </cell>
        </row>
        <row r="113">
          <cell r="A113" t="str">
            <v>Automatic Assembly Loader/Unloader 34</v>
          </cell>
          <cell r="B113" t="str">
            <v>Transport Loader/Unloader</v>
          </cell>
        </row>
        <row r="114">
          <cell r="A114" t="str">
            <v>Automatic Assembly Loader/Unloader 35</v>
          </cell>
          <cell r="B114" t="str">
            <v>Transport Loader/Unloader</v>
          </cell>
        </row>
        <row r="115">
          <cell r="A115" t="str">
            <v>Automatic Assembly Loader/Unloader 36</v>
          </cell>
          <cell r="B115" t="str">
            <v>Transport Loader/Unloader</v>
          </cell>
        </row>
        <row r="116">
          <cell r="A116" t="str">
            <v>Automatic Assembly Loader/Unloader 37</v>
          </cell>
          <cell r="B116" t="str">
            <v>Transport Loader/Unloader</v>
          </cell>
        </row>
        <row r="117">
          <cell r="A117" t="str">
            <v>Automatic Assembly Loader/Unloader 38</v>
          </cell>
          <cell r="B117" t="str">
            <v>Transport Loader/Unloader</v>
          </cell>
        </row>
        <row r="118">
          <cell r="A118" t="str">
            <v>Automatic Assembly Loader/Unloader 39</v>
          </cell>
          <cell r="B118" t="str">
            <v>Transport Loader/Unloader</v>
          </cell>
        </row>
        <row r="119">
          <cell r="A119" t="str">
            <v>Automatic Assembly Loader/Unloader 40</v>
          </cell>
          <cell r="B119" t="str">
            <v>Transport Loader/Unloader</v>
          </cell>
        </row>
        <row r="120">
          <cell r="A120" t="str">
            <v>Automatic Assembly Loader/Unloader 41</v>
          </cell>
          <cell r="B120" t="str">
            <v>Transport Loader/Unloader</v>
          </cell>
        </row>
        <row r="121">
          <cell r="A121" t="str">
            <v>Automatic Assembly Loader/Unloader 42</v>
          </cell>
          <cell r="B121" t="str">
            <v>Transport Loader/Unloader</v>
          </cell>
        </row>
        <row r="122">
          <cell r="A122" t="str">
            <v>Automatic Assembly Loader/Unloader 43</v>
          </cell>
          <cell r="B122" t="str">
            <v>Transport Loader/Unloader</v>
          </cell>
        </row>
        <row r="123">
          <cell r="A123" t="str">
            <v>Automatic Assembly Loader/Unloader 44</v>
          </cell>
          <cell r="B123" t="str">
            <v>Transport Loader/Unloader</v>
          </cell>
        </row>
        <row r="124">
          <cell r="A124" t="str">
            <v>Automatic Assembly Loader/Unloader 45</v>
          </cell>
          <cell r="B124" t="str">
            <v>Transport Loader/Unloader</v>
          </cell>
        </row>
        <row r="125">
          <cell r="A125" t="str">
            <v>Automatic Assembly Loader/Unloader 46</v>
          </cell>
          <cell r="B125" t="str">
            <v>Transport Loader/Unloader</v>
          </cell>
        </row>
        <row r="126">
          <cell r="A126" t="str">
            <v>Automatic Assembly Loader/Unloader 47</v>
          </cell>
          <cell r="B126" t="str">
            <v>Transport Loader/Unloader</v>
          </cell>
        </row>
        <row r="127">
          <cell r="A127" t="str">
            <v>Automatic Assembly Loader/Unloader 48</v>
          </cell>
          <cell r="B127" t="str">
            <v>Transport Loader/Unloader</v>
          </cell>
        </row>
        <row r="128">
          <cell r="A128" t="str">
            <v>Automatic Assembly Loader/Unloader 49</v>
          </cell>
          <cell r="B128" t="str">
            <v>Transport Loader/Unloader</v>
          </cell>
        </row>
        <row r="129">
          <cell r="A129" t="str">
            <v>Automatic Assembly Loader/Unloader 50</v>
          </cell>
          <cell r="B129" t="str">
            <v>Transport Loader/Unloader</v>
          </cell>
        </row>
        <row r="130">
          <cell r="A130" t="str">
            <v>Automatic Assembly Loader/Unloader 51</v>
          </cell>
          <cell r="B130" t="str">
            <v>Transport Loader/Unloader</v>
          </cell>
        </row>
        <row r="131">
          <cell r="A131" t="str">
            <v>Automatic Assembly Loader/Unloader 52</v>
          </cell>
          <cell r="B131" t="str">
            <v>Transport Loader/Unloader</v>
          </cell>
        </row>
        <row r="132">
          <cell r="A132" t="str">
            <v>Automatic Assembly Loader/Unloader 53</v>
          </cell>
          <cell r="B132" t="str">
            <v>Transport Loader/Unloader</v>
          </cell>
        </row>
        <row r="133">
          <cell r="A133" t="str">
            <v>Automatic Assembly Loader/Unloader 54</v>
          </cell>
          <cell r="B133" t="str">
            <v>Transport Loader/Unloader</v>
          </cell>
        </row>
        <row r="134">
          <cell r="A134" t="str">
            <v>Automatic Assembly Loader/Unloader 55</v>
          </cell>
          <cell r="B134" t="str">
            <v>Transport Loader/Unloader</v>
          </cell>
        </row>
        <row r="135">
          <cell r="A135" t="str">
            <v>Automatic Assembly Loader/Unloader 56</v>
          </cell>
          <cell r="B135" t="str">
            <v>Transport Loader/Unloader</v>
          </cell>
        </row>
        <row r="136">
          <cell r="A136" t="str">
            <v>Automatic Assembly Loader/Unloader 57</v>
          </cell>
          <cell r="B136" t="str">
            <v>Transport Loader/Unloader</v>
          </cell>
        </row>
        <row r="137">
          <cell r="A137" t="str">
            <v>Automatic Assembly Loader/Unloader 58</v>
          </cell>
          <cell r="B137" t="str">
            <v>Transport Loader/Unloader</v>
          </cell>
        </row>
        <row r="138">
          <cell r="A138" t="str">
            <v>Automatic Assembly Loader/Unloader 59</v>
          </cell>
          <cell r="B138" t="str">
            <v>Transport Loader/Unloader</v>
          </cell>
        </row>
        <row r="139">
          <cell r="A139" t="str">
            <v>Automatic Assembly Loader/Unloader 60</v>
          </cell>
          <cell r="B139" t="str">
            <v>Transport Loader/Unloader</v>
          </cell>
        </row>
        <row r="140">
          <cell r="A140" t="str">
            <v>Automatic Assembly Loader/Unloader 61</v>
          </cell>
          <cell r="B140" t="str">
            <v>Transport Loader/Unloader</v>
          </cell>
        </row>
        <row r="141">
          <cell r="A141" t="str">
            <v>Automatic Assembly Loader/Unloader 62</v>
          </cell>
          <cell r="B141" t="str">
            <v>Transport Loader/Unloader</v>
          </cell>
        </row>
        <row r="142">
          <cell r="A142" t="str">
            <v>Automatic Assembly Loader/Unloader 63</v>
          </cell>
          <cell r="B142" t="str">
            <v>Transport Loader/Unloader</v>
          </cell>
        </row>
        <row r="143">
          <cell r="A143" t="str">
            <v>Automatic Assembly Loader/Unloader 64</v>
          </cell>
          <cell r="B143" t="str">
            <v>Transport Loader/Unloader</v>
          </cell>
        </row>
        <row r="144">
          <cell r="A144" t="str">
            <v>Automatic Assembly Loader/Unloader 65</v>
          </cell>
          <cell r="B144" t="str">
            <v>Transport Loader/Unloader</v>
          </cell>
        </row>
        <row r="145">
          <cell r="A145" t="str">
            <v>Automatic Assembly Loader/Unloader 66</v>
          </cell>
          <cell r="B145" t="str">
            <v>Transport Loader/Unloader</v>
          </cell>
        </row>
        <row r="146">
          <cell r="A146" t="str">
            <v>Automatic Assembly Loader/Unloader 67</v>
          </cell>
          <cell r="B146" t="str">
            <v>Transport Loader/Unloader</v>
          </cell>
        </row>
        <row r="147">
          <cell r="A147" t="str">
            <v>Automatic Assembly Loader/Unloader 68</v>
          </cell>
          <cell r="B147" t="str">
            <v>Transport Loader/Unloader</v>
          </cell>
        </row>
        <row r="148">
          <cell r="A148" t="str">
            <v>Automatic Assembly Loader/Unloader 69</v>
          </cell>
          <cell r="B148" t="str">
            <v>Transport Loader/Unloader</v>
          </cell>
        </row>
        <row r="149">
          <cell r="A149" t="str">
            <v>Automatic Assembly Loader/Unloader 70</v>
          </cell>
          <cell r="B149" t="str">
            <v>Transport Loader/Unloader</v>
          </cell>
        </row>
        <row r="150">
          <cell r="A150" t="str">
            <v>Automatic Magazine Loader/Unloader 1</v>
          </cell>
          <cell r="B150" t="str">
            <v>Transport Loader/Unloader</v>
          </cell>
        </row>
        <row r="151">
          <cell r="A151" t="str">
            <v>Automatic Magazine Loader/Unloader 2</v>
          </cell>
          <cell r="B151" t="str">
            <v>Transport Loader/Unloader</v>
          </cell>
        </row>
        <row r="152">
          <cell r="A152" t="str">
            <v>Automatic Magazine Loader/Unloader 3</v>
          </cell>
          <cell r="B152" t="str">
            <v>Transport Loader/Unloader</v>
          </cell>
        </row>
        <row r="153">
          <cell r="A153" t="str">
            <v>Automatic Magazine Loader/Unloader 4</v>
          </cell>
          <cell r="B153" t="str">
            <v>Transport Loader/Unloader</v>
          </cell>
        </row>
        <row r="154">
          <cell r="A154" t="str">
            <v>Automatic Magazine Loader/Unloader 5</v>
          </cell>
          <cell r="B154" t="str">
            <v>Transport Loader/Unloader</v>
          </cell>
        </row>
        <row r="155">
          <cell r="A155" t="str">
            <v>Automatic Magazine Loader/Unloader 6</v>
          </cell>
          <cell r="B155" t="str">
            <v>Transport Loader/Unloader</v>
          </cell>
        </row>
        <row r="156">
          <cell r="A156" t="str">
            <v>Automatic Magazine Loader/Unloader 7</v>
          </cell>
          <cell r="B156" t="str">
            <v>Transport Loader/Unloader</v>
          </cell>
        </row>
        <row r="157">
          <cell r="A157" t="str">
            <v>Automatic Magazine Loader/Unloader 8</v>
          </cell>
          <cell r="B157" t="str">
            <v>Transport Loader/Unloader</v>
          </cell>
        </row>
        <row r="158">
          <cell r="A158" t="str">
            <v>Automatic Magazine Loader/Unloader 9</v>
          </cell>
          <cell r="B158" t="str">
            <v>Transport Loader/Unloader</v>
          </cell>
        </row>
        <row r="159">
          <cell r="A159" t="str">
            <v>Automatic Magazine Loader/Unloader 10</v>
          </cell>
          <cell r="B159" t="str">
            <v>Transport Loader/Unloader</v>
          </cell>
        </row>
        <row r="160">
          <cell r="A160" t="str">
            <v>Automatic Magazine Loader/Unloader 11</v>
          </cell>
          <cell r="B160" t="str">
            <v>Transport Loader/Unloader</v>
          </cell>
        </row>
        <row r="161">
          <cell r="A161" t="str">
            <v>Automatic Magazine Loader/Unloader 12</v>
          </cell>
          <cell r="B161" t="str">
            <v>Transport Loader/Unloader</v>
          </cell>
        </row>
        <row r="162">
          <cell r="A162" t="str">
            <v>Automatic Magazine Loader/Unloader 13</v>
          </cell>
          <cell r="B162" t="str">
            <v>Transport Loader/Unloader</v>
          </cell>
        </row>
        <row r="163">
          <cell r="A163" t="str">
            <v>Automatic Magazine Loader/Unloader 14</v>
          </cell>
          <cell r="B163" t="str">
            <v>Transport Loader/Unloader</v>
          </cell>
        </row>
        <row r="164">
          <cell r="A164" t="str">
            <v>Automatic Magazine Loader/Unloader 15</v>
          </cell>
          <cell r="B164" t="str">
            <v>Transport Loader/Unloader</v>
          </cell>
        </row>
        <row r="165">
          <cell r="A165" t="str">
            <v>Automatic Magazine Loader/Unloader 16</v>
          </cell>
          <cell r="B165" t="str">
            <v>Transport Loader/Unloader</v>
          </cell>
        </row>
        <row r="166">
          <cell r="A166" t="str">
            <v>Automatic Magazine Loader/Unloader 17</v>
          </cell>
          <cell r="B166" t="str">
            <v>Transport Loader/Unloader</v>
          </cell>
        </row>
        <row r="167">
          <cell r="A167" t="str">
            <v>Automatic Magazine Loader/Unloader 18</v>
          </cell>
          <cell r="B167" t="str">
            <v>Transport Loader/Unloader</v>
          </cell>
        </row>
        <row r="168">
          <cell r="A168" t="str">
            <v>Automatic Magazine Loader/Unloader 19</v>
          </cell>
          <cell r="B168" t="str">
            <v>Transport Loader/Unloader</v>
          </cell>
        </row>
        <row r="169">
          <cell r="A169" t="str">
            <v>Automatic Magazine Loader/Unloader 20</v>
          </cell>
          <cell r="B169" t="str">
            <v>Transport Loader/Unloader</v>
          </cell>
        </row>
        <row r="170">
          <cell r="A170" t="str">
            <v>Automatic Magazine Loader/Unloader reject 1</v>
          </cell>
          <cell r="B170" t="str">
            <v>Transport Loader/Unloader</v>
          </cell>
        </row>
        <row r="171">
          <cell r="A171" t="str">
            <v>Automatic Magazine Loader/Unloader reject 2</v>
          </cell>
          <cell r="B171" t="str">
            <v>Transport Loader/Unloader</v>
          </cell>
        </row>
        <row r="172">
          <cell r="A172" t="str">
            <v>Automatic Magazine Loader/Unloader reject 3</v>
          </cell>
          <cell r="B172" t="str">
            <v>Transport Loader/Unloader</v>
          </cell>
        </row>
        <row r="173">
          <cell r="A173" t="str">
            <v>Automatic Magazine Loader/Unloader reject 4</v>
          </cell>
          <cell r="B173" t="str">
            <v>Transport Loader/Unloader</v>
          </cell>
        </row>
        <row r="174">
          <cell r="A174" t="str">
            <v>Automatic Magazine Loader/Unloader reject 5</v>
          </cell>
          <cell r="B174" t="str">
            <v>Transport Loader/Unloader</v>
          </cell>
        </row>
        <row r="175">
          <cell r="A175" t="str">
            <v>Automatic Magazine Loader/Unloader reject 6</v>
          </cell>
          <cell r="B175" t="str">
            <v>Transport Loader/Unloader</v>
          </cell>
        </row>
        <row r="176">
          <cell r="A176" t="str">
            <v>Automatic Magazine Loader/Unloader reject 7</v>
          </cell>
          <cell r="B176" t="str">
            <v>Transport Loader/Unloader</v>
          </cell>
        </row>
        <row r="177">
          <cell r="A177" t="str">
            <v>Automatic Magazine Loader/Unloader reject 8</v>
          </cell>
          <cell r="B177" t="str">
            <v>Transport Loader/Unloader</v>
          </cell>
        </row>
        <row r="178">
          <cell r="A178" t="str">
            <v>Automatic Magazine Loader/Unloader reject 9</v>
          </cell>
          <cell r="B178" t="str">
            <v>Transport Loader/Unloader</v>
          </cell>
        </row>
        <row r="179">
          <cell r="A179" t="str">
            <v>Automatic Magazine Loader/Unloader reject 10</v>
          </cell>
          <cell r="B179" t="str">
            <v>Transport Loader/Unloader</v>
          </cell>
        </row>
        <row r="180">
          <cell r="A180" t="str">
            <v>Automatic Magazine Loader/Unloader reject 11</v>
          </cell>
          <cell r="B180" t="str">
            <v>Transport Loader/Unloader</v>
          </cell>
        </row>
        <row r="181">
          <cell r="A181" t="str">
            <v>Automatic Magazine Loader/Unloader reject 12</v>
          </cell>
          <cell r="B181" t="str">
            <v>Transport Loader/Unloader</v>
          </cell>
        </row>
        <row r="182">
          <cell r="A182" t="str">
            <v>Automatic Magazine Loader/Unloader reject 13</v>
          </cell>
          <cell r="B182" t="str">
            <v>Transport Loader/Unloader</v>
          </cell>
        </row>
        <row r="183">
          <cell r="A183" t="str">
            <v>Automatic Magazine Loader/Unloader reject 14</v>
          </cell>
          <cell r="B183" t="str">
            <v>Transport Loader/Unloader</v>
          </cell>
        </row>
        <row r="184">
          <cell r="A184" t="str">
            <v>Automatic Magazine Loader/Unloader reject 15</v>
          </cell>
          <cell r="B184" t="str">
            <v>Transport Loader/Unloader</v>
          </cell>
        </row>
        <row r="185">
          <cell r="A185" t="str">
            <v>Automatic Magazine Loader/Unloader reject 16</v>
          </cell>
          <cell r="B185" t="str">
            <v>Transport Loader/Unloader</v>
          </cell>
        </row>
        <row r="186">
          <cell r="A186" t="str">
            <v>Automatic Magazine Loader/Unloader reject 17</v>
          </cell>
          <cell r="B186" t="str">
            <v>Transport Loader/Unloader</v>
          </cell>
        </row>
        <row r="187">
          <cell r="A187" t="str">
            <v>Automatic Magazine Loader/Unloader reject 18</v>
          </cell>
          <cell r="B187" t="str">
            <v>Transport Loader/Unloader</v>
          </cell>
        </row>
        <row r="188">
          <cell r="A188" t="str">
            <v>Automatic Magazine Loader/Unloader reject 19</v>
          </cell>
          <cell r="B188" t="str">
            <v>Transport Loader/Unloader</v>
          </cell>
        </row>
        <row r="189">
          <cell r="A189" t="str">
            <v>Automatic Magazine Loader/Unloader reject 20</v>
          </cell>
          <cell r="B189" t="str">
            <v>Transport Loader/Unloader</v>
          </cell>
        </row>
        <row r="190">
          <cell r="A190" t="str">
            <v>Automatic PCB loading/unloading 1</v>
          </cell>
          <cell r="B190" t="str">
            <v>Transport Loader/Unloader</v>
          </cell>
        </row>
        <row r="191">
          <cell r="A191" t="str">
            <v>Automatic PCB loading/unloading 2</v>
          </cell>
          <cell r="B191" t="str">
            <v>Transport Loader/Unloader</v>
          </cell>
        </row>
        <row r="192">
          <cell r="A192" t="str">
            <v>Automatic PCB loading/unloading 3</v>
          </cell>
          <cell r="B192" t="str">
            <v>Transport Loader/Unloader</v>
          </cell>
        </row>
        <row r="193">
          <cell r="A193" t="str">
            <v>Automatic PCB loading/unloading 4</v>
          </cell>
          <cell r="B193" t="str">
            <v>Transport Loader/Unloader</v>
          </cell>
        </row>
        <row r="194">
          <cell r="A194" t="str">
            <v>Automatic PCB loading/unloading 5</v>
          </cell>
          <cell r="B194" t="str">
            <v>Transport Loader/Unloader</v>
          </cell>
        </row>
        <row r="195">
          <cell r="A195" t="str">
            <v>Automatic PCB loading/unloading 6</v>
          </cell>
          <cell r="B195" t="str">
            <v>Transport Loader/Unloader</v>
          </cell>
        </row>
        <row r="196">
          <cell r="A196" t="str">
            <v>Automatic PCB loading/unloading 7</v>
          </cell>
          <cell r="B196" t="str">
            <v>Transport Loader/Unloader</v>
          </cell>
        </row>
        <row r="197">
          <cell r="A197" t="str">
            <v>Automatic PCB loading/unloading 8</v>
          </cell>
          <cell r="B197" t="str">
            <v>Transport Loader/Unloader</v>
          </cell>
        </row>
        <row r="198">
          <cell r="A198" t="str">
            <v>Automatic PCB loading/unloading 9</v>
          </cell>
          <cell r="B198" t="str">
            <v>Transport Loader/Unloader</v>
          </cell>
        </row>
        <row r="199">
          <cell r="A199" t="str">
            <v>Automatic PCB loading/unloading 10</v>
          </cell>
          <cell r="B199" t="str">
            <v>Transport Loader/Unloader</v>
          </cell>
        </row>
        <row r="200">
          <cell r="A200" t="str">
            <v>Automatic PCBA loading/unloading 1</v>
          </cell>
          <cell r="B200" t="str">
            <v>Transport Loader/Unloader</v>
          </cell>
        </row>
        <row r="201">
          <cell r="A201" t="str">
            <v>Automatic PCBA loading/unloading 2</v>
          </cell>
          <cell r="B201" t="str">
            <v>Transport Loader/Unloader</v>
          </cell>
        </row>
        <row r="202">
          <cell r="A202" t="str">
            <v>Automatic PCBA loading/unloading 3</v>
          </cell>
          <cell r="B202" t="str">
            <v>Transport Loader/Unloader</v>
          </cell>
        </row>
        <row r="203">
          <cell r="A203" t="str">
            <v>Automatic PCBA loading/unloading 4</v>
          </cell>
          <cell r="B203" t="str">
            <v>Transport Loader/Unloader</v>
          </cell>
        </row>
        <row r="204">
          <cell r="A204" t="str">
            <v>Automatic PCBA loading/unloading 5</v>
          </cell>
          <cell r="B204" t="str">
            <v>Transport Loader/Unloader</v>
          </cell>
        </row>
        <row r="205">
          <cell r="A205" t="str">
            <v>Automatic PCBA loading/unloading 6</v>
          </cell>
          <cell r="B205" t="str">
            <v>Transport Loader/Unloader</v>
          </cell>
        </row>
        <row r="206">
          <cell r="A206" t="str">
            <v>Automatic PCBA loading/unloading 7</v>
          </cell>
          <cell r="B206" t="str">
            <v>Transport Loader/Unloader</v>
          </cell>
        </row>
        <row r="207">
          <cell r="A207" t="str">
            <v>Automatic PCBA loading/unloading 8</v>
          </cell>
          <cell r="B207" t="str">
            <v>Transport Loader/Unloader</v>
          </cell>
        </row>
        <row r="208">
          <cell r="A208" t="str">
            <v>Automatic PCBA loading/unloading 9</v>
          </cell>
          <cell r="B208" t="str">
            <v>Transport Loader/Unloader</v>
          </cell>
        </row>
        <row r="209">
          <cell r="A209" t="str">
            <v>Automatic PCBA loading/unloading 10</v>
          </cell>
          <cell r="B209" t="str">
            <v>Transport Loader/Unloader</v>
          </cell>
        </row>
        <row r="210">
          <cell r="A210" t="str">
            <v>Automatic PCBA loading/unloading 11</v>
          </cell>
          <cell r="B210" t="str">
            <v>Transport Loader/Unloader</v>
          </cell>
        </row>
        <row r="211">
          <cell r="A211" t="str">
            <v>Automatic PCBA loading/unloading 12</v>
          </cell>
          <cell r="B211" t="str">
            <v>Transport Loader/Unloader</v>
          </cell>
        </row>
        <row r="212">
          <cell r="A212" t="str">
            <v>Automatic PCBA loading/unloading 13</v>
          </cell>
          <cell r="B212" t="str">
            <v>Transport Loader/Unloader</v>
          </cell>
        </row>
        <row r="213">
          <cell r="A213" t="str">
            <v>Automatic PCBA loading/unloading 14</v>
          </cell>
          <cell r="B213" t="str">
            <v>Transport Loader/Unloader</v>
          </cell>
        </row>
        <row r="214">
          <cell r="A214" t="str">
            <v>Automatic PCBA loading/unloading 15</v>
          </cell>
          <cell r="B214" t="str">
            <v>Transport Loader/Unloader</v>
          </cell>
        </row>
        <row r="215">
          <cell r="A215" t="str">
            <v>Automatic PCBA loading/unloading 16</v>
          </cell>
          <cell r="B215" t="str">
            <v>Transport Loader/Unloader</v>
          </cell>
        </row>
        <row r="216">
          <cell r="A216" t="str">
            <v>Automatic PCBA loading/unloading 17</v>
          </cell>
          <cell r="B216" t="str">
            <v>Transport Loader/Unloader</v>
          </cell>
        </row>
        <row r="217">
          <cell r="A217" t="str">
            <v>Automatic PCBA loading/unloading 18</v>
          </cell>
          <cell r="B217" t="str">
            <v>Transport Loader/Unloader</v>
          </cell>
        </row>
        <row r="218">
          <cell r="A218" t="str">
            <v>Automatic PCBA loading/unloading 19</v>
          </cell>
          <cell r="B218" t="str">
            <v>Transport Loader/Unloader</v>
          </cell>
        </row>
        <row r="219">
          <cell r="A219" t="str">
            <v>Automatic PCBA loading/unloading 20</v>
          </cell>
          <cell r="B219" t="str">
            <v>Transport Loader/Unloader</v>
          </cell>
        </row>
        <row r="220">
          <cell r="A220" t="str">
            <v>Automatic PCBA-Carrier loading/unloading 1</v>
          </cell>
          <cell r="B220" t="str">
            <v>Transport Loader/Unloader</v>
          </cell>
        </row>
        <row r="221">
          <cell r="A221" t="str">
            <v>Automatic PCBA-Carrier loading/unloading 2</v>
          </cell>
          <cell r="B221" t="str">
            <v>Transport Loader/Unloader</v>
          </cell>
        </row>
        <row r="222">
          <cell r="A222" t="str">
            <v>Automatic PCBA-Carrier loading/unloading 3</v>
          </cell>
          <cell r="B222" t="str">
            <v>Transport Loader/Unloader</v>
          </cell>
        </row>
        <row r="223">
          <cell r="A223" t="str">
            <v>Automatic PCBA-Carrier loading/unloading 4</v>
          </cell>
          <cell r="B223" t="str">
            <v>Transport Loader/Unloader</v>
          </cell>
        </row>
        <row r="224">
          <cell r="A224" t="str">
            <v>Automatic PCBA-Carrier loading/unloading 5</v>
          </cell>
          <cell r="B224" t="str">
            <v>Transport Loader/Unloader</v>
          </cell>
        </row>
        <row r="225">
          <cell r="A225" t="str">
            <v>Automatic PCBA-Carrier loading/unloading 6</v>
          </cell>
          <cell r="B225" t="str">
            <v>Transport Loader/Unloader</v>
          </cell>
        </row>
        <row r="226">
          <cell r="A226" t="str">
            <v>Automatic PCBA-Carrier loading/unloading 7</v>
          </cell>
          <cell r="B226" t="str">
            <v>Transport Loader/Unloader</v>
          </cell>
        </row>
        <row r="227">
          <cell r="A227" t="str">
            <v>Automatic PCBA-Carrier loading/unloading 8</v>
          </cell>
          <cell r="B227" t="str">
            <v>Transport Loader/Unloader</v>
          </cell>
        </row>
        <row r="228">
          <cell r="A228" t="str">
            <v>Automatic PCBA-Carrier loading/unloading 9</v>
          </cell>
          <cell r="B228" t="str">
            <v>Transport Loader/Unloader</v>
          </cell>
        </row>
        <row r="229">
          <cell r="A229" t="str">
            <v>Automatic PCBA-Carrier loading/unloading 10</v>
          </cell>
          <cell r="B229" t="str">
            <v>Transport Loader/Unloader</v>
          </cell>
        </row>
        <row r="230">
          <cell r="A230" t="str">
            <v>Automatic PCBA-Carrier loading/unloading 11</v>
          </cell>
          <cell r="B230" t="str">
            <v>Transport Loader/Unloader</v>
          </cell>
        </row>
        <row r="231">
          <cell r="A231" t="str">
            <v>Automatic PCBA-Carrier loading/unloading12</v>
          </cell>
          <cell r="B231" t="str">
            <v>Transport Loader/Unloader</v>
          </cell>
        </row>
        <row r="232">
          <cell r="A232" t="str">
            <v>AXI 1</v>
          </cell>
          <cell r="B232" t="str">
            <v>Automatic X-ray Inspection</v>
          </cell>
        </row>
        <row r="233">
          <cell r="A233" t="str">
            <v>AXI 2</v>
          </cell>
          <cell r="B233" t="str">
            <v>Automatic X-ray Inspection</v>
          </cell>
        </row>
        <row r="234">
          <cell r="A234" t="str">
            <v>AXI 3</v>
          </cell>
          <cell r="B234" t="str">
            <v>Automatic X-ray Inspection</v>
          </cell>
        </row>
        <row r="235">
          <cell r="A235" t="str">
            <v>AXI 4</v>
          </cell>
          <cell r="B235" t="str">
            <v>Automatic X-ray Inspection</v>
          </cell>
        </row>
        <row r="236">
          <cell r="A236" t="str">
            <v>AXI 5</v>
          </cell>
          <cell r="B236" t="str">
            <v>Automatic X-ray Inspection</v>
          </cell>
        </row>
        <row r="237">
          <cell r="A237" t="str">
            <v>AXI 6</v>
          </cell>
          <cell r="B237" t="str">
            <v>Automatic X-ray Inspection</v>
          </cell>
        </row>
        <row r="238">
          <cell r="A238" t="str">
            <v>AXI 7</v>
          </cell>
          <cell r="B238" t="str">
            <v>Automatic X-ray Inspection</v>
          </cell>
        </row>
        <row r="239">
          <cell r="A239" t="str">
            <v>AXI 8</v>
          </cell>
          <cell r="B239" t="str">
            <v>Automatic X-ray Inspection</v>
          </cell>
        </row>
        <row r="240">
          <cell r="A240" t="str">
            <v>AXI 9</v>
          </cell>
          <cell r="B240" t="str">
            <v>Automatic X-ray Inspection</v>
          </cell>
        </row>
        <row r="241">
          <cell r="A241" t="str">
            <v>AXI 10</v>
          </cell>
          <cell r="B241" t="str">
            <v>Automatic X-ray Inspection</v>
          </cell>
        </row>
        <row r="242">
          <cell r="A242" t="str">
            <v>AXI 11</v>
          </cell>
          <cell r="B242" t="str">
            <v>Automatic X-ray Inspection</v>
          </cell>
        </row>
        <row r="243">
          <cell r="A243" t="str">
            <v>AXI 12</v>
          </cell>
          <cell r="B243" t="str">
            <v>Automatic X-ray Inspection</v>
          </cell>
        </row>
        <row r="244">
          <cell r="A244" t="str">
            <v>AXI 13</v>
          </cell>
          <cell r="B244" t="str">
            <v>Automatic X-ray Inspection</v>
          </cell>
        </row>
        <row r="245">
          <cell r="A245" t="str">
            <v>AXI 14</v>
          </cell>
          <cell r="B245" t="str">
            <v>Automatic X-ray Inspection</v>
          </cell>
        </row>
        <row r="246">
          <cell r="A246" t="str">
            <v>Conveyor --- Cooling 1</v>
          </cell>
          <cell r="B246" t="str">
            <v>Transport Conveyor</v>
          </cell>
        </row>
        <row r="247">
          <cell r="A247" t="str">
            <v>Conveyor --- Cooling 2</v>
          </cell>
          <cell r="B247" t="str">
            <v>Transport Conveyor</v>
          </cell>
        </row>
        <row r="248">
          <cell r="A248" t="str">
            <v>Conveyor --- Cooling 3</v>
          </cell>
          <cell r="B248" t="str">
            <v>Transport Conveyor</v>
          </cell>
        </row>
        <row r="249">
          <cell r="A249" t="str">
            <v>Conveyor --- Cooling 4</v>
          </cell>
          <cell r="B249" t="str">
            <v>Transport Conveyor</v>
          </cell>
        </row>
        <row r="250">
          <cell r="A250" t="str">
            <v>Conveyor --- Cooling 5</v>
          </cell>
          <cell r="B250" t="str">
            <v>Transport Conveyor</v>
          </cell>
        </row>
        <row r="251">
          <cell r="A251" t="str">
            <v>Conveyor --- Cooling 6</v>
          </cell>
          <cell r="B251" t="str">
            <v>Transport Conveyor</v>
          </cell>
        </row>
        <row r="252">
          <cell r="A252" t="str">
            <v>Conveyor --- Cooling 7</v>
          </cell>
          <cell r="B252" t="str">
            <v>Transport Conveyor</v>
          </cell>
        </row>
        <row r="253">
          <cell r="A253" t="str">
            <v>Conveyor --- Cooling 8</v>
          </cell>
          <cell r="B253" t="str">
            <v>Transport Conveyor</v>
          </cell>
        </row>
        <row r="254">
          <cell r="A254" t="str">
            <v>Conveyor --- Cooling 9</v>
          </cell>
          <cell r="B254" t="str">
            <v>Transport Conveyor</v>
          </cell>
        </row>
        <row r="255">
          <cell r="A255" t="str">
            <v>Conveyor --- Cooling 10</v>
          </cell>
          <cell r="B255" t="str">
            <v>Transport Conveyor</v>
          </cell>
        </row>
        <row r="256">
          <cell r="A256" t="str">
            <v>Conveyor --- Cooling 11</v>
          </cell>
          <cell r="B256" t="str">
            <v>Transport Conveyor</v>
          </cell>
        </row>
        <row r="257">
          <cell r="A257" t="str">
            <v>Conveyor --- Cooling 12</v>
          </cell>
          <cell r="B257" t="str">
            <v>Transport Conveyor</v>
          </cell>
        </row>
        <row r="258">
          <cell r="A258" t="str">
            <v>Conveyor --- Cooling 13</v>
          </cell>
          <cell r="B258" t="str">
            <v>Transport Conveyor</v>
          </cell>
        </row>
        <row r="259">
          <cell r="A259" t="str">
            <v>Conveyor --- Cooling 14</v>
          </cell>
          <cell r="B259" t="str">
            <v>Transport Conveyor</v>
          </cell>
        </row>
        <row r="260">
          <cell r="A260" t="str">
            <v>Conveyor --- Cooling 15</v>
          </cell>
          <cell r="B260" t="str">
            <v>Transport Conveyor</v>
          </cell>
        </row>
        <row r="261">
          <cell r="A261" t="str">
            <v>Conveyor --- Cooling 16</v>
          </cell>
          <cell r="B261" t="str">
            <v>Transport Conveyor</v>
          </cell>
        </row>
        <row r="262">
          <cell r="A262" t="str">
            <v>Conveyor --- Cooling 17</v>
          </cell>
          <cell r="B262" t="str">
            <v>Transport Conveyor</v>
          </cell>
        </row>
        <row r="263">
          <cell r="A263" t="str">
            <v>Conveyor --- Cooling 18</v>
          </cell>
          <cell r="B263" t="str">
            <v>Transport Conveyor</v>
          </cell>
        </row>
        <row r="264">
          <cell r="A264" t="str">
            <v>Conveyor --- Cooling 19</v>
          </cell>
          <cell r="B264" t="str">
            <v>Transport Conveyor</v>
          </cell>
        </row>
        <row r="265">
          <cell r="A265" t="str">
            <v>Conveyor --- Cooling 20</v>
          </cell>
          <cell r="B265" t="str">
            <v>Transport Conveyor</v>
          </cell>
        </row>
        <row r="266">
          <cell r="A266" t="str">
            <v>Conveyor --- Cooling 1 Dual Lane</v>
          </cell>
          <cell r="B266" t="str">
            <v>Transport Conveyor</v>
          </cell>
        </row>
        <row r="267">
          <cell r="A267" t="str">
            <v>Conveyor --- Cooling 10 Dual Lane</v>
          </cell>
          <cell r="B267" t="str">
            <v>Transport Conveyor</v>
          </cell>
        </row>
        <row r="268">
          <cell r="A268" t="str">
            <v>Conveyor --- Cooling 11 Dual Lane</v>
          </cell>
          <cell r="B268" t="str">
            <v>Transport Conveyor</v>
          </cell>
        </row>
        <row r="269">
          <cell r="A269" t="str">
            <v>Conveyor --- Cooling 12 Dual Lane</v>
          </cell>
          <cell r="B269" t="str">
            <v>Transport Conveyor</v>
          </cell>
        </row>
        <row r="270">
          <cell r="A270" t="str">
            <v>Conveyor --- Cooling 13 Dual Lane</v>
          </cell>
          <cell r="B270" t="str">
            <v>Transport Conveyor</v>
          </cell>
        </row>
        <row r="271">
          <cell r="A271" t="str">
            <v>Conveyor --- Cooling 14 Dual Lane</v>
          </cell>
          <cell r="B271" t="str">
            <v>Transport Conveyor</v>
          </cell>
        </row>
        <row r="272">
          <cell r="A272" t="str">
            <v>Conveyor --- Cooling 15 Dual Lane</v>
          </cell>
          <cell r="B272" t="str">
            <v>Transport Conveyor</v>
          </cell>
        </row>
        <row r="273">
          <cell r="A273" t="str">
            <v>Conveyor --- Cooling 16 Dual Lane</v>
          </cell>
          <cell r="B273" t="str">
            <v>Transport Conveyor</v>
          </cell>
        </row>
        <row r="274">
          <cell r="A274" t="str">
            <v>Conveyor --- Cooling 17 Dual Lane</v>
          </cell>
          <cell r="B274" t="str">
            <v>Transport Conveyor</v>
          </cell>
        </row>
        <row r="275">
          <cell r="A275" t="str">
            <v>Conveyor --- Cooling 18 Dual Lane</v>
          </cell>
          <cell r="B275" t="str">
            <v>Transport Conveyor</v>
          </cell>
        </row>
        <row r="276">
          <cell r="A276" t="str">
            <v>Conveyor --- Cooling 19 Dual Lane</v>
          </cell>
          <cell r="B276" t="str">
            <v>Transport Conveyor</v>
          </cell>
        </row>
        <row r="277">
          <cell r="A277" t="str">
            <v>Conveyor --- Cooling 2 Dual Lane</v>
          </cell>
          <cell r="B277" t="str">
            <v>Transport Conveyor</v>
          </cell>
        </row>
        <row r="278">
          <cell r="A278" t="str">
            <v>Conveyor --- Cooling 20 Dual Lane</v>
          </cell>
          <cell r="B278" t="str">
            <v>Transport Conveyor</v>
          </cell>
        </row>
        <row r="279">
          <cell r="A279" t="str">
            <v>Conveyor --- Cooling 3 Dual Lane</v>
          </cell>
          <cell r="B279" t="str">
            <v>Transport Conveyor</v>
          </cell>
        </row>
        <row r="280">
          <cell r="A280" t="str">
            <v>Conveyor --- Cooling 4 Dual Lane</v>
          </cell>
          <cell r="B280" t="str">
            <v>Transport Conveyor</v>
          </cell>
        </row>
        <row r="281">
          <cell r="A281" t="str">
            <v>Conveyor --- Cooling 5 Dual Lane</v>
          </cell>
          <cell r="B281" t="str">
            <v>Transport Conveyor</v>
          </cell>
        </row>
        <row r="282">
          <cell r="A282" t="str">
            <v>Conveyor --- Cooling 6 Dual Lane</v>
          </cell>
          <cell r="B282" t="str">
            <v>Transport Conveyor</v>
          </cell>
        </row>
        <row r="283">
          <cell r="A283" t="str">
            <v>Conveyor --- Cooling 7 Dual Lane</v>
          </cell>
          <cell r="B283" t="str">
            <v>Transport Conveyor</v>
          </cell>
        </row>
        <row r="284">
          <cell r="A284" t="str">
            <v>Conveyor --- Cooling 8 Dual Lane</v>
          </cell>
          <cell r="B284" t="str">
            <v>Transport Conveyor</v>
          </cell>
        </row>
        <row r="285">
          <cell r="A285" t="str">
            <v>Conveyor --- Cooling 9 Dual Lane</v>
          </cell>
          <cell r="B285" t="str">
            <v>Transport Conveyor</v>
          </cell>
        </row>
        <row r="286">
          <cell r="A286" t="str">
            <v>Conveyor --- Dual 1</v>
          </cell>
          <cell r="B286" t="str">
            <v>Transport Conveyor</v>
          </cell>
        </row>
        <row r="287">
          <cell r="A287" t="str">
            <v>Conveyor --- Dual 2</v>
          </cell>
          <cell r="B287" t="str">
            <v>Transport Conveyor</v>
          </cell>
        </row>
        <row r="288">
          <cell r="A288" t="str">
            <v>Conveyor --- Dual 3</v>
          </cell>
          <cell r="B288" t="str">
            <v>Transport Conveyor</v>
          </cell>
        </row>
        <row r="289">
          <cell r="A289" t="str">
            <v>Conveyor --- Dual 4</v>
          </cell>
          <cell r="B289" t="str">
            <v>Transport Conveyor</v>
          </cell>
        </row>
        <row r="290">
          <cell r="A290" t="str">
            <v>Conveyor --- Dual 5</v>
          </cell>
          <cell r="B290" t="str">
            <v>Transport Conveyor</v>
          </cell>
        </row>
        <row r="291">
          <cell r="A291" t="str">
            <v>Conveyor --- Dual 6</v>
          </cell>
          <cell r="B291" t="str">
            <v>Transport Conveyor</v>
          </cell>
        </row>
        <row r="292">
          <cell r="A292" t="str">
            <v>Conveyor --- Dual 7</v>
          </cell>
          <cell r="B292" t="str">
            <v>Transport Conveyor</v>
          </cell>
        </row>
        <row r="293">
          <cell r="A293" t="str">
            <v>Conveyor --- Dual 8</v>
          </cell>
          <cell r="B293" t="str">
            <v>Transport Conveyor</v>
          </cell>
        </row>
        <row r="294">
          <cell r="A294" t="str">
            <v>Conveyor --- Dual 9</v>
          </cell>
          <cell r="B294" t="str">
            <v>Transport Conveyor</v>
          </cell>
        </row>
        <row r="295">
          <cell r="A295" t="str">
            <v>Conveyor --- Dual 10</v>
          </cell>
          <cell r="B295" t="str">
            <v>Transport Conveyor</v>
          </cell>
        </row>
        <row r="296">
          <cell r="A296" t="str">
            <v>Conveyor --- Dual 11</v>
          </cell>
          <cell r="B296" t="str">
            <v>Transport Conveyor</v>
          </cell>
        </row>
        <row r="297">
          <cell r="A297" t="str">
            <v>Conveyor --- Dual 12</v>
          </cell>
          <cell r="B297" t="str">
            <v>Transport Conveyor</v>
          </cell>
        </row>
        <row r="298">
          <cell r="A298" t="str">
            <v>Conveyor --- Dual 13</v>
          </cell>
          <cell r="B298" t="str">
            <v>Transport Conveyor</v>
          </cell>
        </row>
        <row r="299">
          <cell r="A299" t="str">
            <v>Conveyor --- Dual 14</v>
          </cell>
          <cell r="B299" t="str">
            <v>Transport Conveyor</v>
          </cell>
        </row>
        <row r="300">
          <cell r="A300" t="str">
            <v>Conveyor --- Dual 15</v>
          </cell>
          <cell r="B300" t="str">
            <v>Transport Conveyor</v>
          </cell>
        </row>
        <row r="301">
          <cell r="A301" t="str">
            <v>Conveyor --- Dual 16</v>
          </cell>
          <cell r="B301" t="str">
            <v>Transport Conveyor</v>
          </cell>
        </row>
        <row r="302">
          <cell r="A302" t="str">
            <v>Conveyor --- Dual 17</v>
          </cell>
          <cell r="B302" t="str">
            <v>Transport Conveyor</v>
          </cell>
        </row>
        <row r="303">
          <cell r="A303" t="str">
            <v>Conveyor --- Dual 18</v>
          </cell>
          <cell r="B303" t="str">
            <v>Transport Conveyor</v>
          </cell>
        </row>
        <row r="304">
          <cell r="A304" t="str">
            <v>Conveyor --- Dual 19</v>
          </cell>
          <cell r="B304" t="str">
            <v>Transport Conveyor</v>
          </cell>
        </row>
        <row r="305">
          <cell r="A305" t="str">
            <v>Conveyor --- Dual 20</v>
          </cell>
          <cell r="B305" t="str">
            <v>Transport Conveyor</v>
          </cell>
        </row>
        <row r="306">
          <cell r="A306" t="str">
            <v>Conveyor --- Flat belt 1</v>
          </cell>
          <cell r="B306" t="str">
            <v>Transport Conveyor</v>
          </cell>
        </row>
        <row r="307">
          <cell r="A307" t="str">
            <v>Conveyor --- Flat belt 2</v>
          </cell>
          <cell r="B307" t="str">
            <v>Transport Conveyor</v>
          </cell>
        </row>
        <row r="308">
          <cell r="A308" t="str">
            <v>Conveyor --- Flat belt 3</v>
          </cell>
          <cell r="B308" t="str">
            <v>Transport Conveyor</v>
          </cell>
        </row>
        <row r="309">
          <cell r="A309" t="str">
            <v>Conveyor --- Flat belt 4</v>
          </cell>
          <cell r="B309" t="str">
            <v>Transport Conveyor</v>
          </cell>
        </row>
        <row r="310">
          <cell r="A310" t="str">
            <v>Conveyor --- Flat belt 5</v>
          </cell>
          <cell r="B310" t="str">
            <v>Transport Conveyor</v>
          </cell>
        </row>
        <row r="311">
          <cell r="A311" t="str">
            <v>Conveyor --- Flat belt 6</v>
          </cell>
          <cell r="B311" t="str">
            <v>Transport Conveyor</v>
          </cell>
        </row>
        <row r="312">
          <cell r="A312" t="str">
            <v>Conveyor --- Flat belt 7</v>
          </cell>
          <cell r="B312" t="str">
            <v>Transport Conveyor</v>
          </cell>
        </row>
        <row r="313">
          <cell r="A313" t="str">
            <v>Conveyor --- Flat belt 8</v>
          </cell>
          <cell r="B313" t="str">
            <v>Transport Conveyor</v>
          </cell>
        </row>
        <row r="314">
          <cell r="A314" t="str">
            <v>Conveyor --- Flat belt 9</v>
          </cell>
          <cell r="B314" t="str">
            <v>Transport Conveyor</v>
          </cell>
        </row>
        <row r="315">
          <cell r="A315" t="str">
            <v>Conveyor --- Flat belt 10</v>
          </cell>
          <cell r="B315" t="str">
            <v>Transport Conveyor</v>
          </cell>
        </row>
        <row r="316">
          <cell r="A316" t="str">
            <v>Conveyor --- Flipper 180˚ 1</v>
          </cell>
          <cell r="B316" t="str">
            <v>Transport Flipper</v>
          </cell>
        </row>
        <row r="317">
          <cell r="A317" t="str">
            <v>Conveyor --- Flipper 180˚ 2</v>
          </cell>
          <cell r="B317" t="str">
            <v>Transport Flipper</v>
          </cell>
        </row>
        <row r="318">
          <cell r="A318" t="str">
            <v>Conveyor --- Flipper 180˚ 3</v>
          </cell>
          <cell r="B318" t="str">
            <v>Transport Flipper</v>
          </cell>
        </row>
        <row r="319">
          <cell r="A319" t="str">
            <v>Conveyor --- Flipper 180˚ 4</v>
          </cell>
          <cell r="B319" t="str">
            <v>Transport Flipper</v>
          </cell>
        </row>
        <row r="320">
          <cell r="A320" t="str">
            <v>Conveyor --- Flipper 180˚ 5</v>
          </cell>
          <cell r="B320" t="str">
            <v>Transport Flipper</v>
          </cell>
        </row>
        <row r="321">
          <cell r="A321" t="str">
            <v>Conveyor --- Flipper 180˚ 6</v>
          </cell>
          <cell r="B321" t="str">
            <v>Transport Flipper</v>
          </cell>
        </row>
        <row r="322">
          <cell r="A322" t="str">
            <v>Conveyor --- Flipper 180˚ 7</v>
          </cell>
          <cell r="B322" t="str">
            <v>Transport Flipper</v>
          </cell>
        </row>
        <row r="323">
          <cell r="A323" t="str">
            <v>Conveyor --- Flipper 180˚ 8</v>
          </cell>
          <cell r="B323" t="str">
            <v>Transport Flipper</v>
          </cell>
        </row>
        <row r="324">
          <cell r="A324" t="str">
            <v>Conveyor --- Flipper 180˚ 9</v>
          </cell>
          <cell r="B324" t="str">
            <v>Transport Flipper</v>
          </cell>
        </row>
        <row r="325">
          <cell r="A325" t="str">
            <v>Conveyor --- Flipper 180˚ 10</v>
          </cell>
          <cell r="B325" t="str">
            <v>Transport Flipper</v>
          </cell>
        </row>
        <row r="326">
          <cell r="A326" t="str">
            <v>Conveyor --- Flipper 180˚ 11</v>
          </cell>
          <cell r="B326" t="str">
            <v>Transport Flipper</v>
          </cell>
        </row>
        <row r="327">
          <cell r="A327" t="str">
            <v>Conveyor --- Flipper 180˚ 12</v>
          </cell>
          <cell r="B327" t="str">
            <v>Transport Flipper</v>
          </cell>
        </row>
        <row r="328">
          <cell r="A328" t="str">
            <v>Conveyor --- Flipper 180˚ 13</v>
          </cell>
          <cell r="B328" t="str">
            <v>Transport Flipper</v>
          </cell>
        </row>
        <row r="329">
          <cell r="A329" t="str">
            <v>Conveyor --- Flipper 180˚ 14</v>
          </cell>
          <cell r="B329" t="str">
            <v>Transport Flipper</v>
          </cell>
        </row>
        <row r="330">
          <cell r="A330" t="str">
            <v>Conveyor --- Flipper 180˚ 15</v>
          </cell>
          <cell r="B330" t="str">
            <v>Transport Flipper</v>
          </cell>
        </row>
        <row r="331">
          <cell r="A331" t="str">
            <v>Conveyor --- Flipper 180˚ 16</v>
          </cell>
          <cell r="B331" t="str">
            <v>Transport Flipper</v>
          </cell>
        </row>
        <row r="332">
          <cell r="A332" t="str">
            <v>Conveyor --- Flipper 180˚ 17</v>
          </cell>
          <cell r="B332" t="str">
            <v>Transport Flipper</v>
          </cell>
        </row>
        <row r="333">
          <cell r="A333" t="str">
            <v>Conveyor --- Flipper 180˚ 18</v>
          </cell>
          <cell r="B333" t="str">
            <v>Transport Flipper</v>
          </cell>
        </row>
        <row r="334">
          <cell r="A334" t="str">
            <v>Conveyor --- Flipper 180˚ 19</v>
          </cell>
          <cell r="B334" t="str">
            <v>Transport Flipper</v>
          </cell>
        </row>
        <row r="335">
          <cell r="A335" t="str">
            <v>Conveyor --- Flipper 180˚ 20</v>
          </cell>
          <cell r="B335" t="str">
            <v>Transport Flipper</v>
          </cell>
        </row>
        <row r="336">
          <cell r="A336" t="str">
            <v>Conveyor --- Flipper 180˚ 21</v>
          </cell>
          <cell r="B336" t="str">
            <v>Transport Flipper</v>
          </cell>
        </row>
        <row r="337">
          <cell r="A337" t="str">
            <v>Conveyor --- Flipper 180˚ 22</v>
          </cell>
          <cell r="B337" t="str">
            <v>Transport Flipper</v>
          </cell>
        </row>
        <row r="338">
          <cell r="A338" t="str">
            <v>Conveyor --- Flipper 180˚ 23</v>
          </cell>
          <cell r="B338" t="str">
            <v>Transport Flipper</v>
          </cell>
        </row>
        <row r="339">
          <cell r="A339" t="str">
            <v>Conveyor --- Flipper 180˚ 24</v>
          </cell>
          <cell r="B339" t="str">
            <v>Transport Flipper</v>
          </cell>
        </row>
        <row r="340">
          <cell r="A340" t="str">
            <v>Conveyor --- Flipper 180˚ 25</v>
          </cell>
          <cell r="B340" t="str">
            <v>Transport Flipper</v>
          </cell>
        </row>
        <row r="341">
          <cell r="A341" t="str">
            <v>Conveyor --- Flipper 180˚ 26</v>
          </cell>
          <cell r="B341" t="str">
            <v>Transport Flipper</v>
          </cell>
        </row>
        <row r="342">
          <cell r="A342" t="str">
            <v>Conveyor --- Flipper 180˚ 27</v>
          </cell>
          <cell r="B342" t="str">
            <v>Transport Flipper</v>
          </cell>
        </row>
        <row r="343">
          <cell r="A343" t="str">
            <v>Conveyor --- Flipper 180˚ 28</v>
          </cell>
          <cell r="B343" t="str">
            <v>Transport Flipper</v>
          </cell>
        </row>
        <row r="344">
          <cell r="A344" t="str">
            <v>Conveyor --- Flipper 180˚ 29</v>
          </cell>
          <cell r="B344" t="str">
            <v>Transport Flipper</v>
          </cell>
        </row>
        <row r="345">
          <cell r="A345" t="str">
            <v>Conveyor --- Flipper 180˚ 30</v>
          </cell>
          <cell r="B345" t="str">
            <v>Transport Flipper</v>
          </cell>
        </row>
        <row r="346">
          <cell r="A346" t="str">
            <v>Conveyor --- Flipper 180˚ 31</v>
          </cell>
          <cell r="B346" t="str">
            <v>Transport Flipper</v>
          </cell>
        </row>
        <row r="347">
          <cell r="A347" t="str">
            <v>Conveyor --- Flipper 180˚ 32</v>
          </cell>
          <cell r="B347" t="str">
            <v>Transport Flipper</v>
          </cell>
        </row>
        <row r="348">
          <cell r="A348" t="str">
            <v>Conveyor --- Flipper 180˚ 33</v>
          </cell>
          <cell r="B348" t="str">
            <v>Transport Flipper</v>
          </cell>
        </row>
        <row r="349">
          <cell r="A349" t="str">
            <v>Conveyor --- Flipper 180˚ 34</v>
          </cell>
          <cell r="B349" t="str">
            <v>Transport Flipper</v>
          </cell>
        </row>
        <row r="350">
          <cell r="A350" t="str">
            <v>Conveyor --- Flipper 180˚ 35</v>
          </cell>
          <cell r="B350" t="str">
            <v>Transport Flipper</v>
          </cell>
        </row>
        <row r="351">
          <cell r="A351" t="str">
            <v>Conveyor --- Flipper 180˚ 36</v>
          </cell>
          <cell r="B351" t="str">
            <v>Transport Flipper</v>
          </cell>
        </row>
        <row r="352">
          <cell r="A352" t="str">
            <v>Conveyor --- Flipper 180˚ 37</v>
          </cell>
          <cell r="B352" t="str">
            <v>Transport Flipper</v>
          </cell>
        </row>
        <row r="353">
          <cell r="A353" t="str">
            <v>Conveyor --- Flipper 180˚ 38</v>
          </cell>
          <cell r="B353" t="str">
            <v>Transport Flipper</v>
          </cell>
        </row>
        <row r="354">
          <cell r="A354" t="str">
            <v>Conveyor --- Flipper 180˚ 39</v>
          </cell>
          <cell r="B354" t="str">
            <v>Transport Flipper</v>
          </cell>
        </row>
        <row r="355">
          <cell r="A355" t="str">
            <v>Conveyor --- Flipper 180˚ 40</v>
          </cell>
          <cell r="B355" t="str">
            <v>Transport Flipper</v>
          </cell>
        </row>
        <row r="356">
          <cell r="A356" t="str">
            <v>Conveyor --- Gate 1</v>
          </cell>
          <cell r="B356" t="str">
            <v>Transport Gate</v>
          </cell>
        </row>
        <row r="357">
          <cell r="A357" t="str">
            <v>Conveyor --- Gate 2</v>
          </cell>
          <cell r="B357" t="str">
            <v>Transport Gate</v>
          </cell>
        </row>
        <row r="358">
          <cell r="A358" t="str">
            <v>Conveyor --- Gate 3</v>
          </cell>
          <cell r="B358" t="str">
            <v>Transport Gate</v>
          </cell>
        </row>
        <row r="359">
          <cell r="A359" t="str">
            <v>Conveyor --- Gate 4</v>
          </cell>
          <cell r="B359" t="str">
            <v>Transport Gate</v>
          </cell>
        </row>
        <row r="360">
          <cell r="A360" t="str">
            <v>Conveyor --- Gate 5</v>
          </cell>
          <cell r="B360" t="str">
            <v>Transport Gate</v>
          </cell>
        </row>
        <row r="361">
          <cell r="A361" t="str">
            <v>Conveyor --- Gate 6</v>
          </cell>
          <cell r="B361" t="str">
            <v>Transport Gate</v>
          </cell>
        </row>
        <row r="362">
          <cell r="A362" t="str">
            <v>Conveyor --- Gate 7</v>
          </cell>
          <cell r="B362" t="str">
            <v>Transport Gate</v>
          </cell>
        </row>
        <row r="363">
          <cell r="A363" t="str">
            <v>Conveyor --- Gate 8</v>
          </cell>
          <cell r="B363" t="str">
            <v>Transport Gate</v>
          </cell>
        </row>
        <row r="364">
          <cell r="A364" t="str">
            <v>Conveyor --- Gate 9</v>
          </cell>
          <cell r="B364" t="str">
            <v>Transport Gate</v>
          </cell>
        </row>
        <row r="365">
          <cell r="A365" t="str">
            <v>Conveyor --- Gate 10</v>
          </cell>
          <cell r="B365" t="str">
            <v>Transport Gate</v>
          </cell>
        </row>
        <row r="366">
          <cell r="A366" t="str">
            <v>Conveyor --- Gate 11</v>
          </cell>
          <cell r="B366" t="str">
            <v>Transport Gate</v>
          </cell>
        </row>
        <row r="367">
          <cell r="A367" t="str">
            <v>Conveyor --- Gate 12</v>
          </cell>
          <cell r="B367" t="str">
            <v>Transport Gate</v>
          </cell>
        </row>
        <row r="368">
          <cell r="A368" t="str">
            <v>Conveyor --- Gate 13</v>
          </cell>
          <cell r="B368" t="str">
            <v>Transport Gate</v>
          </cell>
        </row>
        <row r="369">
          <cell r="A369" t="str">
            <v>Conveyor --- Gate 14</v>
          </cell>
          <cell r="B369" t="str">
            <v>Transport Gate</v>
          </cell>
        </row>
        <row r="370">
          <cell r="A370" t="str">
            <v>Conveyor --- Gate 15</v>
          </cell>
          <cell r="B370" t="str">
            <v>Transport Gate</v>
          </cell>
        </row>
        <row r="371">
          <cell r="A371" t="str">
            <v>Conveyor --- Gate 16</v>
          </cell>
          <cell r="B371" t="str">
            <v>Transport Gate</v>
          </cell>
        </row>
        <row r="372">
          <cell r="A372" t="str">
            <v>Conveyor --- Gate 17</v>
          </cell>
          <cell r="B372" t="str">
            <v>Transport Gate</v>
          </cell>
        </row>
        <row r="373">
          <cell r="A373" t="str">
            <v>Conveyor --- Gate 18</v>
          </cell>
          <cell r="B373" t="str">
            <v>Transport Gate</v>
          </cell>
        </row>
        <row r="374">
          <cell r="A374" t="str">
            <v>Conveyor --- Gate 19</v>
          </cell>
          <cell r="B374" t="str">
            <v>Transport Gate</v>
          </cell>
        </row>
        <row r="375">
          <cell r="A375" t="str">
            <v>Conveyor --- Gate 20</v>
          </cell>
          <cell r="B375" t="str">
            <v>Transport Gate</v>
          </cell>
        </row>
        <row r="376">
          <cell r="A376" t="str">
            <v>Conveyor --- Gate 21</v>
          </cell>
          <cell r="B376" t="str">
            <v>Transport Gate</v>
          </cell>
        </row>
        <row r="377">
          <cell r="A377" t="str">
            <v>Conveyor --- Gate 22</v>
          </cell>
          <cell r="B377" t="str">
            <v>Transport Gate</v>
          </cell>
        </row>
        <row r="378">
          <cell r="A378" t="str">
            <v>Conveyor --- Gate 23</v>
          </cell>
          <cell r="B378" t="str">
            <v>Transport Gate</v>
          </cell>
        </row>
        <row r="379">
          <cell r="A379" t="str">
            <v>Conveyor --- Gate 24</v>
          </cell>
          <cell r="B379" t="str">
            <v>Transport Gate</v>
          </cell>
        </row>
        <row r="380">
          <cell r="A380" t="str">
            <v>Conveyor --- Gate 25</v>
          </cell>
          <cell r="B380" t="str">
            <v>Transport Gate</v>
          </cell>
        </row>
        <row r="381">
          <cell r="A381" t="str">
            <v>Conveyor --- Gate 26</v>
          </cell>
          <cell r="B381" t="str">
            <v>Transport Gate</v>
          </cell>
        </row>
        <row r="382">
          <cell r="A382" t="str">
            <v>Conveyor --- Gate 27</v>
          </cell>
          <cell r="B382" t="str">
            <v>Transport Gate</v>
          </cell>
        </row>
        <row r="383">
          <cell r="A383" t="str">
            <v>Conveyor --- Gate 28</v>
          </cell>
          <cell r="B383" t="str">
            <v>Transport Gate</v>
          </cell>
        </row>
        <row r="384">
          <cell r="A384" t="str">
            <v>Conveyor --- Gate 29</v>
          </cell>
          <cell r="B384" t="str">
            <v>Transport Gate</v>
          </cell>
        </row>
        <row r="385">
          <cell r="A385" t="str">
            <v>Conveyor --- Gate 30</v>
          </cell>
          <cell r="B385" t="str">
            <v>Transport Gate</v>
          </cell>
        </row>
        <row r="386">
          <cell r="A386" t="str">
            <v>Conveyor --- Gate 31</v>
          </cell>
          <cell r="B386" t="str">
            <v>Transport Gate</v>
          </cell>
        </row>
        <row r="387">
          <cell r="A387" t="str">
            <v>Conveyor --- Gate 32</v>
          </cell>
          <cell r="B387" t="str">
            <v>Transport Gate</v>
          </cell>
        </row>
        <row r="388">
          <cell r="A388" t="str">
            <v>Conveyor --- Gate 33</v>
          </cell>
          <cell r="B388" t="str">
            <v>Transport Gate</v>
          </cell>
        </row>
        <row r="389">
          <cell r="A389" t="str">
            <v>Conveyor --- Gate 34</v>
          </cell>
          <cell r="B389" t="str">
            <v>Transport Gate</v>
          </cell>
        </row>
        <row r="390">
          <cell r="A390" t="str">
            <v>Conveyor --- Gate 35</v>
          </cell>
          <cell r="B390" t="str">
            <v>Transport Gate</v>
          </cell>
        </row>
        <row r="391">
          <cell r="A391" t="str">
            <v>Conveyor --- Gate 36</v>
          </cell>
          <cell r="B391" t="str">
            <v>Transport Gate</v>
          </cell>
        </row>
        <row r="392">
          <cell r="A392" t="str">
            <v>Conveyor --- Gate 37</v>
          </cell>
          <cell r="B392" t="str">
            <v>Transport Gate</v>
          </cell>
        </row>
        <row r="393">
          <cell r="A393" t="str">
            <v>Conveyor --- Gate 38</v>
          </cell>
          <cell r="B393" t="str">
            <v>Transport Gate</v>
          </cell>
        </row>
        <row r="394">
          <cell r="A394" t="str">
            <v>Conveyor --- Gate 39</v>
          </cell>
          <cell r="B394" t="str">
            <v>Transport Gate</v>
          </cell>
        </row>
        <row r="395">
          <cell r="A395" t="str">
            <v>Conveyor --- Gate 40</v>
          </cell>
          <cell r="B395" t="str">
            <v>Transport Gate</v>
          </cell>
        </row>
        <row r="396">
          <cell r="A396" t="str">
            <v>Conveyor --- Gate 41</v>
          </cell>
          <cell r="B396" t="str">
            <v>Transport Gate</v>
          </cell>
        </row>
        <row r="397">
          <cell r="A397" t="str">
            <v>Conveyor --- Gate 42</v>
          </cell>
          <cell r="B397" t="str">
            <v>Transport Gate</v>
          </cell>
        </row>
        <row r="398">
          <cell r="A398" t="str">
            <v>Conveyor --- Gate 43</v>
          </cell>
          <cell r="B398" t="str">
            <v>Transport Gate</v>
          </cell>
        </row>
        <row r="399">
          <cell r="A399" t="str">
            <v>Conveyor --- Gate 44</v>
          </cell>
          <cell r="B399" t="str">
            <v>Transport Gate</v>
          </cell>
        </row>
        <row r="400">
          <cell r="A400" t="str">
            <v>Conveyor --- Gate 45</v>
          </cell>
          <cell r="B400" t="str">
            <v>Transport Gate</v>
          </cell>
        </row>
        <row r="401">
          <cell r="A401" t="str">
            <v>Conveyor --- Gate 46</v>
          </cell>
          <cell r="B401" t="str">
            <v>Transport Gate</v>
          </cell>
        </row>
        <row r="402">
          <cell r="A402" t="str">
            <v>Conveyor --- Gate 47</v>
          </cell>
          <cell r="B402" t="str">
            <v>Transport Gate</v>
          </cell>
        </row>
        <row r="403">
          <cell r="A403" t="str">
            <v>Conveyor --- Gate 48</v>
          </cell>
          <cell r="B403" t="str">
            <v>Transport Gate</v>
          </cell>
        </row>
        <row r="404">
          <cell r="A404" t="str">
            <v>Conveyor --- Gate 49</v>
          </cell>
          <cell r="B404" t="str">
            <v>Transport Gate</v>
          </cell>
        </row>
        <row r="405">
          <cell r="A405" t="str">
            <v>Conveyor --- Gate 50</v>
          </cell>
          <cell r="B405" t="str">
            <v>Transport Gate</v>
          </cell>
        </row>
        <row r="406">
          <cell r="A406" t="str">
            <v>Conveyor --- Gate 51</v>
          </cell>
          <cell r="B406" t="str">
            <v>Transport Gate</v>
          </cell>
        </row>
        <row r="407">
          <cell r="A407" t="str">
            <v>Conveyor --- Gate 52</v>
          </cell>
          <cell r="B407" t="str">
            <v>Transport Gate</v>
          </cell>
        </row>
        <row r="408">
          <cell r="A408" t="str">
            <v>Conveyor --- Gate 53</v>
          </cell>
          <cell r="B408" t="str">
            <v>Transport Gate</v>
          </cell>
        </row>
        <row r="409">
          <cell r="A409" t="str">
            <v>Conveyor --- Gate 54</v>
          </cell>
          <cell r="B409" t="str">
            <v>Transport Gate</v>
          </cell>
        </row>
        <row r="410">
          <cell r="A410" t="str">
            <v>Conveyor --- Gate 55</v>
          </cell>
          <cell r="B410" t="str">
            <v>Transport Gate</v>
          </cell>
        </row>
        <row r="411">
          <cell r="A411" t="str">
            <v>Conveyor --- Gate 56</v>
          </cell>
          <cell r="B411" t="str">
            <v>Transport Gate</v>
          </cell>
        </row>
        <row r="412">
          <cell r="A412" t="str">
            <v>Conveyor --- Gate 57</v>
          </cell>
          <cell r="B412" t="str">
            <v>Transport Gate</v>
          </cell>
        </row>
        <row r="413">
          <cell r="A413" t="str">
            <v>Conveyor --- Gate 58</v>
          </cell>
          <cell r="B413" t="str">
            <v>Transport Gate</v>
          </cell>
        </row>
        <row r="414">
          <cell r="A414" t="str">
            <v>Conveyor --- Gate 59</v>
          </cell>
          <cell r="B414" t="str">
            <v>Transport Gate</v>
          </cell>
        </row>
        <row r="415">
          <cell r="A415" t="str">
            <v>Conveyor --- Gate 60</v>
          </cell>
          <cell r="B415" t="str">
            <v>Transport Gate</v>
          </cell>
        </row>
        <row r="416">
          <cell r="A416" t="str">
            <v>Conveyor --- Gate 61</v>
          </cell>
          <cell r="B416" t="str">
            <v>Transport Gate</v>
          </cell>
        </row>
        <row r="417">
          <cell r="A417" t="str">
            <v>Conveyor --- Gate 62</v>
          </cell>
          <cell r="B417" t="str">
            <v>Transport Gate</v>
          </cell>
        </row>
        <row r="418">
          <cell r="A418" t="str">
            <v>Conveyor --- Gate 63</v>
          </cell>
          <cell r="B418" t="str">
            <v>Transport Gate</v>
          </cell>
        </row>
        <row r="419">
          <cell r="A419" t="str">
            <v>Conveyor --- Gate 64</v>
          </cell>
          <cell r="B419" t="str">
            <v>Transport Gate</v>
          </cell>
        </row>
        <row r="420">
          <cell r="A420" t="str">
            <v>Conveyor --- Gate 65</v>
          </cell>
          <cell r="B420" t="str">
            <v>Transport Gate</v>
          </cell>
        </row>
        <row r="421">
          <cell r="A421" t="str">
            <v>Conveyor --- Gate 66</v>
          </cell>
          <cell r="B421" t="str">
            <v>Transport Gate</v>
          </cell>
        </row>
        <row r="422">
          <cell r="A422" t="str">
            <v>Conveyor --- Gate 67</v>
          </cell>
          <cell r="B422" t="str">
            <v>Transport Gate</v>
          </cell>
        </row>
        <row r="423">
          <cell r="A423" t="str">
            <v>Conveyor --- Gate 68</v>
          </cell>
          <cell r="B423" t="str">
            <v>Transport Gate</v>
          </cell>
        </row>
        <row r="424">
          <cell r="A424" t="str">
            <v>Conveyor --- Gate 69</v>
          </cell>
          <cell r="B424" t="str">
            <v>Transport Gate</v>
          </cell>
        </row>
        <row r="425">
          <cell r="A425" t="str">
            <v>Conveyor --- Gate 70</v>
          </cell>
          <cell r="B425" t="str">
            <v>Transport Gate</v>
          </cell>
        </row>
        <row r="426">
          <cell r="A426" t="str">
            <v>Conveyor --- Gate 71</v>
          </cell>
          <cell r="B426" t="str">
            <v>Transport Gate</v>
          </cell>
        </row>
        <row r="427">
          <cell r="A427" t="str">
            <v>Conveyor --- Gate 72</v>
          </cell>
          <cell r="B427" t="str">
            <v>Transport Gate</v>
          </cell>
        </row>
        <row r="428">
          <cell r="A428" t="str">
            <v>Conveyor --- Gate 73</v>
          </cell>
          <cell r="B428" t="str">
            <v>Transport Gate</v>
          </cell>
        </row>
        <row r="429">
          <cell r="A429" t="str">
            <v>Conveyor --- Gate 74</v>
          </cell>
          <cell r="B429" t="str">
            <v>Transport Gate</v>
          </cell>
        </row>
        <row r="430">
          <cell r="A430" t="str">
            <v>Conveyor --- Gate 75</v>
          </cell>
          <cell r="B430" t="str">
            <v>Transport Gate</v>
          </cell>
        </row>
        <row r="431">
          <cell r="A431" t="str">
            <v>Conveyor --- Gate 76</v>
          </cell>
          <cell r="B431" t="str">
            <v>Transport Gate</v>
          </cell>
        </row>
        <row r="432">
          <cell r="A432" t="str">
            <v>Conveyor --- Gate 77</v>
          </cell>
          <cell r="B432" t="str">
            <v>Transport Gate</v>
          </cell>
        </row>
        <row r="433">
          <cell r="A433" t="str">
            <v>Conveyor --- Gate 78</v>
          </cell>
          <cell r="B433" t="str">
            <v>Transport Gate</v>
          </cell>
        </row>
        <row r="434">
          <cell r="A434" t="str">
            <v>Conveyor --- Gate 79</v>
          </cell>
          <cell r="B434" t="str">
            <v>Transport Gate</v>
          </cell>
        </row>
        <row r="435">
          <cell r="A435" t="str">
            <v>Conveyor --- Gate 80</v>
          </cell>
          <cell r="B435" t="str">
            <v>Transport Gate</v>
          </cell>
        </row>
        <row r="436">
          <cell r="A436" t="str">
            <v>Conveyor --- Reject 1</v>
          </cell>
          <cell r="B436" t="str">
            <v>Transport reject</v>
          </cell>
        </row>
        <row r="437">
          <cell r="A437" t="str">
            <v>Conveyor --- Reject 2</v>
          </cell>
          <cell r="B437" t="str">
            <v>Transport reject</v>
          </cell>
        </row>
        <row r="438">
          <cell r="A438" t="str">
            <v>Conveyor --- Reject 3</v>
          </cell>
          <cell r="B438" t="str">
            <v>Transport reject</v>
          </cell>
        </row>
        <row r="439">
          <cell r="A439" t="str">
            <v>Conveyor --- Reject 4</v>
          </cell>
          <cell r="B439" t="str">
            <v>Transport reject</v>
          </cell>
        </row>
        <row r="440">
          <cell r="A440" t="str">
            <v>Conveyor --- Reject 5</v>
          </cell>
          <cell r="B440" t="str">
            <v>Transport reject</v>
          </cell>
        </row>
        <row r="441">
          <cell r="A441" t="str">
            <v>Conveyor --- Reject 6</v>
          </cell>
          <cell r="B441" t="str">
            <v>Transport reject</v>
          </cell>
        </row>
        <row r="442">
          <cell r="A442" t="str">
            <v>Conveyor --- Reject 7</v>
          </cell>
          <cell r="B442" t="str">
            <v>Transport reject</v>
          </cell>
        </row>
        <row r="443">
          <cell r="A443" t="str">
            <v>Conveyor --- Reject 8</v>
          </cell>
          <cell r="B443" t="str">
            <v>Transport reject</v>
          </cell>
        </row>
        <row r="444">
          <cell r="A444" t="str">
            <v>Conveyor --- Reject 9</v>
          </cell>
          <cell r="B444" t="str">
            <v>Transport reject</v>
          </cell>
        </row>
        <row r="445">
          <cell r="A445" t="str">
            <v>Conveyor --- Reject 10</v>
          </cell>
          <cell r="B445" t="str">
            <v>Transport reject</v>
          </cell>
        </row>
        <row r="446">
          <cell r="A446" t="str">
            <v>Conveyor --- Reject 11</v>
          </cell>
          <cell r="B446" t="str">
            <v>Transport reject</v>
          </cell>
        </row>
        <row r="447">
          <cell r="A447" t="str">
            <v>Conveyor --- Reject 12</v>
          </cell>
          <cell r="B447" t="str">
            <v>Transport reject</v>
          </cell>
        </row>
        <row r="448">
          <cell r="A448" t="str">
            <v>Conveyor --- Reject 13</v>
          </cell>
          <cell r="B448" t="str">
            <v>Transport reject</v>
          </cell>
        </row>
        <row r="449">
          <cell r="A449" t="str">
            <v>Conveyor --- Reject 14</v>
          </cell>
          <cell r="B449" t="str">
            <v>Transport reject</v>
          </cell>
        </row>
        <row r="450">
          <cell r="A450" t="str">
            <v>Conveyor --- Reject 15</v>
          </cell>
          <cell r="B450" t="str">
            <v>Transport reject</v>
          </cell>
        </row>
        <row r="451">
          <cell r="A451" t="str">
            <v>Conveyor --- Reject 16</v>
          </cell>
          <cell r="B451" t="str">
            <v>Transport reject</v>
          </cell>
        </row>
        <row r="452">
          <cell r="A452" t="str">
            <v>Conveyor --- Reject 17</v>
          </cell>
          <cell r="B452" t="str">
            <v>Transport reject</v>
          </cell>
        </row>
        <row r="453">
          <cell r="A453" t="str">
            <v>Conveyor --- Reject 18</v>
          </cell>
          <cell r="B453" t="str">
            <v>Transport reject</v>
          </cell>
        </row>
        <row r="454">
          <cell r="A454" t="str">
            <v>Conveyor --- Reject 19</v>
          </cell>
          <cell r="B454" t="str">
            <v>Transport reject</v>
          </cell>
        </row>
        <row r="455">
          <cell r="A455" t="str">
            <v>Conveyor --- Reject 20</v>
          </cell>
          <cell r="B455" t="str">
            <v>Transport reject</v>
          </cell>
        </row>
        <row r="456">
          <cell r="A456" t="str">
            <v>Conveyor --- Reject 21</v>
          </cell>
          <cell r="B456" t="str">
            <v>Transport reject</v>
          </cell>
        </row>
        <row r="457">
          <cell r="A457" t="str">
            <v>Conveyor --- Reject 22</v>
          </cell>
          <cell r="B457" t="str">
            <v>Transport reject</v>
          </cell>
        </row>
        <row r="458">
          <cell r="A458" t="str">
            <v>Conveyor --- Reject 23</v>
          </cell>
          <cell r="B458" t="str">
            <v>Transport reject</v>
          </cell>
        </row>
        <row r="459">
          <cell r="A459" t="str">
            <v>Conveyor --- Reject 24</v>
          </cell>
          <cell r="B459" t="str">
            <v>Transport reject</v>
          </cell>
        </row>
        <row r="460">
          <cell r="A460" t="str">
            <v>Conveyor --- Reject 25</v>
          </cell>
          <cell r="B460" t="str">
            <v>Transport reject</v>
          </cell>
        </row>
        <row r="461">
          <cell r="A461" t="str">
            <v>Conveyor --- Reject 26</v>
          </cell>
          <cell r="B461" t="str">
            <v>Transport reject</v>
          </cell>
        </row>
        <row r="462">
          <cell r="A462" t="str">
            <v>Conveyor --- Reject 27</v>
          </cell>
          <cell r="B462" t="str">
            <v>Transport reject</v>
          </cell>
        </row>
        <row r="463">
          <cell r="A463" t="str">
            <v>Conveyor --- Reject 28</v>
          </cell>
          <cell r="B463" t="str">
            <v>Transport reject</v>
          </cell>
        </row>
        <row r="464">
          <cell r="A464" t="str">
            <v>Conveyor --- Reject 29</v>
          </cell>
          <cell r="B464" t="str">
            <v>Transport reject</v>
          </cell>
        </row>
        <row r="465">
          <cell r="A465" t="str">
            <v>Conveyor --- Reject 30</v>
          </cell>
          <cell r="B465" t="str">
            <v>Transport reject</v>
          </cell>
        </row>
        <row r="466">
          <cell r="A466" t="str">
            <v>Conveyor --- Reject 31</v>
          </cell>
          <cell r="B466" t="str">
            <v>Transport reject</v>
          </cell>
        </row>
        <row r="467">
          <cell r="A467" t="str">
            <v>Conveyor --- Reject 32</v>
          </cell>
          <cell r="B467" t="str">
            <v>Transport reject</v>
          </cell>
        </row>
        <row r="468">
          <cell r="A468" t="str">
            <v>Conveyor --- Reject 33</v>
          </cell>
          <cell r="B468" t="str">
            <v>Transport reject</v>
          </cell>
        </row>
        <row r="469">
          <cell r="A469" t="str">
            <v>Conveyor --- Reject 34</v>
          </cell>
          <cell r="B469" t="str">
            <v>Transport reject</v>
          </cell>
        </row>
        <row r="470">
          <cell r="A470" t="str">
            <v>Conveyor --- Reject 35</v>
          </cell>
          <cell r="B470" t="str">
            <v>Transport reject</v>
          </cell>
        </row>
        <row r="471">
          <cell r="A471" t="str">
            <v>Conveyor --- Reject 36</v>
          </cell>
          <cell r="B471" t="str">
            <v>Transport reject</v>
          </cell>
        </row>
        <row r="472">
          <cell r="A472" t="str">
            <v>Conveyor --- Reject 37</v>
          </cell>
          <cell r="B472" t="str">
            <v>Transport reject</v>
          </cell>
        </row>
        <row r="473">
          <cell r="A473" t="str">
            <v>Conveyor --- Reject 38</v>
          </cell>
          <cell r="B473" t="str">
            <v>Transport reject</v>
          </cell>
        </row>
        <row r="474">
          <cell r="A474" t="str">
            <v>Conveyor --- Reject 39</v>
          </cell>
          <cell r="B474" t="str">
            <v>Transport reject</v>
          </cell>
        </row>
        <row r="475">
          <cell r="A475" t="str">
            <v>Conveyor --- Reject 40</v>
          </cell>
          <cell r="B475" t="str">
            <v>Transport reject</v>
          </cell>
        </row>
        <row r="476">
          <cell r="A476" t="str">
            <v>Conveyor --- Reject 41</v>
          </cell>
          <cell r="B476" t="str">
            <v>Transport reject</v>
          </cell>
        </row>
        <row r="477">
          <cell r="A477" t="str">
            <v>Conveyor --- Reject 42</v>
          </cell>
          <cell r="B477" t="str">
            <v>Transport reject</v>
          </cell>
        </row>
        <row r="478">
          <cell r="A478" t="str">
            <v>Conveyor --- Reject 43</v>
          </cell>
          <cell r="B478" t="str">
            <v>Transport reject</v>
          </cell>
        </row>
        <row r="479">
          <cell r="A479" t="str">
            <v>Conveyor --- Reject 44</v>
          </cell>
          <cell r="B479" t="str">
            <v>Transport reject</v>
          </cell>
        </row>
        <row r="480">
          <cell r="A480" t="str">
            <v>Conveyor --- Reject 45</v>
          </cell>
          <cell r="B480" t="str">
            <v>Transport reject</v>
          </cell>
        </row>
        <row r="481">
          <cell r="A481" t="str">
            <v>Conveyor --- Reject 46</v>
          </cell>
          <cell r="B481" t="str">
            <v>Transport reject</v>
          </cell>
        </row>
        <row r="482">
          <cell r="A482" t="str">
            <v>Conveyor --- Reject 47</v>
          </cell>
          <cell r="B482" t="str">
            <v>Transport reject</v>
          </cell>
        </row>
        <row r="483">
          <cell r="A483" t="str">
            <v>Conveyor --- Reject 48</v>
          </cell>
          <cell r="B483" t="str">
            <v>Transport reject</v>
          </cell>
        </row>
        <row r="484">
          <cell r="A484" t="str">
            <v>Conveyor --- Reject 49</v>
          </cell>
          <cell r="B484" t="str">
            <v>Transport reject</v>
          </cell>
        </row>
        <row r="485">
          <cell r="A485" t="str">
            <v>Conveyor --- Reject 50</v>
          </cell>
          <cell r="B485" t="str">
            <v>Transport reject</v>
          </cell>
        </row>
        <row r="486">
          <cell r="A486" t="str">
            <v>Conveyor --- Reject 51</v>
          </cell>
          <cell r="B486" t="str">
            <v>Transport reject</v>
          </cell>
        </row>
        <row r="487">
          <cell r="A487" t="str">
            <v>Conveyor --- Reject 52</v>
          </cell>
          <cell r="B487" t="str">
            <v>Transport reject</v>
          </cell>
        </row>
        <row r="488">
          <cell r="A488" t="str">
            <v>Conveyor --- Reject 53</v>
          </cell>
          <cell r="B488" t="str">
            <v>Transport reject</v>
          </cell>
        </row>
        <row r="489">
          <cell r="A489" t="str">
            <v>Conveyor --- Reject 54</v>
          </cell>
          <cell r="B489" t="str">
            <v>Transport reject</v>
          </cell>
        </row>
        <row r="490">
          <cell r="A490" t="str">
            <v>Conveyor --- Reject 55</v>
          </cell>
          <cell r="B490" t="str">
            <v>Transport reject</v>
          </cell>
        </row>
        <row r="491">
          <cell r="A491" t="str">
            <v>Conveyor --- Reject 56</v>
          </cell>
          <cell r="B491" t="str">
            <v>Transport reject</v>
          </cell>
        </row>
        <row r="492">
          <cell r="A492" t="str">
            <v>Conveyor --- Reject 57</v>
          </cell>
          <cell r="B492" t="str">
            <v>Transport reject</v>
          </cell>
        </row>
        <row r="493">
          <cell r="A493" t="str">
            <v>Conveyor --- Reject 58</v>
          </cell>
          <cell r="B493" t="str">
            <v>Transport reject</v>
          </cell>
        </row>
        <row r="494">
          <cell r="A494" t="str">
            <v>Conveyor --- Reject 59</v>
          </cell>
          <cell r="B494" t="str">
            <v>Transport reject</v>
          </cell>
        </row>
        <row r="495">
          <cell r="A495" t="str">
            <v>Conveyor --- Reject 60</v>
          </cell>
          <cell r="B495" t="str">
            <v>Transport reject</v>
          </cell>
        </row>
        <row r="496">
          <cell r="A496" t="str">
            <v>Conveyor --- Reject 61</v>
          </cell>
          <cell r="B496" t="str">
            <v>Transport reject</v>
          </cell>
        </row>
        <row r="497">
          <cell r="A497" t="str">
            <v>Conveyor --- Reject 62</v>
          </cell>
          <cell r="B497" t="str">
            <v>Transport reject</v>
          </cell>
        </row>
        <row r="498">
          <cell r="A498" t="str">
            <v>Conveyor --- Reject 63</v>
          </cell>
          <cell r="B498" t="str">
            <v>Transport reject</v>
          </cell>
        </row>
        <row r="499">
          <cell r="A499" t="str">
            <v>Conveyor --- Reject 64</v>
          </cell>
          <cell r="B499" t="str">
            <v>Transport reject</v>
          </cell>
        </row>
        <row r="500">
          <cell r="A500" t="str">
            <v>Conveyor --- Reject 65</v>
          </cell>
          <cell r="B500" t="str">
            <v>Transport reject</v>
          </cell>
        </row>
        <row r="501">
          <cell r="A501" t="str">
            <v>Conveyor --- Reject 66</v>
          </cell>
          <cell r="B501" t="str">
            <v>Transport reject</v>
          </cell>
        </row>
        <row r="502">
          <cell r="A502" t="str">
            <v>Conveyor --- Reject 67</v>
          </cell>
          <cell r="B502" t="str">
            <v>Transport reject</v>
          </cell>
        </row>
        <row r="503">
          <cell r="A503" t="str">
            <v>Conveyor --- Reject 68</v>
          </cell>
          <cell r="B503" t="str">
            <v>Transport reject</v>
          </cell>
        </row>
        <row r="504">
          <cell r="A504" t="str">
            <v>Conveyor --- Reject 69</v>
          </cell>
          <cell r="B504" t="str">
            <v>Transport reject</v>
          </cell>
        </row>
        <row r="505">
          <cell r="A505" t="str">
            <v>Conveyor --- Reject 70</v>
          </cell>
          <cell r="B505" t="str">
            <v>Transport reject</v>
          </cell>
        </row>
        <row r="506">
          <cell r="A506" t="str">
            <v>Conveyor --- Reject 71</v>
          </cell>
          <cell r="B506" t="str">
            <v>Transport reject</v>
          </cell>
        </row>
        <row r="507">
          <cell r="A507" t="str">
            <v>Conveyor --- Reject 72</v>
          </cell>
          <cell r="B507" t="str">
            <v>Transport reject</v>
          </cell>
        </row>
        <row r="508">
          <cell r="A508" t="str">
            <v>Conveyor --- Reject 73</v>
          </cell>
          <cell r="B508" t="str">
            <v>Transport reject</v>
          </cell>
        </row>
        <row r="509">
          <cell r="A509" t="str">
            <v>Conveyor --- Reject 74</v>
          </cell>
          <cell r="B509" t="str">
            <v>Transport reject</v>
          </cell>
        </row>
        <row r="510">
          <cell r="A510" t="str">
            <v>Conveyor --- Reject 75</v>
          </cell>
          <cell r="B510" t="str">
            <v>Transport reject</v>
          </cell>
        </row>
        <row r="511">
          <cell r="A511" t="str">
            <v>Conveyor --- Reject 76</v>
          </cell>
          <cell r="B511" t="str">
            <v>Transport reject</v>
          </cell>
        </row>
        <row r="512">
          <cell r="A512" t="str">
            <v>Conveyor --- Reject 77</v>
          </cell>
          <cell r="B512" t="str">
            <v>Transport reject</v>
          </cell>
        </row>
        <row r="513">
          <cell r="A513" t="str">
            <v>Conveyor --- Reject 78</v>
          </cell>
          <cell r="B513" t="str">
            <v>Transport reject</v>
          </cell>
        </row>
        <row r="514">
          <cell r="A514" t="str">
            <v>Conveyor --- Reject 79</v>
          </cell>
          <cell r="B514" t="str">
            <v>Transport reject</v>
          </cell>
        </row>
        <row r="515">
          <cell r="A515" t="str">
            <v>Conveyor --- Reject 80</v>
          </cell>
          <cell r="B515" t="str">
            <v>Transport reject</v>
          </cell>
        </row>
        <row r="516">
          <cell r="A516" t="str">
            <v>Conveyor --- Reject 1 Dual Lane</v>
          </cell>
          <cell r="B516" t="str">
            <v>Transport reject</v>
          </cell>
        </row>
        <row r="517">
          <cell r="A517" t="str">
            <v>Conveyor --- Reject 2 Dual Lane</v>
          </cell>
          <cell r="B517" t="str">
            <v>Transport reject</v>
          </cell>
        </row>
        <row r="518">
          <cell r="A518" t="str">
            <v>Conveyor --- Reject 3 Dual Lane</v>
          </cell>
          <cell r="B518" t="str">
            <v>Transport reject</v>
          </cell>
        </row>
        <row r="519">
          <cell r="A519" t="str">
            <v>Conveyor --- Reject 4 Dual Lane</v>
          </cell>
          <cell r="B519" t="str">
            <v>Transport reject</v>
          </cell>
        </row>
        <row r="520">
          <cell r="A520" t="str">
            <v>Conveyor --- Reject 5 Dual Lane</v>
          </cell>
          <cell r="B520" t="str">
            <v>Transport reject</v>
          </cell>
        </row>
        <row r="521">
          <cell r="A521" t="str">
            <v>Conveyor --- Reject 6 Dual Lane</v>
          </cell>
          <cell r="B521" t="str">
            <v>Transport reject</v>
          </cell>
        </row>
        <row r="522">
          <cell r="A522" t="str">
            <v>Conveyor --- Reject 7 Dual Lane</v>
          </cell>
          <cell r="B522" t="str">
            <v>Transport reject</v>
          </cell>
        </row>
        <row r="523">
          <cell r="A523" t="str">
            <v>Conveyor --- Reject 8 Dual Lane</v>
          </cell>
          <cell r="B523" t="str">
            <v>Transport reject</v>
          </cell>
        </row>
        <row r="524">
          <cell r="A524" t="str">
            <v>Conveyor --- Reject 9 Dual Lane</v>
          </cell>
          <cell r="B524" t="str">
            <v>Transport reject</v>
          </cell>
        </row>
        <row r="525">
          <cell r="A525" t="str">
            <v>Conveyor --- Reject 10 Dual Lane</v>
          </cell>
          <cell r="B525" t="str">
            <v>Transport reject</v>
          </cell>
        </row>
        <row r="526">
          <cell r="A526" t="str">
            <v>Conveyor --- Reject 11 Dual Lane</v>
          </cell>
          <cell r="B526" t="str">
            <v>Transport reject</v>
          </cell>
        </row>
        <row r="527">
          <cell r="A527" t="str">
            <v>Conveyor --- Reject 12 Dual Lane</v>
          </cell>
          <cell r="B527" t="str">
            <v>Transport reject</v>
          </cell>
        </row>
        <row r="528">
          <cell r="A528" t="str">
            <v>Conveyor --- Reject 13 Dual Lane</v>
          </cell>
          <cell r="B528" t="str">
            <v>Transport reject</v>
          </cell>
        </row>
        <row r="529">
          <cell r="A529" t="str">
            <v>Conveyor --- Reject 14 Dual Lane</v>
          </cell>
          <cell r="B529" t="str">
            <v>Transport reject</v>
          </cell>
        </row>
        <row r="530">
          <cell r="A530" t="str">
            <v>Conveyor --- Reject 15 Dual Lane</v>
          </cell>
          <cell r="B530" t="str">
            <v>Transport reject</v>
          </cell>
        </row>
        <row r="531">
          <cell r="A531" t="str">
            <v>Conveyor --- Reject 16 Dual Lane</v>
          </cell>
          <cell r="B531" t="str">
            <v>Transport reject</v>
          </cell>
        </row>
        <row r="532">
          <cell r="A532" t="str">
            <v>Conveyor --- Reject 17 Dual Lane</v>
          </cell>
          <cell r="B532" t="str">
            <v>Transport reject</v>
          </cell>
        </row>
        <row r="533">
          <cell r="A533" t="str">
            <v>Conveyor --- Reject 18 Dual Lane</v>
          </cell>
          <cell r="B533" t="str">
            <v>Transport reject</v>
          </cell>
        </row>
        <row r="534">
          <cell r="A534" t="str">
            <v>Conveyor --- Reject 19 Dual Lane</v>
          </cell>
          <cell r="B534" t="str">
            <v>Transport reject</v>
          </cell>
        </row>
        <row r="535">
          <cell r="A535" t="str">
            <v>Conveyor --- Reject 20 Dual Lane</v>
          </cell>
          <cell r="B535" t="str">
            <v>Transport reject</v>
          </cell>
        </row>
        <row r="536">
          <cell r="A536" t="str">
            <v>Conveyor --- Reject 21 Dual Lane</v>
          </cell>
          <cell r="B536" t="str">
            <v>Transport reject</v>
          </cell>
        </row>
        <row r="537">
          <cell r="A537" t="str">
            <v>Conveyor --- Reject 22 Dual Lane</v>
          </cell>
          <cell r="B537" t="str">
            <v>Transport reject</v>
          </cell>
        </row>
        <row r="538">
          <cell r="A538" t="str">
            <v>Conveyor --- Reject 23 Dual Lane</v>
          </cell>
          <cell r="B538" t="str">
            <v>Transport reject</v>
          </cell>
        </row>
        <row r="539">
          <cell r="A539" t="str">
            <v>Conveyor --- Reject 24 Dual Lane</v>
          </cell>
          <cell r="B539" t="str">
            <v>Transport reject</v>
          </cell>
        </row>
        <row r="540">
          <cell r="A540" t="str">
            <v>Conveyor --- Reject 25 Dual Lane</v>
          </cell>
          <cell r="B540" t="str">
            <v>Transport reject</v>
          </cell>
        </row>
        <row r="541">
          <cell r="A541" t="str">
            <v>Conveyor --- Reject 26 Dual Lane</v>
          </cell>
          <cell r="B541" t="str">
            <v>Transport reject</v>
          </cell>
        </row>
        <row r="542">
          <cell r="A542" t="str">
            <v>Conveyor --- Reject 27 Dual Lane</v>
          </cell>
          <cell r="B542" t="str">
            <v>Transport reject</v>
          </cell>
        </row>
        <row r="543">
          <cell r="A543" t="str">
            <v>Conveyor --- Reject 28 Dual Lane</v>
          </cell>
          <cell r="B543" t="str">
            <v>Transport reject</v>
          </cell>
        </row>
        <row r="544">
          <cell r="A544" t="str">
            <v>Conveyor --- Reject 29 Dual Lane</v>
          </cell>
          <cell r="B544" t="str">
            <v>Transport reject</v>
          </cell>
        </row>
        <row r="545">
          <cell r="A545" t="str">
            <v>Conveyor --- Reject 30 Dual Lane</v>
          </cell>
          <cell r="B545" t="str">
            <v>Transport reject</v>
          </cell>
        </row>
        <row r="546">
          <cell r="A546" t="str">
            <v>Conveyor --- Reject 31 Dual Lane</v>
          </cell>
          <cell r="B546" t="str">
            <v>Transport reject</v>
          </cell>
        </row>
        <row r="547">
          <cell r="A547" t="str">
            <v>Conveyor --- Reject 32 Dual Lane</v>
          </cell>
          <cell r="B547" t="str">
            <v>Transport reject</v>
          </cell>
        </row>
        <row r="548">
          <cell r="A548" t="str">
            <v>Conveyor --- Reject 33 Dual Lane</v>
          </cell>
          <cell r="B548" t="str">
            <v>Transport reject</v>
          </cell>
        </row>
        <row r="549">
          <cell r="A549" t="str">
            <v>Conveyor --- Reject 34 Dual Lane</v>
          </cell>
          <cell r="B549" t="str">
            <v>Transport reject</v>
          </cell>
        </row>
        <row r="550">
          <cell r="A550" t="str">
            <v>Conveyor --- Reject 35 Dual Lane</v>
          </cell>
          <cell r="B550" t="str">
            <v>Transport reject</v>
          </cell>
        </row>
        <row r="551">
          <cell r="A551" t="str">
            <v>Conveyor --- Reject 36 Dual Lane</v>
          </cell>
          <cell r="B551" t="str">
            <v>Transport reject</v>
          </cell>
        </row>
        <row r="552">
          <cell r="A552" t="str">
            <v>Conveyor --- Reject 37 Dual Lane</v>
          </cell>
          <cell r="B552" t="str">
            <v>Transport reject</v>
          </cell>
        </row>
        <row r="553">
          <cell r="A553" t="str">
            <v>Conveyor --- Reject 38 Dual Lane</v>
          </cell>
          <cell r="B553" t="str">
            <v>Transport reject</v>
          </cell>
        </row>
        <row r="554">
          <cell r="A554" t="str">
            <v>Conveyor --- Reject 39 Dual Lane</v>
          </cell>
          <cell r="B554" t="str">
            <v>Transport reject</v>
          </cell>
        </row>
        <row r="555">
          <cell r="A555" t="str">
            <v>Conveyor --- Reject 40 Dual Lane</v>
          </cell>
          <cell r="B555" t="str">
            <v>Transport reject</v>
          </cell>
        </row>
        <row r="556">
          <cell r="A556" t="str">
            <v>Conveyor --- Shuttle 1</v>
          </cell>
          <cell r="B556" t="str">
            <v>Transport Shuttle</v>
          </cell>
        </row>
        <row r="557">
          <cell r="A557" t="str">
            <v>Conveyor --- Shuttle 2</v>
          </cell>
          <cell r="B557" t="str">
            <v>Transport Shuttle</v>
          </cell>
        </row>
        <row r="558">
          <cell r="A558" t="str">
            <v>Conveyor --- Shuttle 3</v>
          </cell>
          <cell r="B558" t="str">
            <v>Transport Shuttle</v>
          </cell>
        </row>
        <row r="559">
          <cell r="A559" t="str">
            <v>Conveyor --- Shuttle 4</v>
          </cell>
          <cell r="B559" t="str">
            <v>Transport Shuttle</v>
          </cell>
        </row>
        <row r="560">
          <cell r="A560" t="str">
            <v>Conveyor --- Shuttle 5</v>
          </cell>
          <cell r="B560" t="str">
            <v>Transport Shuttle</v>
          </cell>
        </row>
        <row r="561">
          <cell r="A561" t="str">
            <v>Conveyor --- Shuttle 6</v>
          </cell>
          <cell r="B561" t="str">
            <v>Transport Shuttle</v>
          </cell>
        </row>
        <row r="562">
          <cell r="A562" t="str">
            <v>Conveyor --- Shuttle 7</v>
          </cell>
          <cell r="B562" t="str">
            <v>Transport Shuttle</v>
          </cell>
        </row>
        <row r="563">
          <cell r="A563" t="str">
            <v>Conveyor --- Shuttle 8</v>
          </cell>
          <cell r="B563" t="str">
            <v>Transport Shuttle</v>
          </cell>
        </row>
        <row r="564">
          <cell r="A564" t="str">
            <v>Conveyor --- Shuttle 9</v>
          </cell>
          <cell r="B564" t="str">
            <v>Transport Shuttle</v>
          </cell>
        </row>
        <row r="565">
          <cell r="A565" t="str">
            <v>Conveyor --- Shuttle 10</v>
          </cell>
          <cell r="B565" t="str">
            <v>Transport Shuttle</v>
          </cell>
        </row>
        <row r="566">
          <cell r="A566" t="str">
            <v>Conveyor --- Shuttle 11</v>
          </cell>
          <cell r="B566" t="str">
            <v>Transport Shuttle</v>
          </cell>
        </row>
        <row r="567">
          <cell r="A567" t="str">
            <v>Conveyor --- Shuttle 12</v>
          </cell>
          <cell r="B567" t="str">
            <v>Transport Shuttle</v>
          </cell>
        </row>
        <row r="568">
          <cell r="A568" t="str">
            <v>Conveyor --- Shuttle 13</v>
          </cell>
          <cell r="B568" t="str">
            <v>Transport Shuttle</v>
          </cell>
        </row>
        <row r="569">
          <cell r="A569" t="str">
            <v>Conveyor --- Shuttle 14</v>
          </cell>
          <cell r="B569" t="str">
            <v>Transport Shuttle</v>
          </cell>
        </row>
        <row r="570">
          <cell r="A570" t="str">
            <v>Conveyor --- Shuttle 15</v>
          </cell>
          <cell r="B570" t="str">
            <v>Transport Shuttle</v>
          </cell>
        </row>
        <row r="571">
          <cell r="A571" t="str">
            <v>Conveyor --- Shuttle 16</v>
          </cell>
          <cell r="B571" t="str">
            <v>Transport Shuttle</v>
          </cell>
        </row>
        <row r="572">
          <cell r="A572" t="str">
            <v>Conveyor --- Shuttle 17</v>
          </cell>
          <cell r="B572" t="str">
            <v>Transport Shuttle</v>
          </cell>
        </row>
        <row r="573">
          <cell r="A573" t="str">
            <v>Conveyor --- Shuttle 18</v>
          </cell>
          <cell r="B573" t="str">
            <v>Transport Shuttle</v>
          </cell>
        </row>
        <row r="574">
          <cell r="A574" t="str">
            <v>Conveyor --- Shuttle 19</v>
          </cell>
          <cell r="B574" t="str">
            <v>Transport Shuttle</v>
          </cell>
        </row>
        <row r="575">
          <cell r="A575" t="str">
            <v>Conveyor --- Shuttle 20</v>
          </cell>
          <cell r="B575" t="str">
            <v>Transport Shuttle</v>
          </cell>
        </row>
        <row r="576">
          <cell r="A576" t="str">
            <v>Conveyor --- Shuttle 21</v>
          </cell>
          <cell r="B576" t="str">
            <v>Transport Shuttle</v>
          </cell>
        </row>
        <row r="577">
          <cell r="A577" t="str">
            <v>Conveyor --- Shuttle 22</v>
          </cell>
          <cell r="B577" t="str">
            <v>Transport Shuttle</v>
          </cell>
        </row>
        <row r="578">
          <cell r="A578" t="str">
            <v>Conveyor --- Shuttle 23</v>
          </cell>
          <cell r="B578" t="str">
            <v>Transport Shuttle</v>
          </cell>
        </row>
        <row r="579">
          <cell r="A579" t="str">
            <v>Conveyor --- Shuttle 24</v>
          </cell>
          <cell r="B579" t="str">
            <v>Transport Shuttle</v>
          </cell>
        </row>
        <row r="580">
          <cell r="A580" t="str">
            <v>Conveyor --- Shuttle 25</v>
          </cell>
          <cell r="B580" t="str">
            <v>Transport Shuttle</v>
          </cell>
        </row>
        <row r="581">
          <cell r="A581" t="str">
            <v>Conveyor --- Shuttle 26</v>
          </cell>
          <cell r="B581" t="str">
            <v>Transport Shuttle</v>
          </cell>
        </row>
        <row r="582">
          <cell r="A582" t="str">
            <v>Conveyor --- Shuttle 27</v>
          </cell>
          <cell r="B582" t="str">
            <v>Transport Shuttle</v>
          </cell>
        </row>
        <row r="583">
          <cell r="A583" t="str">
            <v>Conveyor --- Shuttle 28</v>
          </cell>
          <cell r="B583" t="str">
            <v>Transport Shuttle</v>
          </cell>
        </row>
        <row r="584">
          <cell r="A584" t="str">
            <v>Conveyor --- Shuttle 29</v>
          </cell>
          <cell r="B584" t="str">
            <v>Transport Shuttle</v>
          </cell>
        </row>
        <row r="585">
          <cell r="A585" t="str">
            <v>Conveyor --- Shuttle 30</v>
          </cell>
          <cell r="B585" t="str">
            <v>Transport Shuttle</v>
          </cell>
        </row>
        <row r="586">
          <cell r="A586" t="str">
            <v>Conveyor --- Shuttle 31</v>
          </cell>
          <cell r="B586" t="str">
            <v>Transport Shuttle</v>
          </cell>
        </row>
        <row r="587">
          <cell r="A587" t="str">
            <v>Conveyor --- Shuttle 32</v>
          </cell>
          <cell r="B587" t="str">
            <v>Transport Shuttle</v>
          </cell>
        </row>
        <row r="588">
          <cell r="A588" t="str">
            <v>Conveyor --- Shuttle 33</v>
          </cell>
          <cell r="B588" t="str">
            <v>Transport Shuttle</v>
          </cell>
        </row>
        <row r="589">
          <cell r="A589" t="str">
            <v>Conveyor --- Shuttle 34</v>
          </cell>
          <cell r="B589" t="str">
            <v>Transport Shuttle</v>
          </cell>
        </row>
        <row r="590">
          <cell r="A590" t="str">
            <v>Conveyor --- Shuttle 35</v>
          </cell>
          <cell r="B590" t="str">
            <v>Transport Shuttle</v>
          </cell>
        </row>
        <row r="591">
          <cell r="A591" t="str">
            <v>Conveyor --- Shuttle 36</v>
          </cell>
          <cell r="B591" t="str">
            <v>Transport Shuttle</v>
          </cell>
        </row>
        <row r="592">
          <cell r="A592" t="str">
            <v>Conveyor --- Shuttle 37</v>
          </cell>
          <cell r="B592" t="str">
            <v>Transport Shuttle</v>
          </cell>
        </row>
        <row r="593">
          <cell r="A593" t="str">
            <v>Conveyor --- Shuttle 38</v>
          </cell>
          <cell r="B593" t="str">
            <v>Transport Shuttle</v>
          </cell>
        </row>
        <row r="594">
          <cell r="A594" t="str">
            <v>Conveyor --- Shuttle 39</v>
          </cell>
          <cell r="B594" t="str">
            <v>Transport Shuttle</v>
          </cell>
        </row>
        <row r="595">
          <cell r="A595" t="str">
            <v>Conveyor --- Shuttle 40</v>
          </cell>
          <cell r="B595" t="str">
            <v>Transport Shuttle</v>
          </cell>
        </row>
        <row r="596">
          <cell r="A596" t="str">
            <v>Conveyor --- Shuttle 1 Dual Lane</v>
          </cell>
          <cell r="B596" t="str">
            <v>Transport Shuttle</v>
          </cell>
        </row>
        <row r="597">
          <cell r="A597" t="str">
            <v>Conveyor --- Shuttle 2 Dual Lane</v>
          </cell>
          <cell r="B597" t="str">
            <v>Transport Shuttle</v>
          </cell>
        </row>
        <row r="598">
          <cell r="A598" t="str">
            <v>Conveyor --- Shuttle 3 Dual Lane</v>
          </cell>
          <cell r="B598" t="str">
            <v>Transport Shuttle</v>
          </cell>
        </row>
        <row r="599">
          <cell r="A599" t="str">
            <v>Conveyor --- Shuttle 4 Dual Lane</v>
          </cell>
          <cell r="B599" t="str">
            <v>Transport Shuttle</v>
          </cell>
        </row>
        <row r="600">
          <cell r="A600" t="str">
            <v>Conveyor --- Shuttle 5 Dual Lane</v>
          </cell>
          <cell r="B600" t="str">
            <v>Transport Shuttle</v>
          </cell>
        </row>
        <row r="601">
          <cell r="A601" t="str">
            <v>Conveyor --- Shuttle 6 Dual Lane</v>
          </cell>
          <cell r="B601" t="str">
            <v>Transport Shuttle</v>
          </cell>
        </row>
        <row r="602">
          <cell r="A602" t="str">
            <v>Conveyor --- Shuttle 7 Dual Lane</v>
          </cell>
          <cell r="B602" t="str">
            <v>Transport Shuttle</v>
          </cell>
        </row>
        <row r="603">
          <cell r="A603" t="str">
            <v>Conveyor --- Shuttle 8 Dual Lane</v>
          </cell>
          <cell r="B603" t="str">
            <v>Transport Shuttle</v>
          </cell>
        </row>
        <row r="604">
          <cell r="A604" t="str">
            <v>Conveyor --- Shuttle 9 Dual Lane</v>
          </cell>
          <cell r="B604" t="str">
            <v>Transport Shuttle</v>
          </cell>
        </row>
        <row r="605">
          <cell r="A605" t="str">
            <v>Conveyor --- Shuttle 10 Dual Lane</v>
          </cell>
          <cell r="B605" t="str">
            <v>Transport Shuttle</v>
          </cell>
        </row>
        <row r="606">
          <cell r="A606" t="str">
            <v>Conveyor --- Shuttle 11 Dual Lane</v>
          </cell>
          <cell r="B606" t="str">
            <v>Transport Shuttle</v>
          </cell>
        </row>
        <row r="607">
          <cell r="A607" t="str">
            <v>Conveyor --- Shuttle 12 Dual Lane</v>
          </cell>
          <cell r="B607" t="str">
            <v>Transport Shuttle</v>
          </cell>
        </row>
        <row r="608">
          <cell r="A608" t="str">
            <v>Conveyor --- Shuttle 13 Dual Lane</v>
          </cell>
          <cell r="B608" t="str">
            <v>Transport Shuttle</v>
          </cell>
        </row>
        <row r="609">
          <cell r="A609" t="str">
            <v>Conveyor --- Shuttle 14 Dual Lane</v>
          </cell>
          <cell r="B609" t="str">
            <v>Transport Shuttle</v>
          </cell>
        </row>
        <row r="610">
          <cell r="A610" t="str">
            <v>Conveyor --- Shuttle 15 Dual Lane</v>
          </cell>
          <cell r="B610" t="str">
            <v>Transport Shuttle</v>
          </cell>
        </row>
        <row r="611">
          <cell r="A611" t="str">
            <v>Conveyor --- Shuttle 16 Dual Lane</v>
          </cell>
          <cell r="B611" t="str">
            <v>Transport Shuttle</v>
          </cell>
        </row>
        <row r="612">
          <cell r="A612" t="str">
            <v>Conveyor --- Shuttle 17 Dual Lane</v>
          </cell>
          <cell r="B612" t="str">
            <v>Transport Shuttle</v>
          </cell>
        </row>
        <row r="613">
          <cell r="A613" t="str">
            <v>Conveyor --- Shuttle 18 Dual Lane</v>
          </cell>
          <cell r="B613" t="str">
            <v>Transport Shuttle</v>
          </cell>
        </row>
        <row r="614">
          <cell r="A614" t="str">
            <v>Conveyor --- Shuttle 19 Dual Lane</v>
          </cell>
          <cell r="B614" t="str">
            <v>Transport Shuttle</v>
          </cell>
        </row>
        <row r="615">
          <cell r="A615" t="str">
            <v>Conveyor --- Shuttle 20 Dual Lane</v>
          </cell>
          <cell r="B615" t="str">
            <v>Transport Shuttle</v>
          </cell>
        </row>
        <row r="616">
          <cell r="A616" t="str">
            <v>Conveyor --- Shuttle 21 Dual Lane</v>
          </cell>
          <cell r="B616" t="str">
            <v>Transport Shuttle</v>
          </cell>
        </row>
        <row r="617">
          <cell r="A617" t="str">
            <v>Conveyor --- Shuttle 22 Dual Lane</v>
          </cell>
          <cell r="B617" t="str">
            <v>Transport Shuttle</v>
          </cell>
        </row>
        <row r="618">
          <cell r="A618" t="str">
            <v>Conveyor --- Shuttle 23 Dual Lane</v>
          </cell>
          <cell r="B618" t="str">
            <v>Transport Shuttle</v>
          </cell>
        </row>
        <row r="619">
          <cell r="A619" t="str">
            <v>Conveyor --- Shuttle 24 Dual Lane</v>
          </cell>
          <cell r="B619" t="str">
            <v>Transport Shuttle</v>
          </cell>
        </row>
        <row r="620">
          <cell r="A620" t="str">
            <v>Conveyor --- Shuttle 25 Dual Lane</v>
          </cell>
          <cell r="B620" t="str">
            <v>Transport Shuttle</v>
          </cell>
        </row>
        <row r="621">
          <cell r="A621" t="str">
            <v>Conveyor --- Shuttle 26 Dual Lane</v>
          </cell>
          <cell r="B621" t="str">
            <v>Transport Shuttle</v>
          </cell>
        </row>
        <row r="622">
          <cell r="A622" t="str">
            <v>Conveyor --- Shuttle 27 Dual Lane</v>
          </cell>
          <cell r="B622" t="str">
            <v>Transport Shuttle</v>
          </cell>
        </row>
        <row r="623">
          <cell r="A623" t="str">
            <v>Conveyor --- Shuttle 28 Dual Lane</v>
          </cell>
          <cell r="B623" t="str">
            <v>Transport Shuttle</v>
          </cell>
        </row>
        <row r="624">
          <cell r="A624" t="str">
            <v>Conveyor --- Shuttle 29 Dual Lane</v>
          </cell>
          <cell r="B624" t="str">
            <v>Transport Shuttle</v>
          </cell>
        </row>
        <row r="625">
          <cell r="A625" t="str">
            <v>Conveyor --- Shuttle 30 Dual Lane</v>
          </cell>
          <cell r="B625" t="str">
            <v>Transport Shuttle</v>
          </cell>
        </row>
        <row r="626">
          <cell r="A626" t="str">
            <v>Conveyor --- Shuttle 31 Dual Lane</v>
          </cell>
          <cell r="B626" t="str">
            <v>Transport Shuttle</v>
          </cell>
        </row>
        <row r="627">
          <cell r="A627" t="str">
            <v>Conveyor --- Shuttle 32 Dual Lane</v>
          </cell>
          <cell r="B627" t="str">
            <v>Transport Shuttle</v>
          </cell>
        </row>
        <row r="628">
          <cell r="A628" t="str">
            <v>Conveyor --- Shuttle 33 Dual Lane</v>
          </cell>
          <cell r="B628" t="str">
            <v>Transport Shuttle</v>
          </cell>
        </row>
        <row r="629">
          <cell r="A629" t="str">
            <v>Conveyor --- Shuttle 34 Dual Lane</v>
          </cell>
          <cell r="B629" t="str">
            <v>Transport Shuttle</v>
          </cell>
        </row>
        <row r="630">
          <cell r="A630" t="str">
            <v>Conveyor --- Shuttle 35 Dual Lane</v>
          </cell>
          <cell r="B630" t="str">
            <v>Transport Shuttle</v>
          </cell>
        </row>
        <row r="631">
          <cell r="A631" t="str">
            <v>Conveyor --- Shuttle 36 Dual Lane</v>
          </cell>
          <cell r="B631" t="str">
            <v>Transport Shuttle</v>
          </cell>
        </row>
        <row r="632">
          <cell r="A632" t="str">
            <v>Conveyor --- Shuttle 37 Dual Lane</v>
          </cell>
          <cell r="B632" t="str">
            <v>Transport Shuttle</v>
          </cell>
        </row>
        <row r="633">
          <cell r="A633" t="str">
            <v>Conveyor --- Shuttle 38 Dual Lane</v>
          </cell>
          <cell r="B633" t="str">
            <v>Transport Shuttle</v>
          </cell>
        </row>
        <row r="634">
          <cell r="A634" t="str">
            <v>Conveyor --- Shuttle 39 Dual Lane</v>
          </cell>
          <cell r="B634" t="str">
            <v>Transport Shuttle</v>
          </cell>
        </row>
        <row r="635">
          <cell r="A635" t="str">
            <v>Conveyor --- Shuttle 40 Dual Lane</v>
          </cell>
          <cell r="B635" t="str">
            <v>Transport Shuttle</v>
          </cell>
        </row>
        <row r="636">
          <cell r="A636" t="str">
            <v>Conveyor --- Single 1</v>
          </cell>
          <cell r="B636" t="str">
            <v>Transport Conveyor</v>
          </cell>
        </row>
        <row r="637">
          <cell r="A637" t="str">
            <v>Conveyor --- Single 2</v>
          </cell>
          <cell r="B637" t="str">
            <v>Transport Conveyor</v>
          </cell>
        </row>
        <row r="638">
          <cell r="A638" t="str">
            <v>Conveyor --- Single 3</v>
          </cell>
          <cell r="B638" t="str">
            <v>Transport Conveyor</v>
          </cell>
        </row>
        <row r="639">
          <cell r="A639" t="str">
            <v>Conveyor --- Single 4</v>
          </cell>
          <cell r="B639" t="str">
            <v>Transport Conveyor</v>
          </cell>
        </row>
        <row r="640">
          <cell r="A640" t="str">
            <v>Conveyor --- Single 5</v>
          </cell>
          <cell r="B640" t="str">
            <v>Transport Conveyor</v>
          </cell>
        </row>
        <row r="641">
          <cell r="A641" t="str">
            <v>Conveyor --- Single 6</v>
          </cell>
          <cell r="B641" t="str">
            <v>Transport Conveyor</v>
          </cell>
        </row>
        <row r="642">
          <cell r="A642" t="str">
            <v>Conveyor --- Single 7</v>
          </cell>
          <cell r="B642" t="str">
            <v>Transport Conveyor</v>
          </cell>
        </row>
        <row r="643">
          <cell r="A643" t="str">
            <v>Conveyor --- Single 8</v>
          </cell>
          <cell r="B643" t="str">
            <v>Transport Conveyor</v>
          </cell>
        </row>
        <row r="644">
          <cell r="A644" t="str">
            <v>Conveyor --- Single 9</v>
          </cell>
          <cell r="B644" t="str">
            <v>Transport Conveyor</v>
          </cell>
        </row>
        <row r="645">
          <cell r="A645" t="str">
            <v>Conveyor --- Single 10</v>
          </cell>
          <cell r="B645" t="str">
            <v>Transport Conveyor</v>
          </cell>
        </row>
        <row r="646">
          <cell r="A646" t="str">
            <v>Conveyor --- Single 11</v>
          </cell>
          <cell r="B646" t="str">
            <v>Transport Conveyor</v>
          </cell>
        </row>
        <row r="647">
          <cell r="A647" t="str">
            <v>Conveyor --- Single 12</v>
          </cell>
          <cell r="B647" t="str">
            <v>Transport Conveyor</v>
          </cell>
        </row>
        <row r="648">
          <cell r="A648" t="str">
            <v>Conveyor --- Single 13</v>
          </cell>
          <cell r="B648" t="str">
            <v>Transport Conveyor</v>
          </cell>
        </row>
        <row r="649">
          <cell r="A649" t="str">
            <v>Conveyor --- Single 14</v>
          </cell>
          <cell r="B649" t="str">
            <v>Transport Conveyor</v>
          </cell>
        </row>
        <row r="650">
          <cell r="A650" t="str">
            <v>Conveyor --- Single 15</v>
          </cell>
          <cell r="B650" t="str">
            <v>Transport Conveyor</v>
          </cell>
        </row>
        <row r="651">
          <cell r="A651" t="str">
            <v>Conveyor --- Single 16</v>
          </cell>
          <cell r="B651" t="str">
            <v>Transport Conveyor</v>
          </cell>
        </row>
        <row r="652">
          <cell r="A652" t="str">
            <v>Conveyor --- Single 17</v>
          </cell>
          <cell r="B652" t="str">
            <v>Transport Conveyor</v>
          </cell>
        </row>
        <row r="653">
          <cell r="A653" t="str">
            <v>Conveyor --- Single 18</v>
          </cell>
          <cell r="B653" t="str">
            <v>Transport Conveyor</v>
          </cell>
        </row>
        <row r="654">
          <cell r="A654" t="str">
            <v>Conveyor --- Single 19</v>
          </cell>
          <cell r="B654" t="str">
            <v>Transport Conveyor</v>
          </cell>
        </row>
        <row r="655">
          <cell r="A655" t="str">
            <v>Conveyor --- Single 20</v>
          </cell>
          <cell r="B655" t="str">
            <v>Transport Conveyor</v>
          </cell>
        </row>
        <row r="656">
          <cell r="A656" t="str">
            <v>Conveyor --- Single 21</v>
          </cell>
          <cell r="B656" t="str">
            <v>Transport Conveyor</v>
          </cell>
        </row>
        <row r="657">
          <cell r="A657" t="str">
            <v>Conveyor --- Single 22</v>
          </cell>
          <cell r="B657" t="str">
            <v>Transport Conveyor</v>
          </cell>
        </row>
        <row r="658">
          <cell r="A658" t="str">
            <v>Conveyor --- Single 23</v>
          </cell>
          <cell r="B658" t="str">
            <v>Transport Conveyor</v>
          </cell>
        </row>
        <row r="659">
          <cell r="A659" t="str">
            <v>Conveyor --- Single 24</v>
          </cell>
          <cell r="B659" t="str">
            <v>Transport Conveyor</v>
          </cell>
        </row>
        <row r="660">
          <cell r="A660" t="str">
            <v>Conveyor --- Single 25</v>
          </cell>
          <cell r="B660" t="str">
            <v>Transport Conveyor</v>
          </cell>
        </row>
        <row r="661">
          <cell r="A661" t="str">
            <v>Conveyor --- Single 26</v>
          </cell>
          <cell r="B661" t="str">
            <v>Transport Conveyor</v>
          </cell>
        </row>
        <row r="662">
          <cell r="A662" t="str">
            <v>Conveyor --- Single 27</v>
          </cell>
          <cell r="B662" t="str">
            <v>Transport Conveyor</v>
          </cell>
        </row>
        <row r="663">
          <cell r="A663" t="str">
            <v>Conveyor --- Single 28</v>
          </cell>
          <cell r="B663" t="str">
            <v>Transport Conveyor</v>
          </cell>
        </row>
        <row r="664">
          <cell r="A664" t="str">
            <v>Conveyor --- Single 29</v>
          </cell>
          <cell r="B664" t="str">
            <v>Transport Conveyor</v>
          </cell>
        </row>
        <row r="665">
          <cell r="A665" t="str">
            <v>Conveyor --- Single 30</v>
          </cell>
          <cell r="B665" t="str">
            <v>Transport Conveyor</v>
          </cell>
        </row>
        <row r="666">
          <cell r="A666" t="str">
            <v>Conveyor --- Single 31</v>
          </cell>
          <cell r="B666" t="str">
            <v>Transport Conveyor</v>
          </cell>
        </row>
        <row r="667">
          <cell r="A667" t="str">
            <v>Conveyor --- Single 32</v>
          </cell>
          <cell r="B667" t="str">
            <v>Transport Conveyor</v>
          </cell>
        </row>
        <row r="668">
          <cell r="A668" t="str">
            <v>Conveyor --- Single 33</v>
          </cell>
          <cell r="B668" t="str">
            <v>Transport Conveyor</v>
          </cell>
        </row>
        <row r="669">
          <cell r="A669" t="str">
            <v>Conveyor --- Single 34</v>
          </cell>
          <cell r="B669" t="str">
            <v>Transport Conveyor</v>
          </cell>
        </row>
        <row r="670">
          <cell r="A670" t="str">
            <v>Conveyor --- Single 35</v>
          </cell>
          <cell r="B670" t="str">
            <v>Transport Conveyor</v>
          </cell>
        </row>
        <row r="671">
          <cell r="A671" t="str">
            <v>Conveyor --- Single 36</v>
          </cell>
          <cell r="B671" t="str">
            <v>Transport Conveyor</v>
          </cell>
        </row>
        <row r="672">
          <cell r="A672" t="str">
            <v>Conveyor --- Single 37</v>
          </cell>
          <cell r="B672" t="str">
            <v>Transport Conveyor</v>
          </cell>
        </row>
        <row r="673">
          <cell r="A673" t="str">
            <v>Conveyor --- Single 38</v>
          </cell>
          <cell r="B673" t="str">
            <v>Transport Conveyor</v>
          </cell>
        </row>
        <row r="674">
          <cell r="A674" t="str">
            <v>Conveyor --- Single 39</v>
          </cell>
          <cell r="B674" t="str">
            <v>Transport Conveyor</v>
          </cell>
        </row>
        <row r="675">
          <cell r="A675" t="str">
            <v>Conveyor --- Single 40</v>
          </cell>
          <cell r="B675" t="str">
            <v>Transport Conveyor</v>
          </cell>
        </row>
        <row r="676">
          <cell r="A676" t="str">
            <v>Conveyor --- Single 41</v>
          </cell>
          <cell r="B676" t="str">
            <v>Transport Conveyor</v>
          </cell>
        </row>
        <row r="677">
          <cell r="A677" t="str">
            <v>Conveyor --- Single 42</v>
          </cell>
          <cell r="B677" t="str">
            <v>Transport Conveyor</v>
          </cell>
        </row>
        <row r="678">
          <cell r="A678" t="str">
            <v>Conveyor --- Single 43</v>
          </cell>
          <cell r="B678" t="str">
            <v>Transport Conveyor</v>
          </cell>
        </row>
        <row r="679">
          <cell r="A679" t="str">
            <v>Conveyor --- Single 44</v>
          </cell>
          <cell r="B679" t="str">
            <v>Transport Conveyor</v>
          </cell>
        </row>
        <row r="680">
          <cell r="A680" t="str">
            <v>Conveyor --- Single 45</v>
          </cell>
          <cell r="B680" t="str">
            <v>Transport Conveyor</v>
          </cell>
        </row>
        <row r="681">
          <cell r="A681" t="str">
            <v>Conveyor --- Single 46</v>
          </cell>
          <cell r="B681" t="str">
            <v>Transport Conveyor</v>
          </cell>
        </row>
        <row r="682">
          <cell r="A682" t="str">
            <v>Conveyor --- Single 47</v>
          </cell>
          <cell r="B682" t="str">
            <v>Transport Conveyor</v>
          </cell>
        </row>
        <row r="683">
          <cell r="A683" t="str">
            <v>Conveyor --- Single 48</v>
          </cell>
          <cell r="B683" t="str">
            <v>Transport Conveyor</v>
          </cell>
        </row>
        <row r="684">
          <cell r="A684" t="str">
            <v>Conveyor --- Single 49</v>
          </cell>
          <cell r="B684" t="str">
            <v>Transport Conveyor</v>
          </cell>
        </row>
        <row r="685">
          <cell r="A685" t="str">
            <v>Conveyor --- Single 50</v>
          </cell>
          <cell r="B685" t="str">
            <v>Transport Conveyor</v>
          </cell>
        </row>
        <row r="686">
          <cell r="A686" t="str">
            <v>Conveyor --- Single 51</v>
          </cell>
          <cell r="B686" t="str">
            <v>Transport Conveyor</v>
          </cell>
        </row>
        <row r="687">
          <cell r="A687" t="str">
            <v>Conveyor --- Single 52</v>
          </cell>
          <cell r="B687" t="str">
            <v>Transport Conveyor</v>
          </cell>
        </row>
        <row r="688">
          <cell r="A688" t="str">
            <v>Conveyor --- Single 53</v>
          </cell>
          <cell r="B688" t="str">
            <v>Transport Conveyor</v>
          </cell>
        </row>
        <row r="689">
          <cell r="A689" t="str">
            <v>Conveyor --- Single 54</v>
          </cell>
          <cell r="B689" t="str">
            <v>Transport Conveyor</v>
          </cell>
        </row>
        <row r="690">
          <cell r="A690" t="str">
            <v>Conveyor --- Single 55</v>
          </cell>
          <cell r="B690" t="str">
            <v>Transport Conveyor</v>
          </cell>
        </row>
        <row r="691">
          <cell r="A691" t="str">
            <v>Conveyor --- Single 56</v>
          </cell>
          <cell r="B691" t="str">
            <v>Transport Conveyor</v>
          </cell>
        </row>
        <row r="692">
          <cell r="A692" t="str">
            <v>Conveyor --- Single 57</v>
          </cell>
          <cell r="B692" t="str">
            <v>Transport Conveyor</v>
          </cell>
        </row>
        <row r="693">
          <cell r="A693" t="str">
            <v>Conveyor --- Single 58</v>
          </cell>
          <cell r="B693" t="str">
            <v>Transport Conveyor</v>
          </cell>
        </row>
        <row r="694">
          <cell r="A694" t="str">
            <v>Conveyor --- Single 59</v>
          </cell>
          <cell r="B694" t="str">
            <v>Transport Conveyor</v>
          </cell>
        </row>
        <row r="695">
          <cell r="A695" t="str">
            <v>Conveyor --- Single 60</v>
          </cell>
          <cell r="B695" t="str">
            <v>Transport Conveyor</v>
          </cell>
        </row>
        <row r="696">
          <cell r="A696" t="str">
            <v>Conveyor --- Single 61</v>
          </cell>
          <cell r="B696" t="str">
            <v>Transport Conveyor</v>
          </cell>
        </row>
        <row r="697">
          <cell r="A697" t="str">
            <v>Conveyor --- Single 62</v>
          </cell>
          <cell r="B697" t="str">
            <v>Transport Conveyor</v>
          </cell>
        </row>
        <row r="698">
          <cell r="A698" t="str">
            <v>Conveyor --- Single 63</v>
          </cell>
          <cell r="B698" t="str">
            <v>Transport Conveyor</v>
          </cell>
        </row>
        <row r="699">
          <cell r="A699" t="str">
            <v>Conveyor --- Single 64</v>
          </cell>
          <cell r="B699" t="str">
            <v>Transport Conveyor</v>
          </cell>
        </row>
        <row r="700">
          <cell r="A700" t="str">
            <v>Conveyor --- Single 65</v>
          </cell>
          <cell r="B700" t="str">
            <v>Transport Conveyor</v>
          </cell>
        </row>
        <row r="701">
          <cell r="A701" t="str">
            <v>Conveyor --- Single 66</v>
          </cell>
          <cell r="B701" t="str">
            <v>Transport Conveyor</v>
          </cell>
        </row>
        <row r="702">
          <cell r="A702" t="str">
            <v>Conveyor --- Single 67</v>
          </cell>
          <cell r="B702" t="str">
            <v>Transport Conveyor</v>
          </cell>
        </row>
        <row r="703">
          <cell r="A703" t="str">
            <v>Conveyor --- Single 68</v>
          </cell>
          <cell r="B703" t="str">
            <v>Transport Conveyor</v>
          </cell>
        </row>
        <row r="704">
          <cell r="A704" t="str">
            <v>Conveyor --- Single 69</v>
          </cell>
          <cell r="B704" t="str">
            <v>Transport Conveyor</v>
          </cell>
        </row>
        <row r="705">
          <cell r="A705" t="str">
            <v>Conveyor --- Single 70</v>
          </cell>
          <cell r="B705" t="str">
            <v>Transport Conveyor</v>
          </cell>
        </row>
        <row r="706">
          <cell r="A706" t="str">
            <v>Conveyor --- Single 71</v>
          </cell>
          <cell r="B706" t="str">
            <v>Transport Conveyor</v>
          </cell>
        </row>
        <row r="707">
          <cell r="A707" t="str">
            <v>Conveyor --- Single 72</v>
          </cell>
          <cell r="B707" t="str">
            <v>Transport Conveyor</v>
          </cell>
        </row>
        <row r="708">
          <cell r="A708" t="str">
            <v>Conveyor --- Single 73</v>
          </cell>
          <cell r="B708" t="str">
            <v>Transport Conveyor</v>
          </cell>
        </row>
        <row r="709">
          <cell r="A709" t="str">
            <v>Conveyor --- Single 74</v>
          </cell>
          <cell r="B709" t="str">
            <v>Transport Conveyor</v>
          </cell>
        </row>
        <row r="710">
          <cell r="A710" t="str">
            <v>Conveyor --- Single 75</v>
          </cell>
          <cell r="B710" t="str">
            <v>Transport Conveyor</v>
          </cell>
        </row>
        <row r="711">
          <cell r="A711" t="str">
            <v>Conveyor --- Single 76</v>
          </cell>
          <cell r="B711" t="str">
            <v>Transport Conveyor</v>
          </cell>
        </row>
        <row r="712">
          <cell r="A712" t="str">
            <v>Conveyor --- Single 77</v>
          </cell>
          <cell r="B712" t="str">
            <v>Transport Conveyor</v>
          </cell>
        </row>
        <row r="713">
          <cell r="A713" t="str">
            <v>Conveyor --- Single 78</v>
          </cell>
          <cell r="B713" t="str">
            <v>Transport Conveyor</v>
          </cell>
        </row>
        <row r="714">
          <cell r="A714" t="str">
            <v>Conveyor --- Single 79</v>
          </cell>
          <cell r="B714" t="str">
            <v>Transport Conveyor</v>
          </cell>
        </row>
        <row r="715">
          <cell r="A715" t="str">
            <v>Conveyor --- Single 80</v>
          </cell>
          <cell r="B715" t="str">
            <v>Transport Conveyor</v>
          </cell>
        </row>
        <row r="716">
          <cell r="A716" t="str">
            <v>Conveyor --- Single 81</v>
          </cell>
          <cell r="B716" t="str">
            <v>Transport Conveyor</v>
          </cell>
        </row>
        <row r="717">
          <cell r="A717" t="str">
            <v>Conveyor --- Single 82</v>
          </cell>
          <cell r="B717" t="str">
            <v>Transport Conveyor</v>
          </cell>
        </row>
        <row r="718">
          <cell r="A718" t="str">
            <v>Conveyor --- Single 83</v>
          </cell>
          <cell r="B718" t="str">
            <v>Transport Conveyor</v>
          </cell>
        </row>
        <row r="719">
          <cell r="A719" t="str">
            <v>Conveyor --- Single 84</v>
          </cell>
          <cell r="B719" t="str">
            <v>Transport Conveyor</v>
          </cell>
        </row>
        <row r="720">
          <cell r="A720" t="str">
            <v>Conveyor --- Single 85</v>
          </cell>
          <cell r="B720" t="str">
            <v>Transport Conveyor</v>
          </cell>
        </row>
        <row r="721">
          <cell r="A721" t="str">
            <v>Conveyor --- Single 86</v>
          </cell>
          <cell r="B721" t="str">
            <v>Transport Conveyor</v>
          </cell>
        </row>
        <row r="722">
          <cell r="A722" t="str">
            <v>Conveyor --- Single 87</v>
          </cell>
          <cell r="B722" t="str">
            <v>Transport Conveyor</v>
          </cell>
        </row>
        <row r="723">
          <cell r="A723" t="str">
            <v>Conveyor --- Single 88</v>
          </cell>
          <cell r="B723" t="str">
            <v>Transport Conveyor</v>
          </cell>
        </row>
        <row r="724">
          <cell r="A724" t="str">
            <v>Conveyor --- Single 89</v>
          </cell>
          <cell r="B724" t="str">
            <v>Transport Conveyor</v>
          </cell>
        </row>
        <row r="725">
          <cell r="A725" t="str">
            <v>Conveyor --- Single 90</v>
          </cell>
          <cell r="B725" t="str">
            <v>Transport Conveyor</v>
          </cell>
        </row>
        <row r="726">
          <cell r="A726" t="str">
            <v>Conveyor --- Single 91</v>
          </cell>
          <cell r="B726" t="str">
            <v>Transport Conveyor</v>
          </cell>
        </row>
        <row r="727">
          <cell r="A727" t="str">
            <v>Conveyor --- Single 92</v>
          </cell>
          <cell r="B727" t="str">
            <v>Transport Conveyor</v>
          </cell>
        </row>
        <row r="728">
          <cell r="A728" t="str">
            <v>Conveyor --- Single 93</v>
          </cell>
          <cell r="B728" t="str">
            <v>Transport Conveyor</v>
          </cell>
        </row>
        <row r="729">
          <cell r="A729" t="str">
            <v>Conveyor --- Single 94</v>
          </cell>
          <cell r="B729" t="str">
            <v>Transport Conveyor</v>
          </cell>
        </row>
        <row r="730">
          <cell r="A730" t="str">
            <v>Conveyor --- Single 95</v>
          </cell>
          <cell r="B730" t="str">
            <v>Transport Conveyor</v>
          </cell>
        </row>
        <row r="731">
          <cell r="A731" t="str">
            <v>Conveyor --- Single 96</v>
          </cell>
          <cell r="B731" t="str">
            <v>Transport Conveyor</v>
          </cell>
        </row>
        <row r="732">
          <cell r="A732" t="str">
            <v>Conveyor --- Single 97</v>
          </cell>
          <cell r="B732" t="str">
            <v>Transport Conveyor</v>
          </cell>
        </row>
        <row r="733">
          <cell r="A733" t="str">
            <v>Conveyor --- Single 98</v>
          </cell>
          <cell r="B733" t="str">
            <v>Transport Conveyor</v>
          </cell>
        </row>
        <row r="734">
          <cell r="A734" t="str">
            <v>Conveyor --- Single 99</v>
          </cell>
          <cell r="B734" t="str">
            <v>Transport Conveyor</v>
          </cell>
        </row>
        <row r="735">
          <cell r="A735" t="str">
            <v>Conveyor --- Single 100</v>
          </cell>
          <cell r="B735" t="str">
            <v>Transport Conveyor</v>
          </cell>
        </row>
        <row r="736">
          <cell r="A736" t="str">
            <v>Conveyor --- Single 101</v>
          </cell>
          <cell r="B736" t="str">
            <v>Transport Conveyor</v>
          </cell>
        </row>
        <row r="737">
          <cell r="A737" t="str">
            <v>Conveyor --- Single 102</v>
          </cell>
          <cell r="B737" t="str">
            <v>Transport Conveyor</v>
          </cell>
        </row>
        <row r="738">
          <cell r="A738" t="str">
            <v>Conveyor --- Single 103</v>
          </cell>
          <cell r="B738" t="str">
            <v>Transport Conveyor</v>
          </cell>
        </row>
        <row r="739">
          <cell r="A739" t="str">
            <v>Conveyor --- Single 104</v>
          </cell>
          <cell r="B739" t="str">
            <v>Transport Conveyor</v>
          </cell>
        </row>
        <row r="740">
          <cell r="A740" t="str">
            <v>Conveyor --- Single 105</v>
          </cell>
          <cell r="B740" t="str">
            <v>Transport Conveyor</v>
          </cell>
        </row>
        <row r="741">
          <cell r="A741" t="str">
            <v>Conveyor --- Single 106</v>
          </cell>
          <cell r="B741" t="str">
            <v>Transport Conveyor</v>
          </cell>
        </row>
        <row r="742">
          <cell r="A742" t="str">
            <v>Conveyor --- Single 107</v>
          </cell>
          <cell r="B742" t="str">
            <v>Transport Conveyor</v>
          </cell>
        </row>
        <row r="743">
          <cell r="A743" t="str">
            <v>Conveyor --- Single 108</v>
          </cell>
          <cell r="B743" t="str">
            <v>Transport Conveyor</v>
          </cell>
        </row>
        <row r="744">
          <cell r="A744" t="str">
            <v>Conveyor --- Single 109</v>
          </cell>
          <cell r="B744" t="str">
            <v>Transport Conveyor</v>
          </cell>
        </row>
        <row r="745">
          <cell r="A745" t="str">
            <v>Conveyor --- Single 110</v>
          </cell>
          <cell r="B745" t="str">
            <v>Transport Conveyor</v>
          </cell>
        </row>
        <row r="746">
          <cell r="A746" t="str">
            <v>Conveyor --- Single 111</v>
          </cell>
          <cell r="B746" t="str">
            <v>Transport Conveyor</v>
          </cell>
        </row>
        <row r="747">
          <cell r="A747" t="str">
            <v>Conveyor --- Single 112</v>
          </cell>
          <cell r="B747" t="str">
            <v>Transport Conveyor</v>
          </cell>
        </row>
        <row r="748">
          <cell r="A748" t="str">
            <v>Conveyor --- Single 113</v>
          </cell>
          <cell r="B748" t="str">
            <v>Transport Conveyor</v>
          </cell>
        </row>
        <row r="749">
          <cell r="A749" t="str">
            <v>Conveyor --- Single 114</v>
          </cell>
          <cell r="B749" t="str">
            <v>Transport Conveyor</v>
          </cell>
        </row>
        <row r="750">
          <cell r="A750" t="str">
            <v>Conveyor --- Single 115</v>
          </cell>
          <cell r="B750" t="str">
            <v>Transport Conveyor</v>
          </cell>
        </row>
        <row r="751">
          <cell r="A751" t="str">
            <v>Conveyor --- Single 116</v>
          </cell>
          <cell r="B751" t="str">
            <v>Transport Conveyor</v>
          </cell>
        </row>
        <row r="752">
          <cell r="A752" t="str">
            <v>Conveyor --- Single 117</v>
          </cell>
          <cell r="B752" t="str">
            <v>Transport Conveyor</v>
          </cell>
        </row>
        <row r="753">
          <cell r="A753" t="str">
            <v>Conveyor --- Single 118</v>
          </cell>
          <cell r="B753" t="str">
            <v>Transport Conveyor</v>
          </cell>
        </row>
        <row r="754">
          <cell r="A754" t="str">
            <v>Conveyor --- Single 119</v>
          </cell>
          <cell r="B754" t="str">
            <v>Transport Conveyor</v>
          </cell>
        </row>
        <row r="755">
          <cell r="A755" t="str">
            <v>Conveyor --- Single 120</v>
          </cell>
          <cell r="B755" t="str">
            <v>Transport Conveyor</v>
          </cell>
        </row>
        <row r="756">
          <cell r="A756" t="str">
            <v>Conveyor --- Single 121</v>
          </cell>
          <cell r="B756" t="str">
            <v>Transport Conveyor</v>
          </cell>
        </row>
        <row r="757">
          <cell r="A757" t="str">
            <v>Conveyor --- Single 122</v>
          </cell>
          <cell r="B757" t="str">
            <v>Transport Conveyor</v>
          </cell>
        </row>
        <row r="758">
          <cell r="A758" t="str">
            <v>Conveyor --- Single 123</v>
          </cell>
          <cell r="B758" t="str">
            <v>Transport Conveyor</v>
          </cell>
        </row>
        <row r="759">
          <cell r="A759" t="str">
            <v>Conveyor --- Single 124</v>
          </cell>
          <cell r="B759" t="str">
            <v>Transport Conveyor</v>
          </cell>
        </row>
        <row r="760">
          <cell r="A760" t="str">
            <v>Conveyor --- Single 125</v>
          </cell>
          <cell r="B760" t="str">
            <v>Transport Conveyor</v>
          </cell>
        </row>
        <row r="761">
          <cell r="A761" t="str">
            <v>Conveyor --- Single 126</v>
          </cell>
          <cell r="B761" t="str">
            <v>Transport Conveyor</v>
          </cell>
        </row>
        <row r="762">
          <cell r="A762" t="str">
            <v>Conveyor --- Single 127</v>
          </cell>
          <cell r="B762" t="str">
            <v>Transport Conveyor</v>
          </cell>
        </row>
        <row r="763">
          <cell r="A763" t="str">
            <v>Conveyor --- Single 128</v>
          </cell>
          <cell r="B763" t="str">
            <v>Transport Conveyor</v>
          </cell>
        </row>
        <row r="764">
          <cell r="A764" t="str">
            <v>Conveyor --- Single 129</v>
          </cell>
          <cell r="B764" t="str">
            <v>Transport Conveyor</v>
          </cell>
        </row>
        <row r="765">
          <cell r="A765" t="str">
            <v>Conveyor --- Single 130</v>
          </cell>
          <cell r="B765" t="str">
            <v>Transport Conveyor</v>
          </cell>
        </row>
        <row r="766">
          <cell r="A766" t="str">
            <v>Conveyor --- Single 131</v>
          </cell>
          <cell r="B766" t="str">
            <v>Transport Conveyor</v>
          </cell>
        </row>
        <row r="767">
          <cell r="A767" t="str">
            <v>Conveyor --- Single 132</v>
          </cell>
          <cell r="B767" t="str">
            <v>Transport Conveyor</v>
          </cell>
        </row>
        <row r="768">
          <cell r="A768" t="str">
            <v>Conveyor --- Single 133</v>
          </cell>
          <cell r="B768" t="str">
            <v>Transport Conveyor</v>
          </cell>
        </row>
        <row r="769">
          <cell r="A769" t="str">
            <v>Conveyor --- Single 134</v>
          </cell>
          <cell r="B769" t="str">
            <v>Transport Conveyor</v>
          </cell>
        </row>
        <row r="770">
          <cell r="A770" t="str">
            <v>Conveyor --- Single 135</v>
          </cell>
          <cell r="B770" t="str">
            <v>Transport Conveyor</v>
          </cell>
        </row>
        <row r="771">
          <cell r="A771" t="str">
            <v>Conveyor --- Single 136</v>
          </cell>
          <cell r="B771" t="str">
            <v>Transport Conveyor</v>
          </cell>
        </row>
        <row r="772">
          <cell r="A772" t="str">
            <v>Conveyor --- Single 137</v>
          </cell>
          <cell r="B772" t="str">
            <v>Transport Conveyor</v>
          </cell>
        </row>
        <row r="773">
          <cell r="A773" t="str">
            <v>Conveyor --- Single 138</v>
          </cell>
          <cell r="B773" t="str">
            <v>Transport Conveyor</v>
          </cell>
        </row>
        <row r="774">
          <cell r="A774" t="str">
            <v>Conveyor --- Single 139</v>
          </cell>
          <cell r="B774" t="str">
            <v>Transport Conveyor</v>
          </cell>
        </row>
        <row r="775">
          <cell r="A775" t="str">
            <v>Conveyor --- Single 140</v>
          </cell>
          <cell r="B775" t="str">
            <v>Transport Conveyor</v>
          </cell>
        </row>
        <row r="776">
          <cell r="A776" t="str">
            <v>Conveyor --- Single 141</v>
          </cell>
          <cell r="B776" t="str">
            <v>Transport Conveyor</v>
          </cell>
        </row>
        <row r="777">
          <cell r="A777" t="str">
            <v>Conveyor --- Single 142</v>
          </cell>
          <cell r="B777" t="str">
            <v>Transport Conveyor</v>
          </cell>
        </row>
        <row r="778">
          <cell r="A778" t="str">
            <v>Conveyor --- Single 143</v>
          </cell>
          <cell r="B778" t="str">
            <v>Transport Conveyor</v>
          </cell>
        </row>
        <row r="779">
          <cell r="A779" t="str">
            <v>Conveyor --- Single 144</v>
          </cell>
          <cell r="B779" t="str">
            <v>Transport Conveyor</v>
          </cell>
        </row>
        <row r="780">
          <cell r="A780" t="str">
            <v>Conveyor --- Single 145</v>
          </cell>
          <cell r="B780" t="str">
            <v>Transport Conveyor</v>
          </cell>
        </row>
        <row r="781">
          <cell r="A781" t="str">
            <v>Conveyor --- Single 146</v>
          </cell>
          <cell r="B781" t="str">
            <v>Transport Conveyor</v>
          </cell>
        </row>
        <row r="782">
          <cell r="A782" t="str">
            <v>Conveyor --- Single 147</v>
          </cell>
          <cell r="B782" t="str">
            <v>Transport Conveyor</v>
          </cell>
        </row>
        <row r="783">
          <cell r="A783" t="str">
            <v>Conveyor --- Single 148</v>
          </cell>
          <cell r="B783" t="str">
            <v>Transport Conveyor</v>
          </cell>
        </row>
        <row r="784">
          <cell r="A784" t="str">
            <v>Conveyor --- Single 149</v>
          </cell>
          <cell r="B784" t="str">
            <v>Transport Conveyor</v>
          </cell>
        </row>
        <row r="785">
          <cell r="A785" t="str">
            <v>Conveyor --- Single 150</v>
          </cell>
          <cell r="B785" t="str">
            <v>Transport Conveyor</v>
          </cell>
        </row>
        <row r="786">
          <cell r="A786" t="str">
            <v>Conveyor --- Single 151</v>
          </cell>
          <cell r="B786" t="str">
            <v>Transport Conveyor</v>
          </cell>
        </row>
        <row r="787">
          <cell r="A787" t="str">
            <v>Conveyor --- Single 152</v>
          </cell>
          <cell r="B787" t="str">
            <v>Transport Conveyor</v>
          </cell>
        </row>
        <row r="788">
          <cell r="A788" t="str">
            <v>Conveyor --- Single 153</v>
          </cell>
          <cell r="B788" t="str">
            <v>Transport Conveyor</v>
          </cell>
        </row>
        <row r="789">
          <cell r="A789" t="str">
            <v>Conveyor --- Single 154</v>
          </cell>
          <cell r="B789" t="str">
            <v>Transport Conveyor</v>
          </cell>
        </row>
        <row r="790">
          <cell r="A790" t="str">
            <v>Conveyor --- Single 155</v>
          </cell>
          <cell r="B790" t="str">
            <v>Transport Conveyor</v>
          </cell>
        </row>
        <row r="791">
          <cell r="A791" t="str">
            <v>Conveyor --- Single 156</v>
          </cell>
          <cell r="B791" t="str">
            <v>Transport Conveyor</v>
          </cell>
        </row>
        <row r="792">
          <cell r="A792" t="str">
            <v>Conveyor --- Single 157</v>
          </cell>
          <cell r="B792" t="str">
            <v>Transport Conveyor</v>
          </cell>
        </row>
        <row r="793">
          <cell r="A793" t="str">
            <v>Conveyor --- Single 158</v>
          </cell>
          <cell r="B793" t="str">
            <v>Transport Conveyor</v>
          </cell>
        </row>
        <row r="794">
          <cell r="A794" t="str">
            <v>Conveyor --- Single 159</v>
          </cell>
          <cell r="B794" t="str">
            <v>Transport Conveyor</v>
          </cell>
        </row>
        <row r="795">
          <cell r="A795" t="str">
            <v>Conveyor --- Single 160</v>
          </cell>
          <cell r="B795" t="str">
            <v>Transport Conveyor</v>
          </cell>
        </row>
        <row r="796">
          <cell r="A796" t="str">
            <v>Conveyor --- Single 161</v>
          </cell>
          <cell r="B796" t="str">
            <v>Transport Conveyor</v>
          </cell>
        </row>
        <row r="797">
          <cell r="A797" t="str">
            <v>Conveyor --- Single 162</v>
          </cell>
          <cell r="B797" t="str">
            <v>Transport Conveyor</v>
          </cell>
        </row>
        <row r="798">
          <cell r="A798" t="str">
            <v>Conveyor --- Single 163</v>
          </cell>
          <cell r="B798" t="str">
            <v>Transport Conveyor</v>
          </cell>
        </row>
        <row r="799">
          <cell r="A799" t="str">
            <v>Conveyor --- Single 164</v>
          </cell>
          <cell r="B799" t="str">
            <v>Transport Conveyor</v>
          </cell>
        </row>
        <row r="800">
          <cell r="A800" t="str">
            <v>Conveyor --- Single 165</v>
          </cell>
          <cell r="B800" t="str">
            <v>Transport Conveyor</v>
          </cell>
        </row>
        <row r="801">
          <cell r="A801" t="str">
            <v>Conveyor --- Single 166</v>
          </cell>
          <cell r="B801" t="str">
            <v>Transport Conveyor</v>
          </cell>
        </row>
        <row r="802">
          <cell r="A802" t="str">
            <v>Conveyor --- Single 167</v>
          </cell>
          <cell r="B802" t="str">
            <v>Transport Conveyor</v>
          </cell>
        </row>
        <row r="803">
          <cell r="A803" t="str">
            <v>Conveyor --- Single 168</v>
          </cell>
          <cell r="B803" t="str">
            <v>Transport Conveyor</v>
          </cell>
        </row>
        <row r="804">
          <cell r="A804" t="str">
            <v>Conveyor --- Single 169</v>
          </cell>
          <cell r="B804" t="str">
            <v>Transport Conveyor</v>
          </cell>
        </row>
        <row r="805">
          <cell r="A805" t="str">
            <v>Conveyor --- Single 170</v>
          </cell>
          <cell r="B805" t="str">
            <v>Transport Conveyor</v>
          </cell>
        </row>
        <row r="806">
          <cell r="A806" t="str">
            <v>Conveyor --- Turn Table 90° 1</v>
          </cell>
          <cell r="B806" t="str">
            <v>Transport Turn Table</v>
          </cell>
        </row>
        <row r="807">
          <cell r="A807" t="str">
            <v>Conveyor --- Turn Table 90° 2</v>
          </cell>
          <cell r="B807" t="str">
            <v>Transport Turn Table</v>
          </cell>
        </row>
        <row r="808">
          <cell r="A808" t="str">
            <v>Conveyor --- Turn Table 90° 3</v>
          </cell>
          <cell r="B808" t="str">
            <v>Transport Turn Table</v>
          </cell>
        </row>
        <row r="809">
          <cell r="A809" t="str">
            <v>Conveyor --- Turn Table 90° 4</v>
          </cell>
          <cell r="B809" t="str">
            <v>Transport Turn Table</v>
          </cell>
        </row>
        <row r="810">
          <cell r="A810" t="str">
            <v>Conveyor --- Turn Table 90° 5</v>
          </cell>
          <cell r="B810" t="str">
            <v>Transport Turn Table</v>
          </cell>
        </row>
        <row r="811">
          <cell r="A811" t="str">
            <v>Conveyor --- Turn Table 90° 6</v>
          </cell>
          <cell r="B811" t="str">
            <v>Transport Turn Table</v>
          </cell>
        </row>
        <row r="812">
          <cell r="A812" t="str">
            <v>Conveyor --- Turn Table 90° 7</v>
          </cell>
          <cell r="B812" t="str">
            <v>Transport Turn Table</v>
          </cell>
        </row>
        <row r="813">
          <cell r="A813" t="str">
            <v>Conveyor --- Turn Table 90° 8</v>
          </cell>
          <cell r="B813" t="str">
            <v>Transport Turn Table</v>
          </cell>
        </row>
        <row r="814">
          <cell r="A814" t="str">
            <v>Conveyor --- Turn Table 90° 9</v>
          </cell>
          <cell r="B814" t="str">
            <v>Transport Turn Table</v>
          </cell>
        </row>
        <row r="815">
          <cell r="A815" t="str">
            <v>Conveyor --- Turn Table 90° 10</v>
          </cell>
          <cell r="B815" t="str">
            <v>Transport Turn Table</v>
          </cell>
        </row>
        <row r="816">
          <cell r="A816" t="str">
            <v>Conveyor --- Turn Table 90° 11</v>
          </cell>
          <cell r="B816" t="str">
            <v>Transport Turn Table</v>
          </cell>
        </row>
        <row r="817">
          <cell r="A817" t="str">
            <v>Conveyor --- Turn Table 90° 12</v>
          </cell>
          <cell r="B817" t="str">
            <v>Transport Turn Table</v>
          </cell>
        </row>
        <row r="818">
          <cell r="A818" t="str">
            <v>Conveyor --- Turn Table 90° 13</v>
          </cell>
          <cell r="B818" t="str">
            <v>Transport Turn Table</v>
          </cell>
        </row>
        <row r="819">
          <cell r="A819" t="str">
            <v>Conveyor --- Turn Table 90° 14</v>
          </cell>
          <cell r="B819" t="str">
            <v>Transport Turn Table</v>
          </cell>
        </row>
        <row r="820">
          <cell r="A820" t="str">
            <v>Conveyor --- Turn Table 90° 15</v>
          </cell>
          <cell r="B820" t="str">
            <v>Transport Turn Table</v>
          </cell>
        </row>
        <row r="821">
          <cell r="A821" t="str">
            <v>Conveyor --- Turn Table 90° 16</v>
          </cell>
          <cell r="B821" t="str">
            <v>Transport Turn Table</v>
          </cell>
        </row>
        <row r="822">
          <cell r="A822" t="str">
            <v>Conveyor --- Turn Table 90° 17</v>
          </cell>
          <cell r="B822" t="str">
            <v>Transport Turn Table</v>
          </cell>
        </row>
        <row r="823">
          <cell r="A823" t="str">
            <v>Conveyor --- Turn Table 90° 18</v>
          </cell>
          <cell r="B823" t="str">
            <v>Transport Turn Table</v>
          </cell>
        </row>
        <row r="824">
          <cell r="A824" t="str">
            <v>Conveyor --- Turn Table 90° 19</v>
          </cell>
          <cell r="B824" t="str">
            <v>Transport Turn Table</v>
          </cell>
        </row>
        <row r="825">
          <cell r="A825" t="str">
            <v>Conveyor --- Turn Table 90° 20</v>
          </cell>
          <cell r="B825" t="str">
            <v>Transport Turn Table</v>
          </cell>
        </row>
        <row r="826">
          <cell r="A826" t="str">
            <v>Conveyor --- Turn Table 90° 21</v>
          </cell>
          <cell r="B826" t="str">
            <v>Transport Turn Table</v>
          </cell>
        </row>
        <row r="827">
          <cell r="A827" t="str">
            <v>Conveyor --- Turn Table 90° 22</v>
          </cell>
          <cell r="B827" t="str">
            <v>Transport Turn Table</v>
          </cell>
        </row>
        <row r="828">
          <cell r="A828" t="str">
            <v>Conveyor --- Turn Table 90° 23</v>
          </cell>
          <cell r="B828" t="str">
            <v>Transport Turn Table</v>
          </cell>
        </row>
        <row r="829">
          <cell r="A829" t="str">
            <v>Conveyor --- Turn Table 90° 24</v>
          </cell>
          <cell r="B829" t="str">
            <v>Transport Turn Table</v>
          </cell>
        </row>
        <row r="830">
          <cell r="A830" t="str">
            <v>Conveyor --- Turn Table 90° 25</v>
          </cell>
          <cell r="B830" t="str">
            <v>Transport Turn Table</v>
          </cell>
        </row>
        <row r="831">
          <cell r="A831" t="str">
            <v>Conveyor --- Turn Table 90° 26</v>
          </cell>
          <cell r="B831" t="str">
            <v>Transport Turn Table</v>
          </cell>
        </row>
        <row r="832">
          <cell r="A832" t="str">
            <v>Conveyor --- Turn Table 90° 27</v>
          </cell>
          <cell r="B832" t="str">
            <v>Transport Turn Table</v>
          </cell>
        </row>
        <row r="833">
          <cell r="A833" t="str">
            <v>Conveyor --- Turn Table 90° 28</v>
          </cell>
          <cell r="B833" t="str">
            <v>Transport Turn Table</v>
          </cell>
        </row>
        <row r="834">
          <cell r="A834" t="str">
            <v>Conveyor --- Turn Table 90° 29</v>
          </cell>
          <cell r="B834" t="str">
            <v>Transport Turn Table</v>
          </cell>
        </row>
        <row r="835">
          <cell r="A835" t="str">
            <v>Conveyor --- Turn Table 90° 30</v>
          </cell>
          <cell r="B835" t="str">
            <v>Transport Turn Table</v>
          </cell>
        </row>
        <row r="836">
          <cell r="A836" t="str">
            <v>Conveyor --- Turn Table 90° 31</v>
          </cell>
          <cell r="B836" t="str">
            <v>Transport Turn Table</v>
          </cell>
        </row>
        <row r="837">
          <cell r="A837" t="str">
            <v>Conveyor --- Turn Table 90° 32</v>
          </cell>
          <cell r="B837" t="str">
            <v>Transport Turn Table</v>
          </cell>
        </row>
        <row r="838">
          <cell r="A838" t="str">
            <v>Conveyor --- Turn Table 90° 33</v>
          </cell>
          <cell r="B838" t="str">
            <v>Transport Turn Table</v>
          </cell>
        </row>
        <row r="839">
          <cell r="A839" t="str">
            <v>Conveyor --- Turn Table 90° 34</v>
          </cell>
          <cell r="B839" t="str">
            <v>Transport Turn Table</v>
          </cell>
        </row>
        <row r="840">
          <cell r="A840" t="str">
            <v>Conveyor --- Turn Table 90° 35</v>
          </cell>
          <cell r="B840" t="str">
            <v>Transport Turn Table</v>
          </cell>
        </row>
        <row r="841">
          <cell r="A841" t="str">
            <v>Conveyor --- Turn Table 90° 36</v>
          </cell>
          <cell r="B841" t="str">
            <v>Transport Turn Table</v>
          </cell>
        </row>
        <row r="842">
          <cell r="A842" t="str">
            <v>Conveyor --- Turn Table 90° 37</v>
          </cell>
          <cell r="B842" t="str">
            <v>Transport Turn Table</v>
          </cell>
        </row>
        <row r="843">
          <cell r="A843" t="str">
            <v>Conveyor --- Turn Table 90° 38</v>
          </cell>
          <cell r="B843" t="str">
            <v>Transport Turn Table</v>
          </cell>
        </row>
        <row r="844">
          <cell r="A844" t="str">
            <v>Conveyor --- Turn Table 90° 39</v>
          </cell>
          <cell r="B844" t="str">
            <v>Transport Turn Table</v>
          </cell>
        </row>
        <row r="845">
          <cell r="A845" t="str">
            <v>Conveyor --- Turn Table 90° 40</v>
          </cell>
          <cell r="B845" t="str">
            <v>Transport Turn Table</v>
          </cell>
        </row>
        <row r="846">
          <cell r="A846" t="str">
            <v>Conveyor --- Turn Table 90° 41</v>
          </cell>
          <cell r="B846" t="str">
            <v>Transport Turn Table</v>
          </cell>
        </row>
        <row r="847">
          <cell r="A847" t="str">
            <v>Conveyor --- Turn Table 90° 42</v>
          </cell>
          <cell r="B847" t="str">
            <v>Transport Turn Table</v>
          </cell>
        </row>
        <row r="848">
          <cell r="A848" t="str">
            <v>Conveyor --- Turn Table 90° 43</v>
          </cell>
          <cell r="B848" t="str">
            <v>Transport Turn Table</v>
          </cell>
        </row>
        <row r="849">
          <cell r="A849" t="str">
            <v>Conveyor --- Turn Table 90° 44</v>
          </cell>
          <cell r="B849" t="str">
            <v>Transport Turn Table</v>
          </cell>
        </row>
        <row r="850">
          <cell r="A850" t="str">
            <v>Conveyor --- Turn Table 90° 45</v>
          </cell>
          <cell r="B850" t="str">
            <v>Transport Turn Table</v>
          </cell>
        </row>
        <row r="851">
          <cell r="A851" t="str">
            <v>Conveyor --- Turn Table 90° 46</v>
          </cell>
          <cell r="B851" t="str">
            <v>Transport Turn Table</v>
          </cell>
        </row>
        <row r="852">
          <cell r="A852" t="str">
            <v>Conveyor --- Turn Table 90° 47</v>
          </cell>
          <cell r="B852" t="str">
            <v>Transport Turn Table</v>
          </cell>
        </row>
        <row r="853">
          <cell r="A853" t="str">
            <v>Conveyor --- Turn Table 90° 48</v>
          </cell>
          <cell r="B853" t="str">
            <v>Transport Turn Table</v>
          </cell>
        </row>
        <row r="854">
          <cell r="A854" t="str">
            <v>Conveyor --- Turn Table 90° 49</v>
          </cell>
          <cell r="B854" t="str">
            <v>Transport Turn Table</v>
          </cell>
        </row>
        <row r="855">
          <cell r="A855" t="str">
            <v>Conveyor --- Turn Table 90° 50</v>
          </cell>
          <cell r="B855" t="str">
            <v>Transport Turn Table</v>
          </cell>
        </row>
        <row r="856">
          <cell r="A856" t="str">
            <v>Conveyor --- Turn Table 90° 51</v>
          </cell>
          <cell r="B856" t="str">
            <v>Transport Turn Table</v>
          </cell>
        </row>
        <row r="857">
          <cell r="A857" t="str">
            <v>Conveyor --- Turn Table 90° 52</v>
          </cell>
          <cell r="B857" t="str">
            <v>Transport Turn Table</v>
          </cell>
        </row>
        <row r="858">
          <cell r="A858" t="str">
            <v>Conveyor --- Turn Table 90° 53</v>
          </cell>
          <cell r="B858" t="str">
            <v>Transport Turn Table</v>
          </cell>
        </row>
        <row r="859">
          <cell r="A859" t="str">
            <v>Conveyor --- Turn Table 90° 54</v>
          </cell>
          <cell r="B859" t="str">
            <v>Transport Turn Table</v>
          </cell>
        </row>
        <row r="860">
          <cell r="A860" t="str">
            <v>Conveyor --- Turn Table 90° 55</v>
          </cell>
          <cell r="B860" t="str">
            <v>Transport Turn Table</v>
          </cell>
        </row>
        <row r="861">
          <cell r="A861" t="str">
            <v>Conveyor --- Turn Table 90° 56</v>
          </cell>
          <cell r="B861" t="str">
            <v>Transport Turn Table</v>
          </cell>
        </row>
        <row r="862">
          <cell r="A862" t="str">
            <v>Conveyor --- Turn Table 90° 57</v>
          </cell>
          <cell r="B862" t="str">
            <v>Transport Turn Table</v>
          </cell>
        </row>
        <row r="863">
          <cell r="A863" t="str">
            <v>Conveyor --- Turn Table 90° 58</v>
          </cell>
          <cell r="B863" t="str">
            <v>Transport Turn Table</v>
          </cell>
        </row>
        <row r="864">
          <cell r="A864" t="str">
            <v>Conveyor --- Turn Table 90° 59</v>
          </cell>
          <cell r="B864" t="str">
            <v>Transport Turn Table</v>
          </cell>
        </row>
        <row r="865">
          <cell r="A865" t="str">
            <v>Conveyor --- Turn Table 90° 60</v>
          </cell>
          <cell r="B865" t="str">
            <v>Transport Turn Table</v>
          </cell>
        </row>
        <row r="866">
          <cell r="A866" t="str">
            <v>Conveyor --- Turn Table 90° 61</v>
          </cell>
          <cell r="B866" t="str">
            <v>Transport Turn Table</v>
          </cell>
        </row>
        <row r="867">
          <cell r="A867" t="str">
            <v>Conveyor --- Turn Table 90° 62</v>
          </cell>
          <cell r="B867" t="str">
            <v>Transport Turn Table</v>
          </cell>
        </row>
        <row r="868">
          <cell r="A868" t="str">
            <v>Conveyor --- Turn Table 90° 63</v>
          </cell>
          <cell r="B868" t="str">
            <v>Transport Turn Table</v>
          </cell>
        </row>
        <row r="869">
          <cell r="A869" t="str">
            <v>Conveyor --- Turn Table 90° 64</v>
          </cell>
          <cell r="B869" t="str">
            <v>Transport Turn Table</v>
          </cell>
        </row>
        <row r="870">
          <cell r="A870" t="str">
            <v>Cure Oven --- UV 1</v>
          </cell>
          <cell r="B870" t="str">
            <v>Curing UV</v>
          </cell>
        </row>
        <row r="871">
          <cell r="A871" t="str">
            <v>Cure Oven --- UV 2</v>
          </cell>
          <cell r="B871" t="str">
            <v>Curing UV</v>
          </cell>
        </row>
        <row r="872">
          <cell r="A872" t="str">
            <v>Cure Oven --- UV 3</v>
          </cell>
          <cell r="B872" t="str">
            <v>Curing UV</v>
          </cell>
        </row>
        <row r="873">
          <cell r="A873" t="str">
            <v>Cure Oven --- UV 4</v>
          </cell>
          <cell r="B873" t="str">
            <v>Curing UV</v>
          </cell>
        </row>
        <row r="874">
          <cell r="A874" t="str">
            <v>Cure Oven --- UV 5</v>
          </cell>
          <cell r="B874" t="str">
            <v>Curing UV</v>
          </cell>
        </row>
        <row r="875">
          <cell r="A875" t="str">
            <v>Cure Oven --- UV 6</v>
          </cell>
          <cell r="B875" t="str">
            <v>Curing UV</v>
          </cell>
        </row>
        <row r="876">
          <cell r="A876" t="str">
            <v>Cure Oven --- UV 7</v>
          </cell>
          <cell r="B876" t="str">
            <v>Curing UV</v>
          </cell>
        </row>
        <row r="877">
          <cell r="A877" t="str">
            <v>Cure Oven --- UV 8</v>
          </cell>
          <cell r="B877" t="str">
            <v>Curing UV</v>
          </cell>
        </row>
        <row r="878">
          <cell r="A878" t="str">
            <v>Cure Oven --- UV 9</v>
          </cell>
          <cell r="B878" t="str">
            <v>Curing UV</v>
          </cell>
        </row>
        <row r="879">
          <cell r="A879" t="str">
            <v>Cure Oven --- UV 10</v>
          </cell>
          <cell r="B879" t="str">
            <v>Curing UV</v>
          </cell>
        </row>
        <row r="880">
          <cell r="A880" t="str">
            <v>Curing Oven 1</v>
          </cell>
          <cell r="B880" t="str">
            <v>Curing</v>
          </cell>
        </row>
        <row r="881">
          <cell r="A881" t="str">
            <v>Curing Oven 2</v>
          </cell>
          <cell r="B881" t="str">
            <v>Curing</v>
          </cell>
        </row>
        <row r="882">
          <cell r="A882" t="str">
            <v>Curing Oven 3</v>
          </cell>
          <cell r="B882" t="str">
            <v>Curing</v>
          </cell>
        </row>
        <row r="883">
          <cell r="A883" t="str">
            <v>Curing Oven 4</v>
          </cell>
          <cell r="B883" t="str">
            <v>Curing</v>
          </cell>
        </row>
        <row r="884">
          <cell r="A884" t="str">
            <v>Curing Oven 5</v>
          </cell>
          <cell r="B884" t="str">
            <v>Curing</v>
          </cell>
        </row>
        <row r="885">
          <cell r="A885" t="str">
            <v>Curing Oven 6</v>
          </cell>
          <cell r="B885" t="str">
            <v>Curing</v>
          </cell>
        </row>
        <row r="886">
          <cell r="A886" t="str">
            <v>Curing Oven 7</v>
          </cell>
          <cell r="B886" t="str">
            <v>Curing</v>
          </cell>
        </row>
        <row r="887">
          <cell r="A887" t="str">
            <v>Curing Oven 8</v>
          </cell>
          <cell r="B887" t="str">
            <v>Curing</v>
          </cell>
        </row>
        <row r="888">
          <cell r="A888" t="str">
            <v>Curing Oven 9</v>
          </cell>
          <cell r="B888" t="str">
            <v>Curing</v>
          </cell>
        </row>
        <row r="889">
          <cell r="A889" t="str">
            <v>Curing Oven 10</v>
          </cell>
          <cell r="B889" t="str">
            <v>Curing</v>
          </cell>
        </row>
        <row r="890">
          <cell r="A890" t="str">
            <v>Die Attach 1</v>
          </cell>
          <cell r="B890" t="str">
            <v>Automatic Placement --- Die</v>
          </cell>
        </row>
        <row r="891">
          <cell r="A891" t="str">
            <v>Die Attach 2</v>
          </cell>
          <cell r="B891" t="str">
            <v>Automatic Placement --- Die</v>
          </cell>
        </row>
        <row r="892">
          <cell r="A892" t="str">
            <v>Die Attach 3</v>
          </cell>
          <cell r="B892" t="str">
            <v>Automatic Placement --- Die</v>
          </cell>
        </row>
        <row r="893">
          <cell r="A893" t="str">
            <v>Die Attach 4</v>
          </cell>
          <cell r="B893" t="str">
            <v>Automatic Placement --- Die</v>
          </cell>
        </row>
        <row r="894">
          <cell r="A894" t="str">
            <v>Die Attach 5</v>
          </cell>
          <cell r="B894" t="str">
            <v>Automatic Placement --- Die</v>
          </cell>
        </row>
        <row r="895">
          <cell r="A895" t="str">
            <v>Die Attach 6</v>
          </cell>
          <cell r="B895" t="str">
            <v>Automatic Placement --- Die</v>
          </cell>
        </row>
        <row r="896">
          <cell r="A896" t="str">
            <v>Die Attach 7</v>
          </cell>
          <cell r="B896" t="str">
            <v>Automatic Placement --- Die</v>
          </cell>
        </row>
        <row r="897">
          <cell r="A897" t="str">
            <v>Die Attach 8</v>
          </cell>
          <cell r="B897" t="str">
            <v>Automatic Placement --- Die</v>
          </cell>
        </row>
        <row r="898">
          <cell r="A898" t="str">
            <v>Die Attach 9</v>
          </cell>
          <cell r="B898" t="str">
            <v>Automatic Placement --- Die</v>
          </cell>
        </row>
        <row r="899">
          <cell r="A899" t="str">
            <v>Die Attach 10</v>
          </cell>
          <cell r="B899" t="str">
            <v>Automatic Placement --- Die</v>
          </cell>
        </row>
        <row r="900">
          <cell r="A900" t="str">
            <v>Dispensing --- TIM 1</v>
          </cell>
          <cell r="B900" t="str">
            <v>Dispensing TIM</v>
          </cell>
        </row>
        <row r="901">
          <cell r="A901" t="str">
            <v>Dispensing --- TIM 2</v>
          </cell>
          <cell r="B901" t="str">
            <v>Dispensing TIM</v>
          </cell>
        </row>
        <row r="902">
          <cell r="A902" t="str">
            <v>Dispensing --- TIM 3</v>
          </cell>
          <cell r="B902" t="str">
            <v>Dispensing TIM</v>
          </cell>
        </row>
        <row r="903">
          <cell r="A903" t="str">
            <v>Dispensing --- TIM 4</v>
          </cell>
          <cell r="B903" t="str">
            <v>Dispensing TIM</v>
          </cell>
        </row>
        <row r="904">
          <cell r="A904" t="str">
            <v>Dispensing --- TIM 5</v>
          </cell>
          <cell r="B904" t="str">
            <v>Dispensing TIM</v>
          </cell>
        </row>
        <row r="905">
          <cell r="A905" t="str">
            <v>Dispensing --- TIM 6</v>
          </cell>
          <cell r="B905" t="str">
            <v>Dispensing TIM</v>
          </cell>
        </row>
        <row r="906">
          <cell r="A906" t="str">
            <v>Dispensing --- TIM 7</v>
          </cell>
          <cell r="B906" t="str">
            <v>Dispensing TIM</v>
          </cell>
        </row>
        <row r="907">
          <cell r="A907" t="str">
            <v>Dispensing --- TIM 8</v>
          </cell>
          <cell r="B907" t="str">
            <v>Dispensing TIM</v>
          </cell>
        </row>
        <row r="908">
          <cell r="A908" t="str">
            <v>Dispensing --- TIM 9</v>
          </cell>
          <cell r="B908" t="str">
            <v>Dispensing TIM</v>
          </cell>
        </row>
        <row r="909">
          <cell r="A909" t="str">
            <v>Dispensing --- TIM 10</v>
          </cell>
          <cell r="B909" t="str">
            <v>Dispensing TIM</v>
          </cell>
        </row>
        <row r="910">
          <cell r="A910" t="str">
            <v>Dispensing Conformal Coating 1</v>
          </cell>
          <cell r="B910" t="str">
            <v>Dispensing Conformal Coating</v>
          </cell>
        </row>
        <row r="911">
          <cell r="A911" t="str">
            <v>Dispensing Conformal Coating 2</v>
          </cell>
          <cell r="B911" t="str">
            <v>Dispensing Conformal Coating</v>
          </cell>
        </row>
        <row r="912">
          <cell r="A912" t="str">
            <v>Dispensing Conformal Coating 3</v>
          </cell>
          <cell r="B912" t="str">
            <v>Dispensing Conformal Coating</v>
          </cell>
        </row>
        <row r="913">
          <cell r="A913" t="str">
            <v>Dispensing Conformal Coating 4</v>
          </cell>
          <cell r="B913" t="str">
            <v>Dispensing Conformal Coating</v>
          </cell>
        </row>
        <row r="914">
          <cell r="A914" t="str">
            <v>Dispensing Conformal Coating 5</v>
          </cell>
          <cell r="B914" t="str">
            <v>Dispensing Conformal Coating</v>
          </cell>
        </row>
        <row r="915">
          <cell r="A915" t="str">
            <v>Dispensing Conformal Coating 6</v>
          </cell>
          <cell r="B915" t="str">
            <v>Dispensing Conformal Coating</v>
          </cell>
        </row>
        <row r="916">
          <cell r="A916" t="str">
            <v>Dispensing Conformal Coating 7</v>
          </cell>
          <cell r="B916" t="str">
            <v>Dispensing Conformal Coating</v>
          </cell>
        </row>
        <row r="917">
          <cell r="A917" t="str">
            <v>Dispensing Conformal Coating 8</v>
          </cell>
          <cell r="B917" t="str">
            <v>Dispensing Conformal Coating</v>
          </cell>
        </row>
        <row r="918">
          <cell r="A918" t="str">
            <v>Dispensing Conformal Coating 9</v>
          </cell>
          <cell r="B918" t="str">
            <v>Dispensing Conformal Coating</v>
          </cell>
        </row>
        <row r="919">
          <cell r="A919" t="str">
            <v>Dispensing Conformal Coating 10</v>
          </cell>
          <cell r="B919" t="str">
            <v>Dispensing Conformal Coating</v>
          </cell>
        </row>
        <row r="920">
          <cell r="A920" t="str">
            <v>Dispensing Conformal Coating 11</v>
          </cell>
          <cell r="B920" t="str">
            <v>Dispensing Conformal Coating</v>
          </cell>
        </row>
        <row r="921">
          <cell r="A921" t="str">
            <v>Dispensing Conformal Coating 12</v>
          </cell>
          <cell r="B921" t="str">
            <v>Dispensing Conformal Coating</v>
          </cell>
        </row>
        <row r="922">
          <cell r="A922" t="str">
            <v>Dispensing Conformal Coating 13</v>
          </cell>
          <cell r="B922" t="str">
            <v>Dispensing Conformal Coating</v>
          </cell>
        </row>
        <row r="923">
          <cell r="A923" t="str">
            <v>Dispensing Conformal Coating 14</v>
          </cell>
          <cell r="B923" t="str">
            <v>Dispensing Conformal Coating</v>
          </cell>
        </row>
        <row r="924">
          <cell r="A924" t="str">
            <v>Dispensing Conformal Coating 15</v>
          </cell>
          <cell r="B924" t="str">
            <v>Dispensing Conformal Coating</v>
          </cell>
        </row>
        <row r="925">
          <cell r="A925" t="str">
            <v>Dispensing Conformal Coating 16</v>
          </cell>
          <cell r="B925" t="str">
            <v>Dispensing Conformal Coating</v>
          </cell>
        </row>
        <row r="926">
          <cell r="A926" t="str">
            <v>Dispensing Conformal Coating 17</v>
          </cell>
          <cell r="B926" t="str">
            <v>Dispensing Conformal Coating</v>
          </cell>
        </row>
        <row r="927">
          <cell r="A927" t="str">
            <v>Dispensing Conformal Coating 18</v>
          </cell>
          <cell r="B927" t="str">
            <v>Dispensing Conformal Coating</v>
          </cell>
        </row>
        <row r="928">
          <cell r="A928" t="str">
            <v>Dispensing Conformal Coating 19</v>
          </cell>
          <cell r="B928" t="str">
            <v>Dispensing Conformal Coating</v>
          </cell>
        </row>
        <row r="929">
          <cell r="A929" t="str">
            <v>Dispensing Conformal Coating 20</v>
          </cell>
          <cell r="B929" t="str">
            <v>Dispensing Conformal Coating</v>
          </cell>
        </row>
        <row r="930">
          <cell r="A930" t="str">
            <v>Dispensing Conformal Coating 21</v>
          </cell>
          <cell r="B930" t="str">
            <v>Dispensing Conformal Coating</v>
          </cell>
        </row>
        <row r="931">
          <cell r="A931" t="str">
            <v>Dispensing Conformal Coating 22</v>
          </cell>
          <cell r="B931" t="str">
            <v>Dispensing Conformal Coating</v>
          </cell>
        </row>
        <row r="932">
          <cell r="A932" t="str">
            <v>Dispensing Conformal Coating 23</v>
          </cell>
          <cell r="B932" t="str">
            <v>Dispensing Conformal Coating</v>
          </cell>
        </row>
        <row r="933">
          <cell r="A933" t="str">
            <v>Dispensing Conformal Coating 24</v>
          </cell>
          <cell r="B933" t="str">
            <v>Dispensing Conformal Coating</v>
          </cell>
        </row>
        <row r="934">
          <cell r="A934" t="str">
            <v>Dispensing Conformal Coating 25</v>
          </cell>
          <cell r="B934" t="str">
            <v>Dispensing Conformal Coating</v>
          </cell>
        </row>
        <row r="935">
          <cell r="A935" t="str">
            <v>Dispensing Conformal Coating 26</v>
          </cell>
          <cell r="B935" t="str">
            <v>Dispensing Conformal Coating</v>
          </cell>
        </row>
        <row r="936">
          <cell r="A936" t="str">
            <v>Dispensing Conformal Coating 27</v>
          </cell>
          <cell r="B936" t="str">
            <v>Dispensing Conformal Coating</v>
          </cell>
        </row>
        <row r="937">
          <cell r="A937" t="str">
            <v>Dispensing Conformal Coating 28</v>
          </cell>
          <cell r="B937" t="str">
            <v>Dispensing Conformal Coating</v>
          </cell>
        </row>
        <row r="938">
          <cell r="A938" t="str">
            <v>Dispensing Conformal Coating 29</v>
          </cell>
          <cell r="B938" t="str">
            <v>Dispensing Conformal Coating</v>
          </cell>
        </row>
        <row r="939">
          <cell r="A939" t="str">
            <v>Dispensing Conformal Coating 30</v>
          </cell>
          <cell r="B939" t="str">
            <v>Dispensing Conformal Coating</v>
          </cell>
        </row>
        <row r="940">
          <cell r="A940" t="str">
            <v>Dispensing Encapsulant 1</v>
          </cell>
          <cell r="B940" t="str">
            <v>Dispensing Encapsulant</v>
          </cell>
        </row>
        <row r="941">
          <cell r="A941" t="str">
            <v>Dispensing Encapsulant 2</v>
          </cell>
          <cell r="B941" t="str">
            <v>Dispensing Encapsulant</v>
          </cell>
        </row>
        <row r="942">
          <cell r="A942" t="str">
            <v>Dispensing Encapsulant 3</v>
          </cell>
          <cell r="B942" t="str">
            <v>Dispensing Encapsulant</v>
          </cell>
        </row>
        <row r="943">
          <cell r="A943" t="str">
            <v>Dispensing Encapsulant 4</v>
          </cell>
          <cell r="B943" t="str">
            <v>Dispensing Encapsulant</v>
          </cell>
        </row>
        <row r="944">
          <cell r="A944" t="str">
            <v>Dispensing Flux 1</v>
          </cell>
          <cell r="B944" t="str">
            <v>Dispensing Flux</v>
          </cell>
        </row>
        <row r="945">
          <cell r="A945" t="str">
            <v>Dispensing Flux 2</v>
          </cell>
          <cell r="B945" t="str">
            <v>Dispensing Flux</v>
          </cell>
        </row>
        <row r="946">
          <cell r="A946" t="str">
            <v>Dispensing Flux 3</v>
          </cell>
          <cell r="B946" t="str">
            <v>Dispensing Flux</v>
          </cell>
        </row>
        <row r="947">
          <cell r="A947" t="str">
            <v>Dispensing Flux 4</v>
          </cell>
          <cell r="B947" t="str">
            <v>Dispensing Flux</v>
          </cell>
        </row>
        <row r="948">
          <cell r="A948" t="str">
            <v>Dispensing Flux 5</v>
          </cell>
          <cell r="B948" t="str">
            <v>Dispensing Flux</v>
          </cell>
        </row>
        <row r="949">
          <cell r="A949" t="str">
            <v>Dispensing Flux 6</v>
          </cell>
          <cell r="B949" t="str">
            <v>Dispensing Flux</v>
          </cell>
        </row>
        <row r="950">
          <cell r="A950" t="str">
            <v>Dispensing Flux 7</v>
          </cell>
          <cell r="B950" t="str">
            <v>Dispensing Flux</v>
          </cell>
        </row>
        <row r="951">
          <cell r="A951" t="str">
            <v>Dispensing Flux 8</v>
          </cell>
          <cell r="B951" t="str">
            <v>Dispensing Flux</v>
          </cell>
        </row>
        <row r="952">
          <cell r="A952" t="str">
            <v>Dispensing Glue 1</v>
          </cell>
          <cell r="B952" t="str">
            <v>Dispensing Glue</v>
          </cell>
        </row>
        <row r="953">
          <cell r="A953" t="str">
            <v>Dispensing Glue 2</v>
          </cell>
          <cell r="B953" t="str">
            <v>Dispensing Glue</v>
          </cell>
        </row>
        <row r="954">
          <cell r="A954" t="str">
            <v>Dispensing Glue 3</v>
          </cell>
          <cell r="B954" t="str">
            <v>Dispensing Glue</v>
          </cell>
        </row>
        <row r="955">
          <cell r="A955" t="str">
            <v>Dispensing Glue 4</v>
          </cell>
          <cell r="B955" t="str">
            <v>Dispensing Glue</v>
          </cell>
        </row>
        <row r="956">
          <cell r="A956" t="str">
            <v>Dispensing Glue 5</v>
          </cell>
          <cell r="B956" t="str">
            <v>Dispensing Glue</v>
          </cell>
        </row>
        <row r="957">
          <cell r="A957" t="str">
            <v>Dispensing Glue 6</v>
          </cell>
          <cell r="B957" t="str">
            <v>Dispensing Glue</v>
          </cell>
        </row>
        <row r="958">
          <cell r="A958" t="str">
            <v>Dispensing Glue 7</v>
          </cell>
          <cell r="B958" t="str">
            <v>Dispensing Glue</v>
          </cell>
        </row>
        <row r="959">
          <cell r="A959" t="str">
            <v>Dispensing Glue 8</v>
          </cell>
          <cell r="B959" t="str">
            <v>Dispensing Glue</v>
          </cell>
        </row>
        <row r="960">
          <cell r="A960" t="str">
            <v>Dispensing Glue 9</v>
          </cell>
          <cell r="B960" t="str">
            <v>Dispensing Glue</v>
          </cell>
        </row>
        <row r="961">
          <cell r="A961" t="str">
            <v>Dispensing Glue 10</v>
          </cell>
          <cell r="B961" t="str">
            <v>Dispensing Glue</v>
          </cell>
        </row>
        <row r="962">
          <cell r="A962" t="str">
            <v>Dispensing Glue 11</v>
          </cell>
          <cell r="B962" t="str">
            <v>Dispensing Glue</v>
          </cell>
        </row>
        <row r="963">
          <cell r="A963" t="str">
            <v>Dispensing Glue 1 Dual Lane</v>
          </cell>
          <cell r="B963" t="str">
            <v>Dispensing Glue</v>
          </cell>
        </row>
        <row r="964">
          <cell r="A964" t="str">
            <v>Dispensing Glue 2 Dual Lane</v>
          </cell>
          <cell r="B964" t="str">
            <v>Dispensing Glue</v>
          </cell>
        </row>
        <row r="965">
          <cell r="A965" t="str">
            <v>Dispensing Glue 3 Dual Lane</v>
          </cell>
          <cell r="B965" t="str">
            <v>Dispensing Glue</v>
          </cell>
        </row>
        <row r="966">
          <cell r="A966" t="str">
            <v>Dispensing Glue 4 Dual Lane</v>
          </cell>
          <cell r="B966" t="str">
            <v>Dispensing Glue</v>
          </cell>
        </row>
        <row r="967">
          <cell r="A967" t="str">
            <v>Dispensing Glue 5 Dual Lane</v>
          </cell>
          <cell r="B967" t="str">
            <v>Dispensing Glue</v>
          </cell>
        </row>
        <row r="968">
          <cell r="A968" t="str">
            <v>Dispensing Glue 6 Dual Lane</v>
          </cell>
          <cell r="B968" t="str">
            <v>Dispensing Glue</v>
          </cell>
        </row>
        <row r="969">
          <cell r="A969" t="str">
            <v>Dispensing Glue 7 Dual Lane</v>
          </cell>
          <cell r="B969" t="str">
            <v>Dispensing Glue</v>
          </cell>
        </row>
        <row r="970">
          <cell r="A970" t="str">
            <v>Dispensing Glue 8 Dual Lane</v>
          </cell>
          <cell r="B970" t="str">
            <v>Dispensing Glue</v>
          </cell>
        </row>
        <row r="971">
          <cell r="A971" t="str">
            <v>Dispensing Glue 9 Dual Lane</v>
          </cell>
          <cell r="B971" t="str">
            <v>Dispensing Glue</v>
          </cell>
        </row>
        <row r="972">
          <cell r="A972" t="str">
            <v>Dispensing Glue 10 Dual Lane</v>
          </cell>
          <cell r="B972" t="str">
            <v>Dispensing Glue</v>
          </cell>
        </row>
        <row r="973">
          <cell r="A973" t="str">
            <v>Dispensing Glue 11 Dual Lane</v>
          </cell>
          <cell r="B973" t="str">
            <v>Dispensing Glue</v>
          </cell>
        </row>
        <row r="974">
          <cell r="A974" t="str">
            <v>Dispensing Nanocoating 1</v>
          </cell>
          <cell r="B974" t="str">
            <v>Dispensing Nanocoating</v>
          </cell>
        </row>
        <row r="975">
          <cell r="A975" t="str">
            <v>Dispensing Nanocoating 2</v>
          </cell>
          <cell r="B975" t="str">
            <v>Dispensing Nanocoating</v>
          </cell>
        </row>
        <row r="976">
          <cell r="A976" t="str">
            <v>Dispensing Nanocoating 3</v>
          </cell>
          <cell r="B976" t="str">
            <v>Dispensing Nanocoating</v>
          </cell>
        </row>
        <row r="977">
          <cell r="A977" t="str">
            <v>Dispensing Nanocoating 4</v>
          </cell>
          <cell r="B977" t="str">
            <v>Dispensing Nanocoating</v>
          </cell>
        </row>
        <row r="978">
          <cell r="A978" t="str">
            <v>Dispensing Nanocoating 5</v>
          </cell>
          <cell r="B978" t="str">
            <v>Dispensing Nanocoating</v>
          </cell>
        </row>
        <row r="979">
          <cell r="A979" t="str">
            <v>Dispensing Nanocoating 6</v>
          </cell>
          <cell r="B979" t="str">
            <v>Dispensing Nanocoating</v>
          </cell>
        </row>
        <row r="980">
          <cell r="A980" t="str">
            <v>Dispensing Nanocoating 7</v>
          </cell>
          <cell r="B980" t="str">
            <v>Dispensing Nanocoating</v>
          </cell>
        </row>
        <row r="981">
          <cell r="A981" t="str">
            <v>Dispensing Nanocoating 8</v>
          </cell>
          <cell r="B981" t="str">
            <v>Dispensing Nanocoating</v>
          </cell>
        </row>
        <row r="982">
          <cell r="A982" t="str">
            <v>Dispensing Nanocoating 9</v>
          </cell>
          <cell r="B982" t="str">
            <v>Dispensing Nanocoating</v>
          </cell>
        </row>
        <row r="983">
          <cell r="A983" t="str">
            <v>Dispensing Nanocoating 10</v>
          </cell>
          <cell r="B983" t="str">
            <v>Dispensing Nanocoating</v>
          </cell>
        </row>
        <row r="984">
          <cell r="A984" t="str">
            <v>Dispensing Potting 1</v>
          </cell>
          <cell r="B984" t="str">
            <v>Dispensing Potting</v>
          </cell>
        </row>
        <row r="985">
          <cell r="A985" t="str">
            <v>Dispensing Potting 2</v>
          </cell>
          <cell r="B985" t="str">
            <v>Dispensing Potting</v>
          </cell>
        </row>
        <row r="986">
          <cell r="A986" t="str">
            <v>Dispensing Potting 3</v>
          </cell>
          <cell r="B986" t="str">
            <v>Dispensing Potting</v>
          </cell>
        </row>
        <row r="987">
          <cell r="A987" t="str">
            <v>Dispensing Potting 4</v>
          </cell>
          <cell r="B987" t="str">
            <v>Dispensing Potting</v>
          </cell>
        </row>
        <row r="988">
          <cell r="A988" t="str">
            <v>Dispensing Potting 5</v>
          </cell>
          <cell r="B988" t="str">
            <v>Dispensing Potting</v>
          </cell>
        </row>
        <row r="989">
          <cell r="A989" t="str">
            <v>Dispensing Potting 6</v>
          </cell>
          <cell r="B989" t="str">
            <v>Dispensing Potting</v>
          </cell>
        </row>
        <row r="990">
          <cell r="A990" t="str">
            <v>Dispensing Potting 7</v>
          </cell>
          <cell r="B990" t="str">
            <v>Dispensing Potting</v>
          </cell>
        </row>
        <row r="991">
          <cell r="A991" t="str">
            <v>Dispensing Potting 8</v>
          </cell>
          <cell r="B991" t="str">
            <v>Dispensing Potting</v>
          </cell>
        </row>
        <row r="992">
          <cell r="A992" t="str">
            <v>Dispensing Potting 9</v>
          </cell>
          <cell r="B992" t="str">
            <v>Dispensing Potting</v>
          </cell>
        </row>
        <row r="993">
          <cell r="A993" t="str">
            <v>Dispensing Potting 10</v>
          </cell>
          <cell r="B993" t="str">
            <v>Dispensing Potting</v>
          </cell>
        </row>
        <row r="994">
          <cell r="A994" t="str">
            <v>Dispensing RTV 1</v>
          </cell>
          <cell r="B994" t="str">
            <v>Dispensing RTV</v>
          </cell>
        </row>
        <row r="995">
          <cell r="A995" t="str">
            <v>Dispensing RTV 2</v>
          </cell>
          <cell r="B995" t="str">
            <v>Dispensing RTV</v>
          </cell>
        </row>
        <row r="996">
          <cell r="A996" t="str">
            <v>Dispensing RTV 3</v>
          </cell>
          <cell r="B996" t="str">
            <v>Dispensing RTV</v>
          </cell>
        </row>
        <row r="997">
          <cell r="A997" t="str">
            <v>Dispensing RTV 4</v>
          </cell>
          <cell r="B997" t="str">
            <v>Dispensing RTV</v>
          </cell>
        </row>
        <row r="998">
          <cell r="A998" t="str">
            <v>Dispensing RTV 5</v>
          </cell>
          <cell r="B998" t="str">
            <v>Dispensing RTV</v>
          </cell>
        </row>
        <row r="999">
          <cell r="A999" t="str">
            <v>Dispensing RTV 6</v>
          </cell>
          <cell r="B999" t="str">
            <v>Dispensing RTV</v>
          </cell>
        </row>
        <row r="1000">
          <cell r="A1000" t="str">
            <v>Dispensing RTV 7</v>
          </cell>
          <cell r="B1000" t="str">
            <v>Dispensing RTV</v>
          </cell>
        </row>
        <row r="1001">
          <cell r="A1001" t="str">
            <v>Dispensing RTV 8</v>
          </cell>
          <cell r="B1001" t="str">
            <v>Dispensing RTV</v>
          </cell>
        </row>
        <row r="1002">
          <cell r="A1002" t="str">
            <v>Dispensing RTV 9</v>
          </cell>
          <cell r="B1002" t="str">
            <v>Dispensing RTV</v>
          </cell>
        </row>
        <row r="1003">
          <cell r="A1003" t="str">
            <v>Dispensing RTV 10</v>
          </cell>
          <cell r="B1003" t="str">
            <v>Dispensing RTV</v>
          </cell>
        </row>
        <row r="1004">
          <cell r="A1004" t="str">
            <v>Dispensing Solder Paste 1</v>
          </cell>
          <cell r="B1004" t="str">
            <v>Dispensing Solder Pate</v>
          </cell>
        </row>
        <row r="1005">
          <cell r="A1005" t="str">
            <v>Dispensing Solder Paste 2</v>
          </cell>
          <cell r="B1005" t="str">
            <v>Dispensing Solder Pate</v>
          </cell>
        </row>
        <row r="1006">
          <cell r="A1006" t="str">
            <v>Dispensing Solder Paste 3</v>
          </cell>
          <cell r="B1006" t="str">
            <v>Dispensing Solder Pate</v>
          </cell>
        </row>
        <row r="1007">
          <cell r="A1007" t="str">
            <v>Dispensing Solder Paste 4</v>
          </cell>
          <cell r="B1007" t="str">
            <v>Dispensing Solder Pate</v>
          </cell>
        </row>
        <row r="1008">
          <cell r="A1008" t="str">
            <v>Dispensing Solder Paste 5</v>
          </cell>
          <cell r="B1008" t="str">
            <v>Dispensing Solder Pate</v>
          </cell>
        </row>
        <row r="1009">
          <cell r="A1009" t="str">
            <v>Dispensing Solder Paste 6</v>
          </cell>
          <cell r="B1009" t="str">
            <v>Dispensing Solder Pate</v>
          </cell>
        </row>
        <row r="1010">
          <cell r="A1010" t="str">
            <v>Dispensing Solder Paste 7</v>
          </cell>
          <cell r="B1010" t="str">
            <v>Dispensing Solder Pate</v>
          </cell>
        </row>
        <row r="1011">
          <cell r="A1011" t="str">
            <v>Dispensing Solder Paste 8</v>
          </cell>
          <cell r="B1011" t="str">
            <v>Dispensing Solder Pate</v>
          </cell>
        </row>
        <row r="1012">
          <cell r="A1012" t="str">
            <v>Dispensing underfill 1</v>
          </cell>
          <cell r="B1012" t="str">
            <v>Dispensing Underfill</v>
          </cell>
        </row>
        <row r="1013">
          <cell r="A1013" t="str">
            <v>Dispensing underfill 2</v>
          </cell>
          <cell r="B1013" t="str">
            <v>Dispensing Underfill</v>
          </cell>
        </row>
        <row r="1014">
          <cell r="A1014" t="str">
            <v>Dispensing underfill 3</v>
          </cell>
          <cell r="B1014" t="str">
            <v>Dispensing Underfill</v>
          </cell>
        </row>
        <row r="1015">
          <cell r="A1015" t="str">
            <v>Dispensing underfill 4</v>
          </cell>
          <cell r="B1015" t="str">
            <v>Dispensing Underfill</v>
          </cell>
        </row>
        <row r="1016">
          <cell r="A1016" t="str">
            <v>Dispensing underfill 5</v>
          </cell>
          <cell r="B1016" t="str">
            <v>Dispensing Underfill</v>
          </cell>
        </row>
        <row r="1017">
          <cell r="A1017" t="str">
            <v>Dispensing underfill 6</v>
          </cell>
          <cell r="B1017" t="str">
            <v>Dispensing Underfill</v>
          </cell>
        </row>
        <row r="1018">
          <cell r="A1018" t="str">
            <v>Dispensing underfill 7</v>
          </cell>
          <cell r="B1018" t="str">
            <v>Dispensing Underfill</v>
          </cell>
        </row>
        <row r="1019">
          <cell r="A1019" t="str">
            <v>Dispensing underfill 8</v>
          </cell>
          <cell r="B1019" t="str">
            <v>Dispensing Underfill</v>
          </cell>
        </row>
        <row r="1020">
          <cell r="A1020" t="str">
            <v>Dispensing underfill 9</v>
          </cell>
          <cell r="B1020" t="str">
            <v>Dispensing Underfill</v>
          </cell>
        </row>
        <row r="1021">
          <cell r="A1021" t="str">
            <v>Dispensing underfill 10</v>
          </cell>
          <cell r="B1021" t="str">
            <v>Dispensing Underfill</v>
          </cell>
        </row>
        <row r="1022">
          <cell r="A1022" t="str">
            <v>Heat Stake 1</v>
          </cell>
          <cell r="B1022" t="str">
            <v>Mechanical Assembly</v>
          </cell>
        </row>
        <row r="1023">
          <cell r="A1023" t="str">
            <v>Heat Stake 2</v>
          </cell>
          <cell r="B1023" t="str">
            <v>Mechanical Assembly</v>
          </cell>
        </row>
        <row r="1024">
          <cell r="A1024" t="str">
            <v>Heat Stake 3</v>
          </cell>
          <cell r="B1024" t="str">
            <v>Mechanical Assembly</v>
          </cell>
        </row>
        <row r="1025">
          <cell r="A1025" t="str">
            <v>Heat Stake 4</v>
          </cell>
          <cell r="B1025" t="str">
            <v>Mechanical Assembly</v>
          </cell>
        </row>
        <row r="1026">
          <cell r="A1026" t="str">
            <v>Labeling Housing 1</v>
          </cell>
          <cell r="B1026" t="str">
            <v>Manual Labeling Housing</v>
          </cell>
        </row>
        <row r="1027">
          <cell r="A1027" t="str">
            <v>Laser Marker --- PCB 1</v>
          </cell>
          <cell r="B1027" t="str">
            <v>Labeling</v>
          </cell>
        </row>
        <row r="1028">
          <cell r="A1028" t="str">
            <v>Laser Marker --- PCB 2</v>
          </cell>
          <cell r="B1028" t="str">
            <v>Labeling</v>
          </cell>
        </row>
        <row r="1029">
          <cell r="A1029" t="str">
            <v>Laser Marker --- PCB 3</v>
          </cell>
          <cell r="B1029" t="str">
            <v>Labeling</v>
          </cell>
        </row>
        <row r="1030">
          <cell r="A1030" t="str">
            <v>Laser Marker --- PCB 4</v>
          </cell>
          <cell r="B1030" t="str">
            <v>Labeling</v>
          </cell>
        </row>
        <row r="1031">
          <cell r="A1031" t="str">
            <v>Laser Marker --- Plastics 1</v>
          </cell>
          <cell r="B1031" t="str">
            <v>Labeling</v>
          </cell>
        </row>
        <row r="1032">
          <cell r="A1032" t="str">
            <v>Laser Marker --- Plastics 2</v>
          </cell>
          <cell r="B1032" t="str">
            <v>Labeling</v>
          </cell>
        </row>
        <row r="1033">
          <cell r="A1033" t="str">
            <v>Laser Marker --- Plastics 3</v>
          </cell>
          <cell r="B1033" t="str">
            <v>Labeling</v>
          </cell>
        </row>
        <row r="1034">
          <cell r="A1034" t="str">
            <v>Laser Marker --- Plastics 4</v>
          </cell>
          <cell r="B1034" t="str">
            <v>Labeling</v>
          </cell>
        </row>
        <row r="1035">
          <cell r="A1035" t="str">
            <v>Lead Forming --- Axial/ Radial Component 1</v>
          </cell>
          <cell r="B1035" t="str">
            <v>Material Preparation</v>
          </cell>
        </row>
        <row r="1036">
          <cell r="A1036" t="str">
            <v>Lead Forming --- Axial/ Radial Component 2</v>
          </cell>
          <cell r="B1036" t="str">
            <v>Material Preparation</v>
          </cell>
        </row>
        <row r="1037">
          <cell r="A1037" t="str">
            <v>Lead Forming --- Axial/ Radial Component 3</v>
          </cell>
          <cell r="B1037" t="str">
            <v>Material Preparation</v>
          </cell>
        </row>
        <row r="1038">
          <cell r="A1038" t="str">
            <v>Lead Forming --- Axial/ Radial Component 4</v>
          </cell>
          <cell r="B1038" t="str">
            <v>Material Preparation</v>
          </cell>
        </row>
        <row r="1039">
          <cell r="A1039" t="str">
            <v>Lead Trimming --- Axial/ Radial Component 1</v>
          </cell>
          <cell r="B1039" t="str">
            <v>Material Preparation</v>
          </cell>
        </row>
        <row r="1040">
          <cell r="A1040" t="str">
            <v>Lead Trimming --- Axial/ Radial Component 2</v>
          </cell>
          <cell r="B1040" t="str">
            <v>Material Preparation</v>
          </cell>
        </row>
        <row r="1041">
          <cell r="A1041" t="str">
            <v>Lead Trimming --- Axial/ Radial Component 3</v>
          </cell>
          <cell r="B1041" t="str">
            <v>Material Preparation</v>
          </cell>
        </row>
        <row r="1042">
          <cell r="A1042" t="str">
            <v>Lead Trimming --- Axial/ Radial Component 4</v>
          </cell>
          <cell r="B1042" t="str">
            <v>Material Preparation</v>
          </cell>
        </row>
        <row r="1043">
          <cell r="A1043" t="str">
            <v>P&amp;P Plastic parts 1</v>
          </cell>
          <cell r="B1043" t="str">
            <v>Automatic Placement --- Plastics</v>
          </cell>
        </row>
        <row r="1044">
          <cell r="A1044" t="str">
            <v>P&amp;P Plastic parts 2</v>
          </cell>
          <cell r="B1044" t="str">
            <v>Automatic Placement --- Plastics</v>
          </cell>
        </row>
        <row r="1045">
          <cell r="A1045" t="str">
            <v>P&amp;P Plastic parts 3</v>
          </cell>
          <cell r="B1045" t="str">
            <v>Automatic Placement --- Plastics</v>
          </cell>
        </row>
        <row r="1046">
          <cell r="A1046" t="str">
            <v>P&amp;P Plastic parts 4</v>
          </cell>
          <cell r="B1046" t="str">
            <v>Automatic Placement --- Plastics</v>
          </cell>
        </row>
        <row r="1047">
          <cell r="A1047" t="str">
            <v>Packaging 1</v>
          </cell>
          <cell r="B1047" t="str">
            <v>Manual Process</v>
          </cell>
        </row>
        <row r="1048">
          <cell r="A1048" t="str">
            <v>Packaging 2</v>
          </cell>
          <cell r="B1048" t="str">
            <v>Manual Process</v>
          </cell>
        </row>
        <row r="1049">
          <cell r="A1049" t="str">
            <v>Packaging 3</v>
          </cell>
          <cell r="B1049" t="str">
            <v>Manual Process</v>
          </cell>
        </row>
        <row r="1050">
          <cell r="A1050" t="str">
            <v>Packaging 4</v>
          </cell>
          <cell r="B1050" t="str">
            <v>Manual Process</v>
          </cell>
        </row>
        <row r="1051">
          <cell r="A1051" t="str">
            <v>PCB Cleaning 1</v>
          </cell>
          <cell r="B1051" t="str">
            <v>Cleaning PCB</v>
          </cell>
        </row>
        <row r="1052">
          <cell r="A1052" t="str">
            <v>PCB Cleaning 2</v>
          </cell>
          <cell r="B1052" t="str">
            <v>Cleaning PCB</v>
          </cell>
        </row>
        <row r="1053">
          <cell r="A1053" t="str">
            <v>PCB Cleaning 3</v>
          </cell>
          <cell r="B1053" t="str">
            <v>Cleaning PCB</v>
          </cell>
        </row>
        <row r="1054">
          <cell r="A1054" t="str">
            <v>PCB Cleaning 4</v>
          </cell>
          <cell r="B1054" t="str">
            <v>Cleaning PCB</v>
          </cell>
        </row>
        <row r="1055">
          <cell r="A1055" t="str">
            <v>PCB Cleaning 5</v>
          </cell>
          <cell r="B1055" t="str">
            <v>Cleaning PCB</v>
          </cell>
        </row>
        <row r="1056">
          <cell r="A1056" t="str">
            <v>PCB Cleaning 6</v>
          </cell>
          <cell r="B1056" t="str">
            <v>Cleaning PCB</v>
          </cell>
        </row>
        <row r="1057">
          <cell r="A1057" t="str">
            <v>PCB Cleaning 7</v>
          </cell>
          <cell r="B1057" t="str">
            <v>Cleaning PCB</v>
          </cell>
        </row>
        <row r="1058">
          <cell r="A1058" t="str">
            <v>PCB Cleaning 8</v>
          </cell>
          <cell r="B1058" t="str">
            <v>Cleaning PCB</v>
          </cell>
        </row>
        <row r="1059">
          <cell r="A1059" t="str">
            <v>PCB Cleaning 1 Dual Lane</v>
          </cell>
          <cell r="B1059" t="str">
            <v>Cleaning PCB</v>
          </cell>
        </row>
        <row r="1060">
          <cell r="A1060" t="str">
            <v>PCB Cleaning 2 Dual Lane</v>
          </cell>
          <cell r="B1060" t="str">
            <v>Cleaning PCB</v>
          </cell>
        </row>
        <row r="1061">
          <cell r="A1061" t="str">
            <v>PCB Cleaning 3 Dual Lane</v>
          </cell>
          <cell r="B1061" t="str">
            <v>Cleaning PCB</v>
          </cell>
        </row>
        <row r="1062">
          <cell r="A1062" t="str">
            <v>PCB Cleaning 4 Dual Lane</v>
          </cell>
          <cell r="B1062" t="str">
            <v>Cleaning PCB</v>
          </cell>
        </row>
        <row r="1063">
          <cell r="A1063" t="str">
            <v>PCB Cleaning 5 Dual Lane</v>
          </cell>
          <cell r="B1063" t="str">
            <v>Cleaning PCB</v>
          </cell>
        </row>
        <row r="1064">
          <cell r="A1064" t="str">
            <v>PCB Cleaning 6 Dual Lane</v>
          </cell>
          <cell r="B1064" t="str">
            <v>Cleaning PCB</v>
          </cell>
        </row>
        <row r="1065">
          <cell r="A1065" t="str">
            <v>PCB Cleaning 7 Dual Lane</v>
          </cell>
          <cell r="B1065" t="str">
            <v>Cleaning PCB</v>
          </cell>
        </row>
        <row r="1066">
          <cell r="A1066" t="str">
            <v>PCB Cleaning 8 Dual Lane</v>
          </cell>
          <cell r="B1066" t="str">
            <v>Cleaning PCB</v>
          </cell>
        </row>
        <row r="1067">
          <cell r="A1067" t="str">
            <v>PCB Destacker 1</v>
          </cell>
          <cell r="B1067" t="str">
            <v>Transport Destacker</v>
          </cell>
        </row>
        <row r="1068">
          <cell r="A1068" t="str">
            <v>PCB Destacker 2</v>
          </cell>
          <cell r="B1068" t="str">
            <v>Transport Destacker</v>
          </cell>
        </row>
        <row r="1069">
          <cell r="A1069" t="str">
            <v>PCB Destacker 3</v>
          </cell>
          <cell r="B1069" t="str">
            <v>Transport Destacker</v>
          </cell>
        </row>
        <row r="1070">
          <cell r="A1070" t="str">
            <v>PCB Destacker 4</v>
          </cell>
          <cell r="B1070" t="str">
            <v>Transport Destacker</v>
          </cell>
        </row>
        <row r="1071">
          <cell r="A1071" t="str">
            <v>PCB Destacker 5</v>
          </cell>
          <cell r="B1071" t="str">
            <v>Transport Destacker</v>
          </cell>
        </row>
        <row r="1072">
          <cell r="A1072" t="str">
            <v>PCB Destacker 6</v>
          </cell>
          <cell r="B1072" t="str">
            <v>Transport Destacker</v>
          </cell>
        </row>
        <row r="1073">
          <cell r="A1073" t="str">
            <v>PCB Destacker 7</v>
          </cell>
          <cell r="B1073" t="str">
            <v>Transport Destacker</v>
          </cell>
        </row>
        <row r="1074">
          <cell r="A1074" t="str">
            <v>PCB Destacker 8</v>
          </cell>
          <cell r="B1074" t="str">
            <v>Transport Destacker</v>
          </cell>
        </row>
        <row r="1075">
          <cell r="A1075" t="str">
            <v>PCB Destacker 9</v>
          </cell>
          <cell r="B1075" t="str">
            <v>Transport Destacker</v>
          </cell>
        </row>
        <row r="1076">
          <cell r="A1076" t="str">
            <v>PCB Destacker 10</v>
          </cell>
          <cell r="B1076" t="str">
            <v>Transport Destacker</v>
          </cell>
        </row>
        <row r="1077">
          <cell r="A1077" t="str">
            <v>PCB Stacker 1</v>
          </cell>
          <cell r="B1077" t="str">
            <v>Transport Stacker</v>
          </cell>
        </row>
        <row r="1078">
          <cell r="A1078" t="str">
            <v>PCB Stacker 2</v>
          </cell>
          <cell r="B1078" t="str">
            <v>Transport Stacker</v>
          </cell>
        </row>
        <row r="1079">
          <cell r="A1079" t="str">
            <v>PCB Stacker 3</v>
          </cell>
          <cell r="B1079" t="str">
            <v>Transport Stacker</v>
          </cell>
        </row>
        <row r="1080">
          <cell r="A1080" t="str">
            <v>PCB Stacker 4</v>
          </cell>
          <cell r="B1080" t="str">
            <v>Transport Stacker</v>
          </cell>
        </row>
        <row r="1081">
          <cell r="A1081" t="str">
            <v>PCB Stacker 5</v>
          </cell>
          <cell r="B1081" t="str">
            <v>Transport Stacker</v>
          </cell>
        </row>
        <row r="1082">
          <cell r="A1082" t="str">
            <v>PCB Stacker 6</v>
          </cell>
          <cell r="B1082" t="str">
            <v>Transport Stacker</v>
          </cell>
        </row>
        <row r="1083">
          <cell r="A1083" t="str">
            <v>PCB Stacker 7</v>
          </cell>
          <cell r="B1083" t="str">
            <v>Transport Stacker</v>
          </cell>
        </row>
        <row r="1084">
          <cell r="A1084" t="str">
            <v>PCB Stacker 8</v>
          </cell>
          <cell r="B1084" t="str">
            <v>Transport Stacker</v>
          </cell>
        </row>
        <row r="1085">
          <cell r="A1085" t="str">
            <v>PCB Stacker 9</v>
          </cell>
          <cell r="B1085" t="str">
            <v>Transport Stacker</v>
          </cell>
        </row>
        <row r="1086">
          <cell r="A1086" t="str">
            <v>PCB Stacker 10</v>
          </cell>
          <cell r="B1086" t="str">
            <v>Transport Stacker</v>
          </cell>
        </row>
        <row r="1087">
          <cell r="A1087" t="str">
            <v>PCBA Buffer FIFO 1</v>
          </cell>
          <cell r="B1087" t="str">
            <v>Transport Buffer</v>
          </cell>
        </row>
        <row r="1088">
          <cell r="A1088" t="str">
            <v>PCBA Buffer FIFO 2</v>
          </cell>
          <cell r="B1088" t="str">
            <v>Transport Buffer</v>
          </cell>
        </row>
        <row r="1089">
          <cell r="A1089" t="str">
            <v>PCBA Buffer FIFO 3</v>
          </cell>
          <cell r="B1089" t="str">
            <v>Transport Buffer</v>
          </cell>
        </row>
        <row r="1090">
          <cell r="A1090" t="str">
            <v>PCBA Buffer FIFO 4</v>
          </cell>
          <cell r="B1090" t="str">
            <v>Transport Buffer</v>
          </cell>
        </row>
        <row r="1091">
          <cell r="A1091" t="str">
            <v>PCBA Buffer FIFO 5</v>
          </cell>
          <cell r="B1091" t="str">
            <v>Transport Buffer</v>
          </cell>
        </row>
        <row r="1092">
          <cell r="A1092" t="str">
            <v>PCBA Buffer FIFO 6</v>
          </cell>
          <cell r="B1092" t="str">
            <v>Transport Buffer</v>
          </cell>
        </row>
        <row r="1093">
          <cell r="A1093" t="str">
            <v>PCBA Buffer FIFO 7</v>
          </cell>
          <cell r="B1093" t="str">
            <v>Transport Buffer</v>
          </cell>
        </row>
        <row r="1094">
          <cell r="A1094" t="str">
            <v>PCBA Buffer FIFO 8</v>
          </cell>
          <cell r="B1094" t="str">
            <v>Transport Buffer</v>
          </cell>
        </row>
        <row r="1095">
          <cell r="A1095" t="str">
            <v>PCBA Buffer FIFO 9</v>
          </cell>
          <cell r="B1095" t="str">
            <v>Transport Buffer</v>
          </cell>
        </row>
        <row r="1096">
          <cell r="A1096" t="str">
            <v>PCBA Buffer FIFO 10</v>
          </cell>
          <cell r="B1096" t="str">
            <v>Transport Buffer</v>
          </cell>
        </row>
        <row r="1097">
          <cell r="A1097" t="str">
            <v>PCBA Buffer FIFO 11</v>
          </cell>
          <cell r="B1097" t="str">
            <v>Transport Buffer</v>
          </cell>
        </row>
        <row r="1098">
          <cell r="A1098" t="str">
            <v>PCBA Buffer FIFO 12</v>
          </cell>
          <cell r="B1098" t="str">
            <v>Transport Buffer</v>
          </cell>
        </row>
        <row r="1099">
          <cell r="A1099" t="str">
            <v>PCBA Buffer FIFO 13</v>
          </cell>
          <cell r="B1099" t="str">
            <v>Transport Buffer</v>
          </cell>
        </row>
        <row r="1100">
          <cell r="A1100" t="str">
            <v>PCBA Buffer FIFO 14</v>
          </cell>
          <cell r="B1100" t="str">
            <v>Transport Buffer</v>
          </cell>
        </row>
        <row r="1101">
          <cell r="A1101" t="str">
            <v>PCBA Buffer FIFO 15</v>
          </cell>
          <cell r="B1101" t="str">
            <v>Transport Buffer</v>
          </cell>
        </row>
        <row r="1102">
          <cell r="A1102" t="str">
            <v>PCBA Buffer FIFO 1 Dual Lane</v>
          </cell>
          <cell r="B1102" t="str">
            <v>Transport Buffer</v>
          </cell>
        </row>
        <row r="1103">
          <cell r="A1103" t="str">
            <v>PCBA Buffer FIFO 2 Dual Lane</v>
          </cell>
          <cell r="B1103" t="str">
            <v>Transport Buffer</v>
          </cell>
        </row>
        <row r="1104">
          <cell r="A1104" t="str">
            <v>PCBA Buffer FIFO 3 Dual Lane</v>
          </cell>
          <cell r="B1104" t="str">
            <v>Transport Buffer</v>
          </cell>
        </row>
        <row r="1105">
          <cell r="A1105" t="str">
            <v>PCBA Buffer FIFO 4 Dual Lane</v>
          </cell>
          <cell r="B1105" t="str">
            <v>Transport Buffer</v>
          </cell>
        </row>
        <row r="1106">
          <cell r="A1106" t="str">
            <v>PCBA Buffer FIFO 5 Dual Lane</v>
          </cell>
          <cell r="B1106" t="str">
            <v>Transport Buffer</v>
          </cell>
        </row>
        <row r="1107">
          <cell r="A1107" t="str">
            <v>PCBA Buffer FIFO 6 Dual Lane</v>
          </cell>
          <cell r="B1107" t="str">
            <v>Transport Buffer</v>
          </cell>
        </row>
        <row r="1108">
          <cell r="A1108" t="str">
            <v>PCBA Buffer FIFO 7 Dual Lane</v>
          </cell>
          <cell r="B1108" t="str">
            <v>Transport Buffer</v>
          </cell>
        </row>
        <row r="1109">
          <cell r="A1109" t="str">
            <v>PCBA Buffer FIFO 8 Dual Lane</v>
          </cell>
          <cell r="B1109" t="str">
            <v>Transport Buffer</v>
          </cell>
        </row>
        <row r="1110">
          <cell r="A1110" t="str">
            <v>PCBA Buffer FIFO 9 Dual Lane</v>
          </cell>
          <cell r="B1110" t="str">
            <v>Transport Buffer</v>
          </cell>
        </row>
        <row r="1111">
          <cell r="A1111" t="str">
            <v>PCBA Buffer FIFO 10 Dual Lane</v>
          </cell>
          <cell r="B1111" t="str">
            <v>Transport Buffer</v>
          </cell>
        </row>
        <row r="1112">
          <cell r="A1112" t="str">
            <v>PCBA Buffer FIFO 11 Dual Lane</v>
          </cell>
          <cell r="B1112" t="str">
            <v>Transport Buffer</v>
          </cell>
        </row>
        <row r="1113">
          <cell r="A1113" t="str">
            <v>PCBA Buffer FIFO 12 Dual Lane</v>
          </cell>
          <cell r="B1113" t="str">
            <v>Transport Buffer</v>
          </cell>
        </row>
        <row r="1114">
          <cell r="A1114" t="str">
            <v>PCBA Buffer FIFO 13 Dual Lane</v>
          </cell>
          <cell r="B1114" t="str">
            <v>Transport Buffer</v>
          </cell>
        </row>
        <row r="1115">
          <cell r="A1115" t="str">
            <v>PCBA Buffer FIFO 14 Dual Lane</v>
          </cell>
          <cell r="B1115" t="str">
            <v>Transport Buffer</v>
          </cell>
        </row>
        <row r="1116">
          <cell r="A1116" t="str">
            <v>PCBA Buffer FIFO 15 Dual Lane</v>
          </cell>
          <cell r="B1116" t="str">
            <v>Transport Buffer</v>
          </cell>
        </row>
        <row r="1117">
          <cell r="A1117" t="str">
            <v>Pin Stitching 1</v>
          </cell>
          <cell r="B1117" t="str">
            <v>Pin Stitching</v>
          </cell>
        </row>
        <row r="1118">
          <cell r="A1118" t="str">
            <v>Pin Stitching 2</v>
          </cell>
          <cell r="B1118" t="str">
            <v>Pin Stitching</v>
          </cell>
        </row>
        <row r="1119">
          <cell r="A1119" t="str">
            <v>Pin Stitching 3</v>
          </cell>
          <cell r="B1119" t="str">
            <v>Pin Stitching</v>
          </cell>
        </row>
        <row r="1120">
          <cell r="A1120" t="str">
            <v>Pin Stitching 4</v>
          </cell>
          <cell r="B1120" t="str">
            <v>Pin Stitching</v>
          </cell>
        </row>
        <row r="1121">
          <cell r="A1121" t="str">
            <v>Pin Stitching 5</v>
          </cell>
          <cell r="B1121" t="str">
            <v>Pin Stitching</v>
          </cell>
        </row>
        <row r="1122">
          <cell r="A1122" t="str">
            <v>Pin Stitching 6</v>
          </cell>
          <cell r="B1122" t="str">
            <v>Pin Stitching</v>
          </cell>
        </row>
        <row r="1123">
          <cell r="A1123" t="str">
            <v>Pin Stitching 7</v>
          </cell>
          <cell r="B1123" t="str">
            <v>Pin Stitching</v>
          </cell>
        </row>
        <row r="1124">
          <cell r="A1124" t="str">
            <v>Pin Stitching 8</v>
          </cell>
          <cell r="B1124" t="str">
            <v>Pin Stitching</v>
          </cell>
        </row>
        <row r="1125">
          <cell r="A1125" t="str">
            <v>Pin Stitching 9</v>
          </cell>
          <cell r="B1125" t="str">
            <v>Pin Stitching</v>
          </cell>
        </row>
        <row r="1126">
          <cell r="A1126" t="str">
            <v>Pin Stitching 10</v>
          </cell>
          <cell r="B1126" t="str">
            <v>Pin Stitching</v>
          </cell>
        </row>
        <row r="1127">
          <cell r="A1127" t="str">
            <v>Plasma Treatment 1</v>
          </cell>
          <cell r="B1127" t="str">
            <v>Surface Energy</v>
          </cell>
        </row>
        <row r="1128">
          <cell r="A1128" t="str">
            <v>Plasma Treatment 2</v>
          </cell>
          <cell r="B1128" t="str">
            <v>Surface Energy</v>
          </cell>
        </row>
        <row r="1129">
          <cell r="A1129" t="str">
            <v>Plasma Treatment 3</v>
          </cell>
          <cell r="B1129" t="str">
            <v>Surface Energy</v>
          </cell>
        </row>
        <row r="1130">
          <cell r="A1130" t="str">
            <v>Plasma Treatment 4</v>
          </cell>
          <cell r="B1130" t="str">
            <v>Surface Energy</v>
          </cell>
        </row>
        <row r="1131">
          <cell r="A1131" t="str">
            <v>Pre-heating 1</v>
          </cell>
          <cell r="B1131" t="str">
            <v>Pre-heat</v>
          </cell>
        </row>
        <row r="1132">
          <cell r="A1132" t="str">
            <v>Pre-heating 2</v>
          </cell>
          <cell r="B1132" t="str">
            <v>Pre-heat</v>
          </cell>
        </row>
        <row r="1133">
          <cell r="A1133" t="str">
            <v>Pre-heating 3</v>
          </cell>
          <cell r="B1133" t="str">
            <v>Pre-heat</v>
          </cell>
        </row>
        <row r="1134">
          <cell r="A1134" t="str">
            <v>Pre-heating 4</v>
          </cell>
          <cell r="B1134" t="str">
            <v>Pre-heat</v>
          </cell>
        </row>
        <row r="1135">
          <cell r="A1135" t="str">
            <v>Pre-heating 5</v>
          </cell>
          <cell r="B1135" t="str">
            <v>Pre-heat</v>
          </cell>
        </row>
        <row r="1136">
          <cell r="A1136" t="str">
            <v>Pre-heating 6</v>
          </cell>
          <cell r="B1136" t="str">
            <v>Pre-heat</v>
          </cell>
        </row>
        <row r="1137">
          <cell r="A1137" t="str">
            <v>Pre-heating 7</v>
          </cell>
          <cell r="B1137" t="str">
            <v>Pre-heat</v>
          </cell>
        </row>
        <row r="1138">
          <cell r="A1138" t="str">
            <v>Pre-heating 8</v>
          </cell>
          <cell r="B1138" t="str">
            <v>Pre-heat</v>
          </cell>
        </row>
        <row r="1139">
          <cell r="A1139" t="str">
            <v>Pre-heating 9</v>
          </cell>
          <cell r="B1139" t="str">
            <v>Pre-heat</v>
          </cell>
        </row>
        <row r="1140">
          <cell r="A1140" t="str">
            <v>Pre-heating 10</v>
          </cell>
          <cell r="B1140" t="str">
            <v>Pre-heat</v>
          </cell>
        </row>
        <row r="1141">
          <cell r="A1141" t="str">
            <v>Press Fit Machine 1</v>
          </cell>
          <cell r="B1141" t="str">
            <v>Press Fit</v>
          </cell>
        </row>
        <row r="1142">
          <cell r="A1142" t="str">
            <v>Press Fit Machine 2</v>
          </cell>
          <cell r="B1142" t="str">
            <v>Press Fit</v>
          </cell>
        </row>
        <row r="1143">
          <cell r="A1143" t="str">
            <v>Press Fit Machine 3</v>
          </cell>
          <cell r="B1143" t="str">
            <v>Press Fit</v>
          </cell>
        </row>
        <row r="1144">
          <cell r="A1144" t="str">
            <v>Press Fit Machine 4</v>
          </cell>
          <cell r="B1144" t="str">
            <v>Press Fit</v>
          </cell>
        </row>
        <row r="1145">
          <cell r="A1145" t="str">
            <v>Press Fit Machine 5</v>
          </cell>
          <cell r="B1145" t="str">
            <v>Press Fit</v>
          </cell>
        </row>
        <row r="1146">
          <cell r="A1146" t="str">
            <v>Press Fit Machine 6</v>
          </cell>
          <cell r="B1146" t="str">
            <v>Press Fit</v>
          </cell>
        </row>
        <row r="1147">
          <cell r="A1147" t="str">
            <v>Press Fit Machine 7</v>
          </cell>
          <cell r="B1147" t="str">
            <v>Press Fit</v>
          </cell>
        </row>
        <row r="1148">
          <cell r="A1148" t="str">
            <v>Press Fit Machine 8</v>
          </cell>
          <cell r="B1148" t="str">
            <v>Press Fit</v>
          </cell>
        </row>
        <row r="1149">
          <cell r="A1149" t="str">
            <v>Press Fit Machine 9</v>
          </cell>
          <cell r="B1149" t="str">
            <v>Press Fit</v>
          </cell>
        </row>
        <row r="1150">
          <cell r="A1150" t="str">
            <v>Press Fit Machine 10</v>
          </cell>
          <cell r="B1150" t="str">
            <v>Press Fit</v>
          </cell>
        </row>
        <row r="1151">
          <cell r="A1151" t="str">
            <v>Press Fit Machine 11</v>
          </cell>
          <cell r="B1151" t="str">
            <v>Press Fit</v>
          </cell>
        </row>
        <row r="1152">
          <cell r="A1152" t="str">
            <v>Press Fit Machine 12</v>
          </cell>
          <cell r="B1152" t="str">
            <v>Press Fit</v>
          </cell>
        </row>
        <row r="1153">
          <cell r="A1153" t="str">
            <v>Reflow Oven w/ Vacuum 1</v>
          </cell>
          <cell r="B1153" t="str">
            <v>SMT Reflow Vacuum</v>
          </cell>
        </row>
        <row r="1154">
          <cell r="A1154" t="str">
            <v>Reflow Oven w/ Vacuum 2</v>
          </cell>
          <cell r="B1154" t="str">
            <v>SMT Reflow Vacuum</v>
          </cell>
        </row>
        <row r="1155">
          <cell r="A1155" t="str">
            <v>Reflow Oven w/ Vacuum 3</v>
          </cell>
          <cell r="B1155" t="str">
            <v>SMT Reflow Vacuum</v>
          </cell>
        </row>
        <row r="1156">
          <cell r="A1156" t="str">
            <v>Reflow Oven w/ Vacuum 4</v>
          </cell>
          <cell r="B1156" t="str">
            <v>SMT Reflow Vacuum</v>
          </cell>
        </row>
        <row r="1157">
          <cell r="A1157" t="str">
            <v>Reflow Oven w/ Vacuum 1 Dual Lane</v>
          </cell>
          <cell r="B1157" t="str">
            <v>SMT Reflow Vacuum</v>
          </cell>
        </row>
        <row r="1158">
          <cell r="A1158" t="str">
            <v>Reflow Oven w/ Vacuum 2 Dual Lane</v>
          </cell>
          <cell r="B1158" t="str">
            <v>SMT Reflow Vacuum</v>
          </cell>
        </row>
        <row r="1159">
          <cell r="A1159" t="str">
            <v>Reflow Oven w/ Vacuum 3 Dual Lane</v>
          </cell>
          <cell r="B1159" t="str">
            <v>SMT Reflow Vacuum</v>
          </cell>
        </row>
        <row r="1160">
          <cell r="A1160" t="str">
            <v>Reflow Oven w/ Vacuum 4 Dual Lane</v>
          </cell>
          <cell r="B1160" t="str">
            <v>SMT Reflow Vacuum</v>
          </cell>
        </row>
        <row r="1161">
          <cell r="A1161" t="str">
            <v>Reflow Oven w/o Vacuum 1</v>
          </cell>
          <cell r="B1161" t="str">
            <v>SMT Reflow</v>
          </cell>
        </row>
        <row r="1162">
          <cell r="A1162" t="str">
            <v>Reflow Oven w/o Vacuum 2</v>
          </cell>
          <cell r="B1162" t="str">
            <v>SMT Reflow</v>
          </cell>
        </row>
        <row r="1163">
          <cell r="A1163" t="str">
            <v>Reflow Oven w/o Vacuum 3</v>
          </cell>
          <cell r="B1163" t="str">
            <v>SMT Reflow</v>
          </cell>
        </row>
        <row r="1164">
          <cell r="A1164" t="str">
            <v>Reflow Oven w/o Vacuum 4</v>
          </cell>
          <cell r="B1164" t="str">
            <v>SMT Reflow</v>
          </cell>
        </row>
        <row r="1165">
          <cell r="A1165" t="str">
            <v>Reflow Oven w/o Vacuum 1 Dual Lane</v>
          </cell>
          <cell r="B1165" t="str">
            <v>SMT Reflow</v>
          </cell>
        </row>
        <row r="1166">
          <cell r="A1166" t="str">
            <v>Reflow Oven w/o Vacuum 2 Dual Lane</v>
          </cell>
          <cell r="B1166" t="str">
            <v>SMT Reflow</v>
          </cell>
        </row>
        <row r="1167">
          <cell r="A1167" t="str">
            <v>Reflow Oven w/o Vacuum 3 Dual Lane</v>
          </cell>
          <cell r="B1167" t="str">
            <v>SMT Reflow</v>
          </cell>
        </row>
        <row r="1168">
          <cell r="A1168" t="str">
            <v>Reflow Oven w/o Vacuum 4 Dual Lane</v>
          </cell>
          <cell r="B1168" t="str">
            <v>SMT Reflow</v>
          </cell>
        </row>
        <row r="1169">
          <cell r="A1169" t="str">
            <v>Robot Soldering 1</v>
          </cell>
          <cell r="B1169" t="str">
            <v>Automatic Soldering</v>
          </cell>
        </row>
        <row r="1170">
          <cell r="A1170" t="str">
            <v>Robot Soldering 2</v>
          </cell>
          <cell r="B1170" t="str">
            <v>Automatic Soldering</v>
          </cell>
        </row>
        <row r="1171">
          <cell r="A1171" t="str">
            <v>Robot Soldering 3</v>
          </cell>
          <cell r="B1171" t="str">
            <v>Automatic Soldering</v>
          </cell>
        </row>
        <row r="1172">
          <cell r="A1172" t="str">
            <v>Robot Soldering 4</v>
          </cell>
          <cell r="B1172" t="str">
            <v>Automatic Soldering</v>
          </cell>
        </row>
        <row r="1173">
          <cell r="A1173" t="str">
            <v>Robot Soldering 5</v>
          </cell>
          <cell r="B1173" t="str">
            <v>Automatic Soldering</v>
          </cell>
        </row>
        <row r="1174">
          <cell r="A1174" t="str">
            <v>Robot Soldering 6</v>
          </cell>
          <cell r="B1174" t="str">
            <v>Automatic Soldering</v>
          </cell>
        </row>
        <row r="1175">
          <cell r="A1175" t="str">
            <v>Robot Soldering 7</v>
          </cell>
          <cell r="B1175" t="str">
            <v>Automatic Soldering</v>
          </cell>
        </row>
        <row r="1176">
          <cell r="A1176" t="str">
            <v>Robot Soldering 8</v>
          </cell>
          <cell r="B1176" t="str">
            <v>Automatic Soldering</v>
          </cell>
        </row>
        <row r="1177">
          <cell r="A1177" t="str">
            <v>Robot Soldering 9</v>
          </cell>
          <cell r="B1177" t="str">
            <v>Automatic Soldering</v>
          </cell>
        </row>
        <row r="1178">
          <cell r="A1178" t="str">
            <v>Router 1</v>
          </cell>
          <cell r="B1178" t="str">
            <v>Depaneling</v>
          </cell>
        </row>
        <row r="1179">
          <cell r="A1179" t="str">
            <v>Router 2</v>
          </cell>
          <cell r="B1179" t="str">
            <v>Depaneling</v>
          </cell>
        </row>
        <row r="1180">
          <cell r="A1180" t="str">
            <v>Router 3</v>
          </cell>
          <cell r="B1180" t="str">
            <v>Depaneling</v>
          </cell>
        </row>
        <row r="1181">
          <cell r="A1181" t="str">
            <v>Router 4</v>
          </cell>
          <cell r="B1181" t="str">
            <v>Depaneling</v>
          </cell>
        </row>
        <row r="1182">
          <cell r="A1182" t="str">
            <v>Screwing Station 1</v>
          </cell>
          <cell r="B1182" t="str">
            <v>Screwing</v>
          </cell>
        </row>
        <row r="1183">
          <cell r="A1183" t="str">
            <v>Screwing Station 2</v>
          </cell>
          <cell r="B1183" t="str">
            <v>Screwing</v>
          </cell>
        </row>
        <row r="1184">
          <cell r="A1184" t="str">
            <v>Screwing Station 3</v>
          </cell>
          <cell r="B1184" t="str">
            <v>Screwing</v>
          </cell>
        </row>
        <row r="1185">
          <cell r="A1185" t="str">
            <v>Screwing Station 4</v>
          </cell>
          <cell r="B1185" t="str">
            <v>Screwing</v>
          </cell>
        </row>
        <row r="1186">
          <cell r="A1186" t="str">
            <v>Screwing Station 5</v>
          </cell>
          <cell r="B1186" t="str">
            <v>Screwing</v>
          </cell>
        </row>
        <row r="1187">
          <cell r="A1187" t="str">
            <v>Screwing Station 6</v>
          </cell>
          <cell r="B1187" t="str">
            <v>Screwing</v>
          </cell>
        </row>
        <row r="1188">
          <cell r="A1188" t="str">
            <v>Screwing Station 7</v>
          </cell>
          <cell r="B1188" t="str">
            <v>Screwing</v>
          </cell>
        </row>
        <row r="1189">
          <cell r="A1189" t="str">
            <v>Screwing Station 8</v>
          </cell>
          <cell r="B1189" t="str">
            <v>Screwing</v>
          </cell>
        </row>
        <row r="1190">
          <cell r="A1190" t="str">
            <v>Screwing Station 9</v>
          </cell>
          <cell r="B1190" t="str">
            <v>Screwing</v>
          </cell>
        </row>
        <row r="1191">
          <cell r="A1191" t="str">
            <v>Screwing Station 10</v>
          </cell>
          <cell r="B1191" t="str">
            <v>Screwing</v>
          </cell>
        </row>
        <row r="1192">
          <cell r="A1192" t="str">
            <v>Screwing Station 11</v>
          </cell>
          <cell r="B1192" t="str">
            <v>Screwing</v>
          </cell>
        </row>
        <row r="1193">
          <cell r="A1193" t="str">
            <v>Screwing Station 12</v>
          </cell>
          <cell r="B1193" t="str">
            <v>Screwing</v>
          </cell>
        </row>
        <row r="1194">
          <cell r="A1194" t="str">
            <v>Screwing Station 13</v>
          </cell>
          <cell r="B1194" t="str">
            <v>Screwing</v>
          </cell>
        </row>
        <row r="1195">
          <cell r="A1195" t="str">
            <v>Screwing Station 14</v>
          </cell>
          <cell r="B1195" t="str">
            <v>Screwing</v>
          </cell>
        </row>
        <row r="1196">
          <cell r="A1196" t="str">
            <v>Selective Solder 1</v>
          </cell>
          <cell r="B1196" t="str">
            <v>THT soldering</v>
          </cell>
        </row>
        <row r="1197">
          <cell r="A1197" t="str">
            <v>Selective Solder 2</v>
          </cell>
          <cell r="B1197" t="str">
            <v>THT soldering</v>
          </cell>
        </row>
        <row r="1198">
          <cell r="A1198" t="str">
            <v>Selective Solder 3</v>
          </cell>
          <cell r="B1198" t="str">
            <v>THT soldering</v>
          </cell>
        </row>
        <row r="1199">
          <cell r="A1199" t="str">
            <v>Selective Solder 4</v>
          </cell>
          <cell r="B1199" t="str">
            <v>THT soldering</v>
          </cell>
        </row>
        <row r="1200">
          <cell r="A1200" t="str">
            <v>SMT P&amp;P 1</v>
          </cell>
          <cell r="B1200" t="str">
            <v>Automatic Placement --- SMT</v>
          </cell>
        </row>
        <row r="1201">
          <cell r="A1201" t="str">
            <v>SMT P&amp;P 2</v>
          </cell>
          <cell r="B1201" t="str">
            <v>Automatic Placement --- SMT</v>
          </cell>
        </row>
        <row r="1202">
          <cell r="A1202" t="str">
            <v>SMT P&amp;P 3</v>
          </cell>
          <cell r="B1202" t="str">
            <v>Automatic Placement --- SMT</v>
          </cell>
        </row>
        <row r="1203">
          <cell r="A1203" t="str">
            <v>SMT P&amp;P 4</v>
          </cell>
          <cell r="B1203" t="str">
            <v>Automatic Placement --- SMT</v>
          </cell>
        </row>
        <row r="1204">
          <cell r="A1204" t="str">
            <v>SMT P&amp;P 5</v>
          </cell>
          <cell r="B1204" t="str">
            <v>Automatic Placement --- SMT</v>
          </cell>
        </row>
        <row r="1205">
          <cell r="A1205" t="str">
            <v>SMT P&amp;P 6</v>
          </cell>
          <cell r="B1205" t="str">
            <v>Automatic Placement --- SMT</v>
          </cell>
        </row>
        <row r="1206">
          <cell r="A1206" t="str">
            <v>SMT P&amp;P 7</v>
          </cell>
          <cell r="B1206" t="str">
            <v>Automatic Placement --- SMT</v>
          </cell>
        </row>
        <row r="1207">
          <cell r="A1207" t="str">
            <v>SMT P&amp;P 8</v>
          </cell>
          <cell r="B1207" t="str">
            <v>Automatic Placement --- SMT</v>
          </cell>
        </row>
        <row r="1208">
          <cell r="A1208" t="str">
            <v>SMT P&amp;P 9</v>
          </cell>
          <cell r="B1208" t="str">
            <v>Automatic Placement --- SMT</v>
          </cell>
        </row>
        <row r="1209">
          <cell r="A1209" t="str">
            <v>SMT P&amp;P 10</v>
          </cell>
          <cell r="B1209" t="str">
            <v>Automatic Placement --- SMT</v>
          </cell>
        </row>
        <row r="1210">
          <cell r="A1210" t="str">
            <v>SMT P&amp;P 11</v>
          </cell>
          <cell r="B1210" t="str">
            <v>Automatic Placement --- SMT</v>
          </cell>
        </row>
        <row r="1211">
          <cell r="A1211" t="str">
            <v>SMT P&amp;P 12</v>
          </cell>
          <cell r="B1211" t="str">
            <v>Automatic Placement --- SMT</v>
          </cell>
        </row>
        <row r="1212">
          <cell r="A1212" t="str">
            <v>SMT P&amp;P 13</v>
          </cell>
          <cell r="B1212" t="str">
            <v>Automatic Placement --- SMT</v>
          </cell>
        </row>
        <row r="1213">
          <cell r="A1213" t="str">
            <v>SMT P&amp;P 14</v>
          </cell>
          <cell r="B1213" t="str">
            <v>Automatic Placement --- SMT</v>
          </cell>
        </row>
        <row r="1214">
          <cell r="A1214" t="str">
            <v>SMT P&amp;P 15</v>
          </cell>
          <cell r="B1214" t="str">
            <v>Automatic Placement --- SMT</v>
          </cell>
        </row>
        <row r="1215">
          <cell r="A1215" t="str">
            <v>SMT P&amp;P 16</v>
          </cell>
          <cell r="B1215" t="str">
            <v>Automatic Placement --- SMT</v>
          </cell>
        </row>
        <row r="1216">
          <cell r="A1216" t="str">
            <v>SMT P&amp;P 17</v>
          </cell>
          <cell r="B1216" t="str">
            <v>Automatic Placement --- SMT</v>
          </cell>
        </row>
        <row r="1217">
          <cell r="A1217" t="str">
            <v>SMT P&amp;P 18</v>
          </cell>
          <cell r="B1217" t="str">
            <v>Automatic Placement --- SMT</v>
          </cell>
        </row>
        <row r="1218">
          <cell r="A1218" t="str">
            <v>SMT P&amp;P 19</v>
          </cell>
          <cell r="B1218" t="str">
            <v>Automatic Placement --- SMT</v>
          </cell>
        </row>
        <row r="1219">
          <cell r="A1219" t="str">
            <v>SMT P&amp;P 20</v>
          </cell>
          <cell r="B1219" t="str">
            <v>Automatic Placement --- SMT</v>
          </cell>
        </row>
        <row r="1220">
          <cell r="A1220" t="str">
            <v>SMT P&amp;P 21</v>
          </cell>
          <cell r="B1220" t="str">
            <v>Automatic Placement --- SMT</v>
          </cell>
        </row>
        <row r="1221">
          <cell r="A1221" t="str">
            <v>SMT P&amp;P 22</v>
          </cell>
          <cell r="B1221" t="str">
            <v>Automatic Placement --- SMT</v>
          </cell>
        </row>
        <row r="1222">
          <cell r="A1222" t="str">
            <v>SMT P&amp;P 23</v>
          </cell>
          <cell r="B1222" t="str">
            <v>Automatic Placement --- SMT</v>
          </cell>
        </row>
        <row r="1223">
          <cell r="A1223" t="str">
            <v>SMT P&amp;P 24</v>
          </cell>
          <cell r="B1223" t="str">
            <v>Automatic Placement --- SMT</v>
          </cell>
        </row>
        <row r="1224">
          <cell r="A1224" t="str">
            <v>SMT P&amp;P 25</v>
          </cell>
          <cell r="B1224" t="str">
            <v>Automatic Placement --- SMT</v>
          </cell>
        </row>
        <row r="1225">
          <cell r="A1225" t="str">
            <v>SMT P&amp;P 26</v>
          </cell>
          <cell r="B1225" t="str">
            <v>Automatic Placement --- SMT</v>
          </cell>
        </row>
        <row r="1226">
          <cell r="A1226" t="str">
            <v>SMT P&amp;P 27</v>
          </cell>
          <cell r="B1226" t="str">
            <v>Automatic Placement --- SMT</v>
          </cell>
        </row>
        <row r="1227">
          <cell r="A1227" t="str">
            <v>SMT P&amp;P 28</v>
          </cell>
          <cell r="B1227" t="str">
            <v>Automatic Placement --- SMT</v>
          </cell>
        </row>
        <row r="1228">
          <cell r="A1228" t="str">
            <v>SMT P&amp;P 29</v>
          </cell>
          <cell r="B1228" t="str">
            <v>Automatic Placement --- SMT</v>
          </cell>
        </row>
        <row r="1229">
          <cell r="A1229" t="str">
            <v>SMT P&amp;P 30</v>
          </cell>
          <cell r="B1229" t="str">
            <v>Automatic Placement --- SMT</v>
          </cell>
        </row>
        <row r="1230">
          <cell r="A1230" t="str">
            <v>SMT P&amp;P 31</v>
          </cell>
          <cell r="B1230" t="str">
            <v>Automatic Placement --- SMT</v>
          </cell>
        </row>
        <row r="1231">
          <cell r="A1231" t="str">
            <v>SMT P&amp;P 32</v>
          </cell>
          <cell r="B1231" t="str">
            <v>Automatic Placement --- SMT</v>
          </cell>
        </row>
        <row r="1232">
          <cell r="A1232" t="str">
            <v>SMT P&amp;P 33</v>
          </cell>
          <cell r="B1232" t="str">
            <v>Automatic Placement --- SMT</v>
          </cell>
        </row>
        <row r="1233">
          <cell r="A1233" t="str">
            <v>SMT P&amp;P 34</v>
          </cell>
          <cell r="B1233" t="str">
            <v>Automatic Placement --- SMT</v>
          </cell>
        </row>
        <row r="1234">
          <cell r="A1234" t="str">
            <v>SMT P&amp;P 35</v>
          </cell>
          <cell r="B1234" t="str">
            <v>Automatic Placement --- SMT</v>
          </cell>
        </row>
        <row r="1235">
          <cell r="A1235" t="str">
            <v>SMT P&amp;P 36</v>
          </cell>
          <cell r="B1235" t="str">
            <v>Automatic Placement --- SMT</v>
          </cell>
        </row>
        <row r="1236">
          <cell r="A1236" t="str">
            <v>SMT P&amp;P 37</v>
          </cell>
          <cell r="B1236" t="str">
            <v>Automatic Placement --- SMT</v>
          </cell>
        </row>
        <row r="1237">
          <cell r="A1237" t="str">
            <v>SMT P&amp;P 38</v>
          </cell>
          <cell r="B1237" t="str">
            <v>Automatic Placement --- SMT</v>
          </cell>
        </row>
        <row r="1238">
          <cell r="A1238" t="str">
            <v>SMT P&amp;P 39</v>
          </cell>
          <cell r="B1238" t="str">
            <v>Automatic Placement --- SMT</v>
          </cell>
        </row>
        <row r="1239">
          <cell r="A1239" t="str">
            <v>SMT P&amp;P 40</v>
          </cell>
          <cell r="B1239" t="str">
            <v>Automatic Placement --- SMT</v>
          </cell>
        </row>
        <row r="1240">
          <cell r="A1240" t="str">
            <v>SMT P&amp;P 41</v>
          </cell>
          <cell r="B1240" t="str">
            <v>Automatic Placement --- SMT</v>
          </cell>
        </row>
        <row r="1241">
          <cell r="A1241" t="str">
            <v>SMT P&amp;P 42</v>
          </cell>
          <cell r="B1241" t="str">
            <v>Automatic Placement --- SMT</v>
          </cell>
        </row>
        <row r="1242">
          <cell r="A1242" t="str">
            <v>SMT P&amp;P 43</v>
          </cell>
          <cell r="B1242" t="str">
            <v>Automatic Placement --- SMT</v>
          </cell>
        </row>
        <row r="1243">
          <cell r="A1243" t="str">
            <v>SMT P&amp;P 44</v>
          </cell>
          <cell r="B1243" t="str">
            <v>Automatic Placement --- SMT</v>
          </cell>
        </row>
        <row r="1244">
          <cell r="A1244" t="str">
            <v>SMT P&amp;P 45</v>
          </cell>
          <cell r="B1244" t="str">
            <v>Automatic Placement --- SMT</v>
          </cell>
        </row>
        <row r="1245">
          <cell r="A1245" t="str">
            <v>SMT P&amp;P 46</v>
          </cell>
          <cell r="B1245" t="str">
            <v>Automatic Placement --- SMT</v>
          </cell>
        </row>
        <row r="1246">
          <cell r="A1246" t="str">
            <v>SMT P&amp;P 47</v>
          </cell>
          <cell r="B1246" t="str">
            <v>Automatic Placement --- SMT</v>
          </cell>
        </row>
        <row r="1247">
          <cell r="A1247" t="str">
            <v>SMT P&amp;P 48</v>
          </cell>
          <cell r="B1247" t="str">
            <v>Automatic Placement --- SMT</v>
          </cell>
        </row>
        <row r="1248">
          <cell r="A1248" t="str">
            <v>SMT P&amp;P 49</v>
          </cell>
          <cell r="B1248" t="str">
            <v>Automatic Placement --- SMT</v>
          </cell>
        </row>
        <row r="1249">
          <cell r="A1249" t="str">
            <v>SMT P&amp;P 50</v>
          </cell>
          <cell r="B1249" t="str">
            <v>Automatic Placement --- SMT</v>
          </cell>
        </row>
        <row r="1250">
          <cell r="A1250" t="str">
            <v>SMT P&amp;P 51</v>
          </cell>
          <cell r="B1250" t="str">
            <v>Automatic Placement --- SMT</v>
          </cell>
        </row>
        <row r="1251">
          <cell r="A1251" t="str">
            <v>SMT P&amp;P 52</v>
          </cell>
          <cell r="B1251" t="str">
            <v>Automatic Placement --- SMT</v>
          </cell>
        </row>
        <row r="1252">
          <cell r="A1252" t="str">
            <v>SMT P&amp;P 53</v>
          </cell>
          <cell r="B1252" t="str">
            <v>Automatic Placement --- SMT</v>
          </cell>
        </row>
        <row r="1253">
          <cell r="A1253" t="str">
            <v>SMT P&amp;P 54</v>
          </cell>
          <cell r="B1253" t="str">
            <v>Automatic Placement --- SMT</v>
          </cell>
        </row>
        <row r="1254">
          <cell r="A1254" t="str">
            <v>SMT P&amp;P 55</v>
          </cell>
          <cell r="B1254" t="str">
            <v>Automatic Placement --- SMT</v>
          </cell>
        </row>
        <row r="1255">
          <cell r="A1255" t="str">
            <v>SMT P&amp;P 56</v>
          </cell>
          <cell r="B1255" t="str">
            <v>Automatic Placement --- SMT</v>
          </cell>
        </row>
        <row r="1256">
          <cell r="A1256" t="str">
            <v>SMT P&amp;P 57</v>
          </cell>
          <cell r="B1256" t="str">
            <v>Automatic Placement --- SMT</v>
          </cell>
        </row>
        <row r="1257">
          <cell r="A1257" t="str">
            <v>SMT P&amp;P 58</v>
          </cell>
          <cell r="B1257" t="str">
            <v>Automatic Placement --- SMT</v>
          </cell>
        </row>
        <row r="1258">
          <cell r="A1258" t="str">
            <v>SMT P&amp;P 59</v>
          </cell>
          <cell r="B1258" t="str">
            <v>Automatic Placement --- SMT</v>
          </cell>
        </row>
        <row r="1259">
          <cell r="A1259" t="str">
            <v>SMT P&amp;P 60</v>
          </cell>
          <cell r="B1259" t="str">
            <v>Automatic Placement --- SMT</v>
          </cell>
        </row>
        <row r="1260">
          <cell r="A1260" t="str">
            <v>SMT P&amp;P 1 Dual Lane</v>
          </cell>
          <cell r="B1260" t="str">
            <v>Automatic Placement --- SMT</v>
          </cell>
        </row>
        <row r="1261">
          <cell r="A1261" t="str">
            <v>SMT P&amp;P 2 Dual Lane</v>
          </cell>
          <cell r="B1261" t="str">
            <v>Automatic Placement --- SMT</v>
          </cell>
        </row>
        <row r="1262">
          <cell r="A1262" t="str">
            <v>SMT P&amp;P 3 Dual Lane</v>
          </cell>
          <cell r="B1262" t="str">
            <v>Automatic Placement --- SMT</v>
          </cell>
        </row>
        <row r="1263">
          <cell r="A1263" t="str">
            <v>SMT P&amp;P 4 Dual Lane</v>
          </cell>
          <cell r="B1263" t="str">
            <v>Automatic Placement --- SMT</v>
          </cell>
        </row>
        <row r="1264">
          <cell r="A1264" t="str">
            <v>SMT P&amp;P 5 Dual Lane</v>
          </cell>
          <cell r="B1264" t="str">
            <v>Automatic Placement --- SMT</v>
          </cell>
        </row>
        <row r="1265">
          <cell r="A1265" t="str">
            <v>SMT P&amp;P 6 Dual Lane</v>
          </cell>
          <cell r="B1265" t="str">
            <v>Automatic Placement --- SMT</v>
          </cell>
        </row>
        <row r="1266">
          <cell r="A1266" t="str">
            <v>SMT P&amp;P 7 Dual Lane</v>
          </cell>
          <cell r="B1266" t="str">
            <v>Automatic Placement --- SMT</v>
          </cell>
        </row>
        <row r="1267">
          <cell r="A1267" t="str">
            <v>SMT P&amp;P 8 Dual Lane</v>
          </cell>
          <cell r="B1267" t="str">
            <v>Automatic Placement --- SMT</v>
          </cell>
        </row>
        <row r="1268">
          <cell r="A1268" t="str">
            <v>SMT P&amp;P 9 Dual Lane</v>
          </cell>
          <cell r="B1268" t="str">
            <v>Automatic Placement --- SMT</v>
          </cell>
        </row>
        <row r="1269">
          <cell r="A1269" t="str">
            <v>SMT P&amp;P 10 Dual Lane</v>
          </cell>
          <cell r="B1269" t="str">
            <v>Automatic Placement --- SMT</v>
          </cell>
        </row>
        <row r="1270">
          <cell r="A1270" t="str">
            <v>SMT P&amp;P 11 Dual Lane</v>
          </cell>
          <cell r="B1270" t="str">
            <v>Automatic Placement --- SMT</v>
          </cell>
        </row>
        <row r="1271">
          <cell r="A1271" t="str">
            <v>SMT P&amp;P 12 Dual Lane</v>
          </cell>
          <cell r="B1271" t="str">
            <v>Automatic Placement --- SMT</v>
          </cell>
        </row>
        <row r="1272">
          <cell r="A1272" t="str">
            <v>SMT P&amp;P 13 Dual Lane</v>
          </cell>
          <cell r="B1272" t="str">
            <v>Automatic Placement --- SMT</v>
          </cell>
        </row>
        <row r="1273">
          <cell r="A1273" t="str">
            <v>SMT P&amp;P 14 Dual Lane</v>
          </cell>
          <cell r="B1273" t="str">
            <v>Automatic Placement --- SMT</v>
          </cell>
        </row>
        <row r="1274">
          <cell r="A1274" t="str">
            <v>SMT P&amp;P 15 Dual Lane</v>
          </cell>
          <cell r="B1274" t="str">
            <v>Automatic Placement --- SMT</v>
          </cell>
        </row>
        <row r="1275">
          <cell r="A1275" t="str">
            <v>SMT P&amp;P 16 Dual Lane</v>
          </cell>
          <cell r="B1275" t="str">
            <v>Automatic Placement --- SMT</v>
          </cell>
        </row>
        <row r="1276">
          <cell r="A1276" t="str">
            <v>SMT P&amp;P 17 Dual Lane</v>
          </cell>
          <cell r="B1276" t="str">
            <v>Automatic Placement --- SMT</v>
          </cell>
        </row>
        <row r="1277">
          <cell r="A1277" t="str">
            <v>SMT P&amp;P 18 Dual Lane</v>
          </cell>
          <cell r="B1277" t="str">
            <v>Automatic Placement --- SMT</v>
          </cell>
        </row>
        <row r="1278">
          <cell r="A1278" t="str">
            <v>SMT P&amp;P 19 Dual Lane</v>
          </cell>
          <cell r="B1278" t="str">
            <v>Automatic Placement --- SMT</v>
          </cell>
        </row>
        <row r="1279">
          <cell r="A1279" t="str">
            <v>SMT P&amp;P 20 Dual Lane</v>
          </cell>
          <cell r="B1279" t="str">
            <v>Automatic Placement --- SMT</v>
          </cell>
        </row>
        <row r="1280">
          <cell r="A1280" t="str">
            <v>SMT P&amp;P 21 Dual Lane</v>
          </cell>
          <cell r="B1280" t="str">
            <v>Automatic Placement --- SMT</v>
          </cell>
        </row>
        <row r="1281">
          <cell r="A1281" t="str">
            <v>SMT P&amp;P 22 Dual Lane</v>
          </cell>
          <cell r="B1281" t="str">
            <v>Automatic Placement --- SMT</v>
          </cell>
        </row>
        <row r="1282">
          <cell r="A1282" t="str">
            <v>SMT P&amp;P 23 Dual Lane</v>
          </cell>
          <cell r="B1282" t="str">
            <v>Automatic Placement --- SMT</v>
          </cell>
        </row>
        <row r="1283">
          <cell r="A1283" t="str">
            <v>SMT P&amp;P 24 Dual Lane</v>
          </cell>
          <cell r="B1283" t="str">
            <v>Automatic Placement --- SMT</v>
          </cell>
        </row>
        <row r="1284">
          <cell r="A1284" t="str">
            <v>SMT P&amp;P 25 Dual Lane</v>
          </cell>
          <cell r="B1284" t="str">
            <v>Automatic Placement --- SMT</v>
          </cell>
        </row>
        <row r="1285">
          <cell r="A1285" t="str">
            <v>SMT P&amp;P 26 Dual Lane</v>
          </cell>
          <cell r="B1285" t="str">
            <v>Automatic Placement --- SMT</v>
          </cell>
        </row>
        <row r="1286">
          <cell r="A1286" t="str">
            <v>SMT P&amp;P 27 Dual Lane</v>
          </cell>
          <cell r="B1286" t="str">
            <v>Automatic Placement --- SMT</v>
          </cell>
        </row>
        <row r="1287">
          <cell r="A1287" t="str">
            <v>SMT P&amp;P 28 Dual Lane</v>
          </cell>
          <cell r="B1287" t="str">
            <v>Automatic Placement --- SMT</v>
          </cell>
        </row>
        <row r="1288">
          <cell r="A1288" t="str">
            <v>SMT P&amp;P 29 Dual Lane</v>
          </cell>
          <cell r="B1288" t="str">
            <v>Automatic Placement --- SMT</v>
          </cell>
        </row>
        <row r="1289">
          <cell r="A1289" t="str">
            <v>SMT P&amp;P 30 Dual Lane</v>
          </cell>
          <cell r="B1289" t="str">
            <v>Automatic Placement --- SMT</v>
          </cell>
        </row>
        <row r="1290">
          <cell r="A1290" t="str">
            <v>SMT P&amp;P 31 Dual Lane</v>
          </cell>
          <cell r="B1290" t="str">
            <v>Automatic Placement --- SMT</v>
          </cell>
        </row>
        <row r="1291">
          <cell r="A1291" t="str">
            <v>SMT P&amp;P 32 Dual Lane</v>
          </cell>
          <cell r="B1291" t="str">
            <v>Automatic Placement --- SMT</v>
          </cell>
        </row>
        <row r="1292">
          <cell r="A1292" t="str">
            <v>SMT P&amp;P 33 Dual Lane</v>
          </cell>
          <cell r="B1292" t="str">
            <v>Automatic Placement --- SMT</v>
          </cell>
        </row>
        <row r="1293">
          <cell r="A1293" t="str">
            <v>SMT P&amp;P 34 Dual Lane</v>
          </cell>
          <cell r="B1293" t="str">
            <v>Automatic Placement --- SMT</v>
          </cell>
        </row>
        <row r="1294">
          <cell r="A1294" t="str">
            <v>SMT P&amp;P 35 Dual Lane</v>
          </cell>
          <cell r="B1294" t="str">
            <v>Automatic Placement --- SMT</v>
          </cell>
        </row>
        <row r="1295">
          <cell r="A1295" t="str">
            <v>SMT P&amp;P 36 Dual Lane</v>
          </cell>
          <cell r="B1295" t="str">
            <v>Automatic Placement --- SMT</v>
          </cell>
        </row>
        <row r="1296">
          <cell r="A1296" t="str">
            <v>SMT P&amp;P 37 Dual Lane</v>
          </cell>
          <cell r="B1296" t="str">
            <v>Automatic Placement --- SMT</v>
          </cell>
        </row>
        <row r="1297">
          <cell r="A1297" t="str">
            <v>SMT P&amp;P 38 Dual Lane</v>
          </cell>
          <cell r="B1297" t="str">
            <v>Automatic Placement --- SMT</v>
          </cell>
        </row>
        <row r="1298">
          <cell r="A1298" t="str">
            <v>SMT P&amp;P 39 Dual Lane</v>
          </cell>
          <cell r="B1298" t="str">
            <v>Automatic Placement --- SMT</v>
          </cell>
        </row>
        <row r="1299">
          <cell r="A1299" t="str">
            <v>SMT P&amp;P 40 Dual Lane</v>
          </cell>
          <cell r="B1299" t="str">
            <v>Automatic Placement --- SMT</v>
          </cell>
        </row>
        <row r="1300">
          <cell r="A1300" t="str">
            <v>SMT P&amp;P 41 Dual Lane</v>
          </cell>
          <cell r="B1300" t="str">
            <v>Automatic Placement --- SMT</v>
          </cell>
        </row>
        <row r="1301">
          <cell r="A1301" t="str">
            <v>SMT P&amp;P 42 Dual Lane</v>
          </cell>
          <cell r="B1301" t="str">
            <v>Automatic Placement --- SMT</v>
          </cell>
        </row>
        <row r="1302">
          <cell r="A1302" t="str">
            <v>SMT P&amp;P 43 Dual Lane</v>
          </cell>
          <cell r="B1302" t="str">
            <v>Automatic Placement --- SMT</v>
          </cell>
        </row>
        <row r="1303">
          <cell r="A1303" t="str">
            <v>SMT P&amp;P 44 Dual Lane</v>
          </cell>
          <cell r="B1303" t="str">
            <v>Automatic Placement --- SMT</v>
          </cell>
        </row>
        <row r="1304">
          <cell r="A1304" t="str">
            <v>SMT P&amp;P 45 Dual Lane</v>
          </cell>
          <cell r="B1304" t="str">
            <v>Automatic Placement --- SMT</v>
          </cell>
        </row>
        <row r="1305">
          <cell r="A1305" t="str">
            <v>SMT P&amp;P 46 Dual Lane</v>
          </cell>
          <cell r="B1305" t="str">
            <v>Automatic Placement --- SMT</v>
          </cell>
        </row>
        <row r="1306">
          <cell r="A1306" t="str">
            <v>SMT P&amp;P 47 Dual Lane</v>
          </cell>
          <cell r="B1306" t="str">
            <v>Automatic Placement --- SMT</v>
          </cell>
        </row>
        <row r="1307">
          <cell r="A1307" t="str">
            <v>SMT P&amp;P 48 Dual Lane</v>
          </cell>
          <cell r="B1307" t="str">
            <v>Automatic Placement --- SMT</v>
          </cell>
        </row>
        <row r="1308">
          <cell r="A1308" t="str">
            <v>SMT P&amp;P 49 Dual Lane</v>
          </cell>
          <cell r="B1308" t="str">
            <v>Automatic Placement --- SMT</v>
          </cell>
        </row>
        <row r="1309">
          <cell r="A1309" t="str">
            <v>SMT P&amp;P 50 Dual Lane</v>
          </cell>
          <cell r="B1309" t="str">
            <v>Automatic Placement --- SMT</v>
          </cell>
        </row>
        <row r="1310">
          <cell r="A1310" t="str">
            <v>SMT P&amp;P 51 Dual Lane</v>
          </cell>
          <cell r="B1310" t="str">
            <v>Automatic Placement --- SMT</v>
          </cell>
        </row>
        <row r="1311">
          <cell r="A1311" t="str">
            <v>SMT P&amp;P 52 Dual Lane</v>
          </cell>
          <cell r="B1311" t="str">
            <v>Automatic Placement --- SMT</v>
          </cell>
        </row>
        <row r="1312">
          <cell r="A1312" t="str">
            <v>SMT P&amp;P 53 Dual Lane</v>
          </cell>
          <cell r="B1312" t="str">
            <v>Automatic Placement --- SMT</v>
          </cell>
        </row>
        <row r="1313">
          <cell r="A1313" t="str">
            <v>SMT P&amp;P 54 Dual Lane</v>
          </cell>
          <cell r="B1313" t="str">
            <v>Automatic Placement --- SMT</v>
          </cell>
        </row>
        <row r="1314">
          <cell r="A1314" t="str">
            <v>SMT P&amp;P 55 Dual Lane</v>
          </cell>
          <cell r="B1314" t="str">
            <v>Automatic Placement --- SMT</v>
          </cell>
        </row>
        <row r="1315">
          <cell r="A1315" t="str">
            <v>SMT P&amp;P 56 Dual Lane</v>
          </cell>
          <cell r="B1315" t="str">
            <v>Automatic Placement --- SMT</v>
          </cell>
        </row>
        <row r="1316">
          <cell r="A1316" t="str">
            <v>SMT P&amp;P 57 Dual Lane</v>
          </cell>
          <cell r="B1316" t="str">
            <v>Automatic Placement --- SMT</v>
          </cell>
        </row>
        <row r="1317">
          <cell r="A1317" t="str">
            <v>SMT P&amp;P 58 Dual Lane</v>
          </cell>
          <cell r="B1317" t="str">
            <v>Automatic Placement --- SMT</v>
          </cell>
        </row>
        <row r="1318">
          <cell r="A1318" t="str">
            <v>SMT P&amp;P 59 Dual Lane</v>
          </cell>
          <cell r="B1318" t="str">
            <v>Automatic Placement --- SMT</v>
          </cell>
        </row>
        <row r="1319">
          <cell r="A1319" t="str">
            <v>SMT P&amp;P 60 Dual Lane</v>
          </cell>
          <cell r="B1319" t="str">
            <v>Automatic Placement --- SMT</v>
          </cell>
        </row>
        <row r="1320">
          <cell r="A1320" t="str">
            <v>Solder Paste Printer 1</v>
          </cell>
          <cell r="B1320" t="str">
            <v>Solder Paste Printing</v>
          </cell>
        </row>
        <row r="1321">
          <cell r="A1321" t="str">
            <v>Solder Paste Printer 2</v>
          </cell>
          <cell r="B1321" t="str">
            <v>Solder Paste Printing</v>
          </cell>
        </row>
        <row r="1322">
          <cell r="A1322" t="str">
            <v>Solder Paste Printer 3</v>
          </cell>
          <cell r="B1322" t="str">
            <v>Solder Paste Printing</v>
          </cell>
        </row>
        <row r="1323">
          <cell r="A1323" t="str">
            <v>Solder Paste Printer 4</v>
          </cell>
          <cell r="B1323" t="str">
            <v>Solder Paste Printing</v>
          </cell>
        </row>
        <row r="1324">
          <cell r="A1324" t="str">
            <v>Solder Paste Printer 5</v>
          </cell>
          <cell r="B1324" t="str">
            <v>Solder Paste Printing</v>
          </cell>
        </row>
        <row r="1325">
          <cell r="A1325" t="str">
            <v>Solder Paste Printer 6</v>
          </cell>
          <cell r="B1325" t="str">
            <v>Solder Paste Printing</v>
          </cell>
        </row>
        <row r="1326">
          <cell r="A1326" t="str">
            <v>Solder Paste Printer 7</v>
          </cell>
          <cell r="B1326" t="str">
            <v>Solder Paste Printing</v>
          </cell>
        </row>
        <row r="1327">
          <cell r="A1327" t="str">
            <v>Solder Paste Printer 8</v>
          </cell>
          <cell r="B1327" t="str">
            <v>Solder Paste Printing</v>
          </cell>
        </row>
        <row r="1328">
          <cell r="A1328" t="str">
            <v>Solder Paste Printer 1 Dual Lane</v>
          </cell>
          <cell r="B1328" t="str">
            <v>Solder Paste Printing</v>
          </cell>
        </row>
        <row r="1329">
          <cell r="A1329" t="str">
            <v>Solder Paste Printer 2 Dual Lane</v>
          </cell>
          <cell r="B1329" t="str">
            <v>Solder Paste Printing</v>
          </cell>
        </row>
        <row r="1330">
          <cell r="A1330" t="str">
            <v>Solder Paste Printer 3 Dual Lane</v>
          </cell>
          <cell r="B1330" t="str">
            <v>Solder Paste Printing</v>
          </cell>
        </row>
        <row r="1331">
          <cell r="A1331" t="str">
            <v>Solder Paste Printer 4 Dual Lane</v>
          </cell>
          <cell r="B1331" t="str">
            <v>Solder Paste Printing</v>
          </cell>
        </row>
        <row r="1332">
          <cell r="A1332" t="str">
            <v>Solder Paste Printer 5 Dual Lane</v>
          </cell>
          <cell r="B1332" t="str">
            <v>Solder Paste Printing</v>
          </cell>
        </row>
        <row r="1333">
          <cell r="A1333" t="str">
            <v>Solder Paste Printer 6 Dual Lane</v>
          </cell>
          <cell r="B1333" t="str">
            <v>Solder Paste Printing</v>
          </cell>
        </row>
        <row r="1334">
          <cell r="A1334" t="str">
            <v>Solder Paste Printer 7 Dual Lane</v>
          </cell>
          <cell r="B1334" t="str">
            <v>Solder Paste Printing</v>
          </cell>
        </row>
        <row r="1335">
          <cell r="A1335" t="str">
            <v>Solder Paste Printer 8 Dual Lane</v>
          </cell>
          <cell r="B1335" t="str">
            <v>Solder Paste Printing</v>
          </cell>
        </row>
        <row r="1336">
          <cell r="A1336" t="str">
            <v>SPI 3D 1</v>
          </cell>
          <cell r="B1336" t="str">
            <v>Automatic Solder Paste Inspection</v>
          </cell>
        </row>
        <row r="1337">
          <cell r="A1337" t="str">
            <v>SPI 3D 2</v>
          </cell>
          <cell r="B1337" t="str">
            <v>Automatic Solder Paste Inspection</v>
          </cell>
        </row>
        <row r="1338">
          <cell r="A1338" t="str">
            <v>SPI 3D 3</v>
          </cell>
          <cell r="B1338" t="str">
            <v>Automatic Solder Paste Inspection</v>
          </cell>
        </row>
        <row r="1339">
          <cell r="A1339" t="str">
            <v>SPI 3D 4</v>
          </cell>
          <cell r="B1339" t="str">
            <v>Automatic Solder Paste Inspection</v>
          </cell>
        </row>
        <row r="1340">
          <cell r="A1340" t="str">
            <v>SPI 3D 5</v>
          </cell>
          <cell r="B1340" t="str">
            <v>Automatic Solder Paste Inspection</v>
          </cell>
        </row>
        <row r="1341">
          <cell r="A1341" t="str">
            <v>SPI 3D 6</v>
          </cell>
          <cell r="B1341" t="str">
            <v>Automatic Solder Paste Inspection</v>
          </cell>
        </row>
        <row r="1342">
          <cell r="A1342" t="str">
            <v>SPI 3D 7</v>
          </cell>
          <cell r="B1342" t="str">
            <v>Automatic Solder Paste Inspection</v>
          </cell>
        </row>
        <row r="1343">
          <cell r="A1343" t="str">
            <v>SPI 3D 8</v>
          </cell>
          <cell r="B1343" t="str">
            <v>Automatic Solder Paste Inspection</v>
          </cell>
        </row>
        <row r="1344">
          <cell r="A1344" t="str">
            <v>SPI 3D 1 Dual Lane</v>
          </cell>
          <cell r="B1344" t="str">
            <v>Automatic Solder Paste Inspection</v>
          </cell>
        </row>
        <row r="1345">
          <cell r="A1345" t="str">
            <v>SPI 3D 2 Dual Lane</v>
          </cell>
          <cell r="B1345" t="str">
            <v>Automatic Solder Paste Inspection</v>
          </cell>
        </row>
        <row r="1346">
          <cell r="A1346" t="str">
            <v>SPI 3D 3 Dual Lane</v>
          </cell>
          <cell r="B1346" t="str">
            <v>Automatic Solder Paste Inspection</v>
          </cell>
        </row>
        <row r="1347">
          <cell r="A1347" t="str">
            <v>SPI 3D 4 Dual Lane</v>
          </cell>
          <cell r="B1347" t="str">
            <v>Automatic Solder Paste Inspection</v>
          </cell>
        </row>
        <row r="1348">
          <cell r="A1348" t="str">
            <v>SPI 3D 5 Dual Lane</v>
          </cell>
          <cell r="B1348" t="str">
            <v>Automatic Solder Paste Inspection</v>
          </cell>
        </row>
        <row r="1349">
          <cell r="A1349" t="str">
            <v>SPI 3D 6 Dual Lane</v>
          </cell>
          <cell r="B1349" t="str">
            <v>Automatic Solder Paste Inspection</v>
          </cell>
        </row>
        <row r="1350">
          <cell r="A1350" t="str">
            <v>SPI 3D 7 Dual Lane</v>
          </cell>
          <cell r="B1350" t="str">
            <v>Automatic Solder Paste Inspection</v>
          </cell>
        </row>
        <row r="1351">
          <cell r="A1351" t="str">
            <v>SPI 3D 8 Dual Lane</v>
          </cell>
          <cell r="B1351" t="str">
            <v>Automatic Solder Paste Inspection</v>
          </cell>
        </row>
        <row r="1352">
          <cell r="A1352" t="str">
            <v>Tester --- Calibration w/auto loading/unloading 1</v>
          </cell>
          <cell r="B1352" t="str">
            <v>Calibration in-line</v>
          </cell>
        </row>
        <row r="1353">
          <cell r="A1353" t="str">
            <v>Tester --- Calibration w/auto loading/unloading 2</v>
          </cell>
          <cell r="B1353" t="str">
            <v>Calibration in-line</v>
          </cell>
        </row>
        <row r="1354">
          <cell r="A1354" t="str">
            <v>Tester --- Calibration w/auto loading/unloading 3</v>
          </cell>
          <cell r="B1354" t="str">
            <v>Calibration in-line</v>
          </cell>
        </row>
        <row r="1355">
          <cell r="A1355" t="str">
            <v>Tester --- Calibration w/auto loading/unloading 4</v>
          </cell>
          <cell r="B1355" t="str">
            <v>Calibration in-line</v>
          </cell>
        </row>
        <row r="1356">
          <cell r="A1356" t="str">
            <v>Tester --- Calibration w/auto loading/unloading 5</v>
          </cell>
          <cell r="B1356" t="str">
            <v>Calibration in-line</v>
          </cell>
        </row>
        <row r="1357">
          <cell r="A1357" t="str">
            <v>Tester --- Calibration w/auto loading/unloading 6</v>
          </cell>
          <cell r="B1357" t="str">
            <v>Calibration in-line</v>
          </cell>
        </row>
        <row r="1358">
          <cell r="A1358" t="str">
            <v>Tester --- Calibration w/auto loading/unloading 7</v>
          </cell>
          <cell r="B1358" t="str">
            <v>Calibration in-line</v>
          </cell>
        </row>
        <row r="1359">
          <cell r="A1359" t="str">
            <v>Tester --- Calibration w/auto loading/unloading 8</v>
          </cell>
          <cell r="B1359" t="str">
            <v>Calibration in-line</v>
          </cell>
        </row>
        <row r="1360">
          <cell r="A1360" t="str">
            <v>Tester --- Calibration w/auto loading/unloading 9</v>
          </cell>
          <cell r="B1360" t="str">
            <v>Calibration in-line</v>
          </cell>
        </row>
        <row r="1361">
          <cell r="A1361" t="str">
            <v>Tester --- Calibration w/auto loading/unloading 10</v>
          </cell>
          <cell r="B1361" t="str">
            <v>Calibration in-line</v>
          </cell>
        </row>
        <row r="1362">
          <cell r="A1362" t="str">
            <v>Tester --- Calibration w/manual loading/unloading 1</v>
          </cell>
          <cell r="B1362" t="str">
            <v>Calibration off-line</v>
          </cell>
        </row>
        <row r="1363">
          <cell r="A1363" t="str">
            <v>Tester --- Calibration w/manual loading/unloading 2</v>
          </cell>
          <cell r="B1363" t="str">
            <v>Calibration off-line</v>
          </cell>
        </row>
        <row r="1364">
          <cell r="A1364" t="str">
            <v>Tester --- Calibration w/manual loading/unloading 3</v>
          </cell>
          <cell r="B1364" t="str">
            <v>Calibration off-line</v>
          </cell>
        </row>
        <row r="1365">
          <cell r="A1365" t="str">
            <v>Tester --- Calibration w/manual loading/unloading 4</v>
          </cell>
          <cell r="B1365" t="str">
            <v>Calibration off-line</v>
          </cell>
        </row>
        <row r="1366">
          <cell r="A1366" t="str">
            <v>Tester --- Calibration w/manual loading/unloading 5</v>
          </cell>
          <cell r="B1366" t="str">
            <v>Calibration off-line</v>
          </cell>
        </row>
        <row r="1367">
          <cell r="A1367" t="str">
            <v>Tester --- Calibration w/manual loading/unloading 6</v>
          </cell>
          <cell r="B1367" t="str">
            <v>Calibration off-line</v>
          </cell>
        </row>
        <row r="1368">
          <cell r="A1368" t="str">
            <v>Tester --- Calibration w/manual loading/unloading 7</v>
          </cell>
          <cell r="B1368" t="str">
            <v>Calibration off-line</v>
          </cell>
        </row>
        <row r="1369">
          <cell r="A1369" t="str">
            <v>Tester --- Calibration w/manual loading/unloading 8</v>
          </cell>
          <cell r="B1369" t="str">
            <v>Calibration off-line</v>
          </cell>
        </row>
        <row r="1370">
          <cell r="A1370" t="str">
            <v>Tester --- Calibration w/manual loading/unloading 9</v>
          </cell>
          <cell r="B1370" t="str">
            <v>Calibration off-line</v>
          </cell>
        </row>
        <row r="1371">
          <cell r="A1371" t="str">
            <v>Tester --- Calibration w/manual loading/unloading 10</v>
          </cell>
          <cell r="B1371" t="str">
            <v>Calibration off-line</v>
          </cell>
        </row>
        <row r="1372">
          <cell r="A1372" t="str">
            <v>Tester --- End Of Line w/auto loading/unloading 1</v>
          </cell>
          <cell r="B1372" t="str">
            <v>EOL in-line</v>
          </cell>
        </row>
        <row r="1373">
          <cell r="A1373" t="str">
            <v>Tester --- End Of Line w/auto loading/unloading 2</v>
          </cell>
          <cell r="B1373" t="str">
            <v>EOL in-line</v>
          </cell>
        </row>
        <row r="1374">
          <cell r="A1374" t="str">
            <v>Tester --- End Of Line w/auto loading/unloading 3</v>
          </cell>
          <cell r="B1374" t="str">
            <v>EOL in-line</v>
          </cell>
        </row>
        <row r="1375">
          <cell r="A1375" t="str">
            <v>Tester --- End Of Line w/auto loading/unloading 4</v>
          </cell>
          <cell r="B1375" t="str">
            <v>EOL in-line</v>
          </cell>
        </row>
        <row r="1376">
          <cell r="A1376" t="str">
            <v>Tester --- End Of Line w/auto loading/unloading 5</v>
          </cell>
          <cell r="B1376" t="str">
            <v>EOL in-line</v>
          </cell>
        </row>
        <row r="1377">
          <cell r="A1377" t="str">
            <v>Tester --- End Of Line w/auto loading/unloading 6</v>
          </cell>
          <cell r="B1377" t="str">
            <v>EOL in-line</v>
          </cell>
        </row>
        <row r="1378">
          <cell r="A1378" t="str">
            <v>Tester --- End Of Line w/auto loading/unloading 7</v>
          </cell>
          <cell r="B1378" t="str">
            <v>EOL in-line</v>
          </cell>
        </row>
        <row r="1379">
          <cell r="A1379" t="str">
            <v>Tester --- End Of Line w/auto loading/unloading 8</v>
          </cell>
          <cell r="B1379" t="str">
            <v>EOL in-line</v>
          </cell>
        </row>
        <row r="1380">
          <cell r="A1380" t="str">
            <v>Tester --- End Of Line w/auto loading/unloading 9</v>
          </cell>
          <cell r="B1380" t="str">
            <v>EOL in-line</v>
          </cell>
        </row>
        <row r="1381">
          <cell r="A1381" t="str">
            <v>Tester --- End Of Line w/auto loading/unloading 10</v>
          </cell>
          <cell r="B1381" t="str">
            <v>EOL in-line</v>
          </cell>
        </row>
        <row r="1382">
          <cell r="A1382" t="str">
            <v>Tester --- End Of Line w/manual loading/unloading 1</v>
          </cell>
          <cell r="B1382" t="str">
            <v>EOL off-line</v>
          </cell>
        </row>
        <row r="1383">
          <cell r="A1383" t="str">
            <v>Tester --- End Of Line w/manual loading/unloading 2</v>
          </cell>
          <cell r="B1383" t="str">
            <v>EOL off-line</v>
          </cell>
        </row>
        <row r="1384">
          <cell r="A1384" t="str">
            <v>Tester --- End Of Line w/manual loading/unloading 3</v>
          </cell>
          <cell r="B1384" t="str">
            <v>EOL off-line</v>
          </cell>
        </row>
        <row r="1385">
          <cell r="A1385" t="str">
            <v>Tester --- End Of Line w/manual loading/unloading 4</v>
          </cell>
          <cell r="B1385" t="str">
            <v>EOL off-line</v>
          </cell>
        </row>
        <row r="1386">
          <cell r="A1386" t="str">
            <v>Tester --- End Of Line w/manual loading/unloading 5</v>
          </cell>
          <cell r="B1386" t="str">
            <v>EOL off-line</v>
          </cell>
        </row>
        <row r="1387">
          <cell r="A1387" t="str">
            <v>Tester --- End Of Line w/manual loading/unloading 6</v>
          </cell>
          <cell r="B1387" t="str">
            <v>EOL off-line</v>
          </cell>
        </row>
        <row r="1388">
          <cell r="A1388" t="str">
            <v>Tester --- End Of Line w/manual loading/unloading 7</v>
          </cell>
          <cell r="B1388" t="str">
            <v>EOL off-line</v>
          </cell>
        </row>
        <row r="1389">
          <cell r="A1389" t="str">
            <v>Tester --- End Of Line w/manual loading/unloading 8</v>
          </cell>
          <cell r="B1389" t="str">
            <v>EOL off-line</v>
          </cell>
        </row>
        <row r="1390">
          <cell r="A1390" t="str">
            <v>Tester --- End Of Line w/manual loading/unloading 9</v>
          </cell>
          <cell r="B1390" t="str">
            <v>EOL off-line</v>
          </cell>
        </row>
        <row r="1391">
          <cell r="A1391" t="str">
            <v>Tester --- End Of Line w/manual loading/unloading 10</v>
          </cell>
          <cell r="B1391" t="str">
            <v>EOL off-line</v>
          </cell>
        </row>
        <row r="1392">
          <cell r="A1392" t="str">
            <v>Tester --- Flying Probe 1</v>
          </cell>
          <cell r="B1392" t="str">
            <v>Flying Probe</v>
          </cell>
        </row>
        <row r="1393">
          <cell r="A1393" t="str">
            <v>Tester --- Functional Verification w/auto loading/unloading 1</v>
          </cell>
          <cell r="B1393" t="str">
            <v>FVT in-line</v>
          </cell>
        </row>
        <row r="1394">
          <cell r="A1394" t="str">
            <v>Tester --- Functional Verification w/auto loading/unloading 2</v>
          </cell>
          <cell r="B1394" t="str">
            <v>FVT in-line</v>
          </cell>
        </row>
        <row r="1395">
          <cell r="A1395" t="str">
            <v>Tester --- Functional Verification w/auto loading/unloading 3</v>
          </cell>
          <cell r="B1395" t="str">
            <v>FVT in-line</v>
          </cell>
        </row>
        <row r="1396">
          <cell r="A1396" t="str">
            <v>Tester --- Functional Verification w/auto loading/unloading 4</v>
          </cell>
          <cell r="B1396" t="str">
            <v>FVT in-line</v>
          </cell>
        </row>
        <row r="1397">
          <cell r="A1397" t="str">
            <v>Tester --- Functional Verification w/auto loading/unloading 5</v>
          </cell>
          <cell r="B1397" t="str">
            <v>FVT in-line</v>
          </cell>
        </row>
        <row r="1398">
          <cell r="A1398" t="str">
            <v>Tester --- Functional Verification w/auto loading/unloading 6</v>
          </cell>
          <cell r="B1398" t="str">
            <v>FVT in-line</v>
          </cell>
        </row>
        <row r="1399">
          <cell r="A1399" t="str">
            <v>Tester --- Functional Verification w/auto loading/unloading 7</v>
          </cell>
          <cell r="B1399" t="str">
            <v>FVT in-line</v>
          </cell>
        </row>
        <row r="1400">
          <cell r="A1400" t="str">
            <v>Tester --- Functional Verification w/auto loading/unloading 8</v>
          </cell>
          <cell r="B1400" t="str">
            <v>FVT in-line</v>
          </cell>
        </row>
        <row r="1401">
          <cell r="A1401" t="str">
            <v>Tester --- Functional Verification w/auto loading/unloading 9</v>
          </cell>
          <cell r="B1401" t="str">
            <v>FVT in-line</v>
          </cell>
        </row>
        <row r="1402">
          <cell r="A1402" t="str">
            <v>Tester --- Functional Verification w/auto loading/unloading 10</v>
          </cell>
          <cell r="B1402" t="str">
            <v>FVT in-line</v>
          </cell>
        </row>
        <row r="1403">
          <cell r="A1403" t="str">
            <v>Tester --- Functional Verification w/auto loading/unloading 11</v>
          </cell>
          <cell r="B1403" t="str">
            <v>FVT in-line</v>
          </cell>
        </row>
        <row r="1404">
          <cell r="A1404" t="str">
            <v>Tester --- Functional Verification w/auto loading/unloading 12</v>
          </cell>
          <cell r="B1404" t="str">
            <v>FVT in-line</v>
          </cell>
        </row>
        <row r="1405">
          <cell r="A1405" t="str">
            <v>Tester --- Functional Verification w/auto loading/unloading 13</v>
          </cell>
          <cell r="B1405" t="str">
            <v>FVT in-line</v>
          </cell>
        </row>
        <row r="1406">
          <cell r="A1406" t="str">
            <v>Tester --- Functional Verification w/auto loading/unloading 14</v>
          </cell>
          <cell r="B1406" t="str">
            <v>FVT in-line</v>
          </cell>
        </row>
        <row r="1407">
          <cell r="A1407" t="str">
            <v>Tester --- Functional Verification w/auto loading/unloading 15</v>
          </cell>
          <cell r="B1407" t="str">
            <v>FVT in-line</v>
          </cell>
        </row>
        <row r="1408">
          <cell r="A1408" t="str">
            <v>Tester --- Functional Verification w/manual loading/unloading 1</v>
          </cell>
          <cell r="B1408" t="str">
            <v>FVT off-line</v>
          </cell>
        </row>
        <row r="1409">
          <cell r="A1409" t="str">
            <v>Tester --- Functional Verification w/manual loading/unloading 2</v>
          </cell>
          <cell r="B1409" t="str">
            <v>FVT off-line</v>
          </cell>
        </row>
        <row r="1410">
          <cell r="A1410" t="str">
            <v>Tester --- Functional Verification w/manual loading/unloading 3</v>
          </cell>
          <cell r="B1410" t="str">
            <v>FVT off-line</v>
          </cell>
        </row>
        <row r="1411">
          <cell r="A1411" t="str">
            <v>Tester --- Functional Verification w/manual loading/unloading 4</v>
          </cell>
          <cell r="B1411" t="str">
            <v>FVT off-line</v>
          </cell>
        </row>
        <row r="1412">
          <cell r="A1412" t="str">
            <v>Tester --- Functional Verification w/manual loading/unloading 5</v>
          </cell>
          <cell r="B1412" t="str">
            <v>FVT off-line</v>
          </cell>
        </row>
        <row r="1413">
          <cell r="A1413" t="str">
            <v>Tester --- Functional Verification w/manual loading/unloading 6</v>
          </cell>
          <cell r="B1413" t="str">
            <v>FVT off-line</v>
          </cell>
        </row>
        <row r="1414">
          <cell r="A1414" t="str">
            <v>Tester --- Functional Verification w/manual loading/unloading 7</v>
          </cell>
          <cell r="B1414" t="str">
            <v>FVT off-line</v>
          </cell>
        </row>
        <row r="1415">
          <cell r="A1415" t="str">
            <v>Tester --- Functional Verification w/manual loading/unloading 8</v>
          </cell>
          <cell r="B1415" t="str">
            <v>FVT off-line</v>
          </cell>
        </row>
        <row r="1416">
          <cell r="A1416" t="str">
            <v>Tester --- Functional Verification w/manual loading/unloading 9</v>
          </cell>
          <cell r="B1416" t="str">
            <v>FVT off-line</v>
          </cell>
        </row>
        <row r="1417">
          <cell r="A1417" t="str">
            <v>Tester --- Functional Verification w/manual loading/unloading 10</v>
          </cell>
          <cell r="B1417" t="str">
            <v>FVT off-line</v>
          </cell>
        </row>
        <row r="1418">
          <cell r="A1418" t="str">
            <v>Tester --- Height Measurement w/auto loading/unloading 1</v>
          </cell>
          <cell r="B1418" t="str">
            <v>Height measurement in-line</v>
          </cell>
        </row>
        <row r="1419">
          <cell r="A1419" t="str">
            <v>Tester --- Height Measurement w/auto loading/unloading 2</v>
          </cell>
          <cell r="B1419" t="str">
            <v>Height measurement in-line</v>
          </cell>
        </row>
        <row r="1420">
          <cell r="A1420" t="str">
            <v>Tester --- Height Measurement w/auto loading/unloading 3</v>
          </cell>
          <cell r="B1420" t="str">
            <v>Height measurement in-line</v>
          </cell>
        </row>
        <row r="1421">
          <cell r="A1421" t="str">
            <v>Tester --- Height Measurement w/auto loading/unloading 4</v>
          </cell>
          <cell r="B1421" t="str">
            <v>Height measurement in-line</v>
          </cell>
        </row>
        <row r="1422">
          <cell r="A1422" t="str">
            <v>Tester --- Height Measurement w/manual loading/unloading 1</v>
          </cell>
          <cell r="B1422" t="str">
            <v>Height measurement off-line</v>
          </cell>
        </row>
        <row r="1423">
          <cell r="A1423" t="str">
            <v>Tester --- Height Measurement w/manual loading/unloading 2</v>
          </cell>
          <cell r="B1423" t="str">
            <v>Height measurement off-line</v>
          </cell>
        </row>
        <row r="1424">
          <cell r="A1424" t="str">
            <v>Tester --- Height Measurement w/manual loading/unloading 3</v>
          </cell>
          <cell r="B1424" t="str">
            <v>Height measurement off-line</v>
          </cell>
        </row>
        <row r="1425">
          <cell r="A1425" t="str">
            <v>Tester --- Height Measurement w/manual loading/unloading 4</v>
          </cell>
          <cell r="B1425" t="str">
            <v>Height measurement off-line</v>
          </cell>
        </row>
        <row r="1426">
          <cell r="A1426" t="str">
            <v>Tester --- Hi Pot w/auto loading/unloading 1</v>
          </cell>
          <cell r="B1426" t="str">
            <v>Hi-Pot in-line</v>
          </cell>
        </row>
        <row r="1427">
          <cell r="A1427" t="str">
            <v>Tester --- Hi Pot w/auto loading/unloading 2</v>
          </cell>
          <cell r="B1427" t="str">
            <v>Hi-Pot in-line</v>
          </cell>
        </row>
        <row r="1428">
          <cell r="A1428" t="str">
            <v>Tester --- Hi Pot w/auto loading/unloading 3</v>
          </cell>
          <cell r="B1428" t="str">
            <v>Hi-Pot in-line</v>
          </cell>
        </row>
        <row r="1429">
          <cell r="A1429" t="str">
            <v>Tester --- Hi Pot w/auto loading/unloading 4</v>
          </cell>
          <cell r="B1429" t="str">
            <v>Hi-Pot in-line</v>
          </cell>
        </row>
        <row r="1430">
          <cell r="A1430" t="str">
            <v>Tester --- Hi Pot w/auto loading/unloading 5</v>
          </cell>
          <cell r="B1430" t="str">
            <v>Hi-Pot in-line</v>
          </cell>
        </row>
        <row r="1431">
          <cell r="A1431" t="str">
            <v>Tester --- Hi Pot w/auto loading/unloading 6</v>
          </cell>
          <cell r="B1431" t="str">
            <v>Hi-Pot in-line</v>
          </cell>
        </row>
        <row r="1432">
          <cell r="A1432" t="str">
            <v>Tester --- Hi Pot w/auto loading/unloading 7</v>
          </cell>
          <cell r="B1432" t="str">
            <v>Hi-Pot in-line</v>
          </cell>
        </row>
        <row r="1433">
          <cell r="A1433" t="str">
            <v>Tester --- Hi Pot w/auto loading/unloading 8</v>
          </cell>
          <cell r="B1433" t="str">
            <v>Hi-Pot in-line</v>
          </cell>
        </row>
        <row r="1434">
          <cell r="A1434" t="str">
            <v>Tester --- Hi Pot w/auto loading/unloading 9</v>
          </cell>
          <cell r="B1434" t="str">
            <v>Hi-Pot in-line</v>
          </cell>
        </row>
        <row r="1435">
          <cell r="A1435" t="str">
            <v>Tester --- Hi Pot w/auto loading/unloading 10</v>
          </cell>
          <cell r="B1435" t="str">
            <v>Hi-Pot in-line</v>
          </cell>
        </row>
        <row r="1436">
          <cell r="A1436" t="str">
            <v>Tester --- Hi Pot w/manual loading/unloading 1</v>
          </cell>
          <cell r="B1436" t="str">
            <v>Hi-Pot off-line</v>
          </cell>
        </row>
        <row r="1437">
          <cell r="A1437" t="str">
            <v>Tester --- Hi Pot w/manual loading/unloading 2</v>
          </cell>
          <cell r="B1437" t="str">
            <v>Hi-Pot off-line</v>
          </cell>
        </row>
        <row r="1438">
          <cell r="A1438" t="str">
            <v>Tester --- Hi Pot w/manual loading/unloading 3</v>
          </cell>
          <cell r="B1438" t="str">
            <v>Hi-Pot off-line</v>
          </cell>
        </row>
        <row r="1439">
          <cell r="A1439" t="str">
            <v>Tester --- Hi Pot w/manual loading/unloading 4</v>
          </cell>
          <cell r="B1439" t="str">
            <v>Hi-Pot off-line</v>
          </cell>
        </row>
        <row r="1440">
          <cell r="A1440" t="str">
            <v>Tester --- Hi Pot w/manual loading/unloading 5</v>
          </cell>
          <cell r="B1440" t="str">
            <v>Hi-Pot off-line</v>
          </cell>
        </row>
        <row r="1441">
          <cell r="A1441" t="str">
            <v>Tester --- Hi Pot w/manual loading/unloading 6</v>
          </cell>
          <cell r="B1441" t="str">
            <v>Hi-Pot off-line</v>
          </cell>
        </row>
        <row r="1442">
          <cell r="A1442" t="str">
            <v>Tester --- Hi Pot w/manual loading/unloading 7</v>
          </cell>
          <cell r="B1442" t="str">
            <v>Hi-Pot off-line</v>
          </cell>
        </row>
        <row r="1443">
          <cell r="A1443" t="str">
            <v>Tester --- Hi Pot w/manual loading/unloading 8</v>
          </cell>
          <cell r="B1443" t="str">
            <v>Hi-Pot off-line</v>
          </cell>
        </row>
        <row r="1444">
          <cell r="A1444" t="str">
            <v>Tester --- Hi Pot w/manual loading/unloading 9</v>
          </cell>
          <cell r="B1444" t="str">
            <v>Hi-Pot off-line</v>
          </cell>
        </row>
        <row r="1445">
          <cell r="A1445" t="str">
            <v>Tester --- Hi Pot w/manual loading/unloading 10</v>
          </cell>
          <cell r="B1445" t="str">
            <v>Hi-Pot off-line</v>
          </cell>
        </row>
        <row r="1446">
          <cell r="A1446" t="str">
            <v>Tester --- In Circuit Test w/auto loading/unloading 1</v>
          </cell>
          <cell r="B1446" t="str">
            <v>ICT in-line</v>
          </cell>
        </row>
        <row r="1447">
          <cell r="A1447" t="str">
            <v>Tester --- In Circuit Test w/auto loading/unloading 2</v>
          </cell>
          <cell r="B1447" t="str">
            <v>ICT in-line</v>
          </cell>
        </row>
        <row r="1448">
          <cell r="A1448" t="str">
            <v>Tester --- In Circuit Test w/auto loading/unloading 3</v>
          </cell>
          <cell r="B1448" t="str">
            <v>ICT in-line</v>
          </cell>
        </row>
        <row r="1449">
          <cell r="A1449" t="str">
            <v>Tester --- In Circuit Test w/auto loading/unloading 4</v>
          </cell>
          <cell r="B1449" t="str">
            <v>ICT in-line</v>
          </cell>
        </row>
        <row r="1450">
          <cell r="A1450" t="str">
            <v>Tester --- In Circuit Test w/auto loading/unloading 5</v>
          </cell>
          <cell r="B1450" t="str">
            <v>ICT in-line</v>
          </cell>
        </row>
        <row r="1451">
          <cell r="A1451" t="str">
            <v>Tester --- In Circuit Test w/auto loading/unloading 6</v>
          </cell>
          <cell r="B1451" t="str">
            <v>ICT in-line</v>
          </cell>
        </row>
        <row r="1452">
          <cell r="A1452" t="str">
            <v>Tester --- In Circuit Test w/auto loading/unloading 7</v>
          </cell>
          <cell r="B1452" t="str">
            <v>ICT in-line</v>
          </cell>
        </row>
        <row r="1453">
          <cell r="A1453" t="str">
            <v>Tester --- In Circuit Test w/auto loading/unloading 8</v>
          </cell>
          <cell r="B1453" t="str">
            <v>ICT in-line</v>
          </cell>
        </row>
        <row r="1454">
          <cell r="A1454" t="str">
            <v>Tester --- In Circuit Test w/auto loading/unloading 9</v>
          </cell>
          <cell r="B1454" t="str">
            <v>ICT in-line</v>
          </cell>
        </row>
        <row r="1455">
          <cell r="A1455" t="str">
            <v>Tester --- In Circuit Test w/auto loading/unloading 10</v>
          </cell>
          <cell r="B1455" t="str">
            <v>ICT in-line</v>
          </cell>
        </row>
        <row r="1456">
          <cell r="A1456" t="str">
            <v>Tester --- In Circuit Test w/auto loading/unloading 11</v>
          </cell>
          <cell r="B1456" t="str">
            <v>ICT in-line</v>
          </cell>
        </row>
        <row r="1457">
          <cell r="A1457" t="str">
            <v>Tester --- In Circuit Test w/auto loading/unloading 12</v>
          </cell>
          <cell r="B1457" t="str">
            <v>ICT in-line</v>
          </cell>
        </row>
        <row r="1458">
          <cell r="A1458" t="str">
            <v>Tester --- In Circuit Test w/auto loading/unloading 13</v>
          </cell>
          <cell r="B1458" t="str">
            <v>ICT in-line</v>
          </cell>
        </row>
        <row r="1459">
          <cell r="A1459" t="str">
            <v>Tester --- In Circuit Test w/auto loading/unloading 14</v>
          </cell>
          <cell r="B1459" t="str">
            <v>ICT in-line</v>
          </cell>
        </row>
        <row r="1460">
          <cell r="A1460" t="str">
            <v>Tester --- In Circuit Test w/auto loading/unloading 15</v>
          </cell>
          <cell r="B1460" t="str">
            <v>ICT in-line</v>
          </cell>
        </row>
        <row r="1461">
          <cell r="A1461" t="str">
            <v>Tester --- In Circuit Test w/auto loading/unloading 16</v>
          </cell>
          <cell r="B1461" t="str">
            <v>ICT in-line</v>
          </cell>
        </row>
        <row r="1462">
          <cell r="A1462" t="str">
            <v>Tester --- In Circuit Test w/auto loading/unloading 17</v>
          </cell>
          <cell r="B1462" t="str">
            <v>ICT in-line</v>
          </cell>
        </row>
        <row r="1463">
          <cell r="A1463" t="str">
            <v>Tester --- In Circuit Test w/auto loading/unloading 18</v>
          </cell>
          <cell r="B1463" t="str">
            <v>ICT in-line</v>
          </cell>
        </row>
        <row r="1464">
          <cell r="A1464" t="str">
            <v>Tester --- In Circuit Test w/auto loading/unloading 19</v>
          </cell>
          <cell r="B1464" t="str">
            <v>ICT in-line</v>
          </cell>
        </row>
        <row r="1465">
          <cell r="A1465" t="str">
            <v>Tester --- In Circuit Test w/auto loading/unloading 20</v>
          </cell>
          <cell r="B1465" t="str">
            <v>ICT in-line</v>
          </cell>
        </row>
        <row r="1466">
          <cell r="A1466" t="str">
            <v>Tester --- In Circuit Test w/manual loading/unloading 1</v>
          </cell>
          <cell r="B1466" t="str">
            <v>ICT off-line</v>
          </cell>
        </row>
        <row r="1467">
          <cell r="A1467" t="str">
            <v>Tester --- In Circuit Test w/manual loading/unloading 2</v>
          </cell>
          <cell r="B1467" t="str">
            <v>ICT off-line</v>
          </cell>
        </row>
        <row r="1468">
          <cell r="A1468" t="str">
            <v>Tester --- In Circuit Test w/manual loading/unloading 3</v>
          </cell>
          <cell r="B1468" t="str">
            <v>ICT off-line</v>
          </cell>
        </row>
        <row r="1469">
          <cell r="A1469" t="str">
            <v>Tester --- In Circuit Test w/manual loading/unloading 4</v>
          </cell>
          <cell r="B1469" t="str">
            <v>ICT off-line</v>
          </cell>
        </row>
        <row r="1470">
          <cell r="A1470" t="str">
            <v>Tester --- In Circuit Test w/manual loading/unloading 5</v>
          </cell>
          <cell r="B1470" t="str">
            <v>ICT off-line</v>
          </cell>
        </row>
        <row r="1471">
          <cell r="A1471" t="str">
            <v>Tester --- In Circuit Test w/manual loading/unloading 6</v>
          </cell>
          <cell r="B1471" t="str">
            <v>ICT off-line</v>
          </cell>
        </row>
        <row r="1472">
          <cell r="A1472" t="str">
            <v>Tester --- In Circuit Test w/manual loading/unloading 7</v>
          </cell>
          <cell r="B1472" t="str">
            <v>ICT off-line</v>
          </cell>
        </row>
        <row r="1473">
          <cell r="A1473" t="str">
            <v>Tester --- In Circuit Test w/manual loading/unloading 8</v>
          </cell>
          <cell r="B1473" t="str">
            <v>ICT off-line</v>
          </cell>
        </row>
        <row r="1474">
          <cell r="A1474" t="str">
            <v>Tester --- In Circuit Test w/manual loading/unloading 9</v>
          </cell>
          <cell r="B1474" t="str">
            <v>ICT off-line</v>
          </cell>
        </row>
        <row r="1475">
          <cell r="A1475" t="str">
            <v>Tester --- In Circuit Test w/manual loading/unloading 10</v>
          </cell>
          <cell r="B1475" t="str">
            <v>ICT off-line</v>
          </cell>
        </row>
        <row r="1476">
          <cell r="A1476" t="str">
            <v>Tester --- In Circuit Test w/manual loading/unloading 11</v>
          </cell>
          <cell r="B1476" t="str">
            <v>ICT off-line</v>
          </cell>
        </row>
        <row r="1477">
          <cell r="A1477" t="str">
            <v>Tester --- In Circuit Test w/manual loading/unloading 12</v>
          </cell>
          <cell r="B1477" t="str">
            <v>ICT off-line</v>
          </cell>
        </row>
        <row r="1478">
          <cell r="A1478" t="str">
            <v>Tester --- In Circuit Test w/manual loading/unloading 13</v>
          </cell>
          <cell r="B1478" t="str">
            <v>ICT off-line</v>
          </cell>
        </row>
        <row r="1479">
          <cell r="A1479" t="str">
            <v>Tester --- In Circuit Test w/manual loading/unloading 14</v>
          </cell>
          <cell r="B1479" t="str">
            <v>ICT off-line</v>
          </cell>
        </row>
        <row r="1480">
          <cell r="A1480" t="str">
            <v>Tester --- In Circuit Test w/manual loading/unloading 15</v>
          </cell>
          <cell r="B1480" t="str">
            <v>ICT off-line</v>
          </cell>
        </row>
        <row r="1481">
          <cell r="A1481" t="str">
            <v>Tester --- In Circuit Test w/manual loading/unloading 16</v>
          </cell>
          <cell r="B1481" t="str">
            <v>ICT off-line</v>
          </cell>
        </row>
        <row r="1482">
          <cell r="A1482" t="str">
            <v>Tester --- In Circuit Test w/manual loading/unloading 17</v>
          </cell>
          <cell r="B1482" t="str">
            <v>ICT off-line</v>
          </cell>
        </row>
        <row r="1483">
          <cell r="A1483" t="str">
            <v>Tester --- In Circuit Test w/manual loading/unloading 18</v>
          </cell>
          <cell r="B1483" t="str">
            <v>ICT off-line</v>
          </cell>
        </row>
        <row r="1484">
          <cell r="A1484" t="str">
            <v>Tester --- In Circuit Test w/manual loading/unloading 19</v>
          </cell>
          <cell r="B1484" t="str">
            <v>ICT off-line</v>
          </cell>
        </row>
        <row r="1485">
          <cell r="A1485" t="str">
            <v>Tester --- In Circuit Test w/manual loading/unloading 20</v>
          </cell>
          <cell r="B1485" t="str">
            <v>ICT off-line</v>
          </cell>
        </row>
        <row r="1486">
          <cell r="A1486" t="str">
            <v>Tester --- Programing/Flashing w/auto loading/unloading 1</v>
          </cell>
          <cell r="B1486" t="str">
            <v>Programming in-line</v>
          </cell>
        </row>
        <row r="1487">
          <cell r="A1487" t="str">
            <v>Tester --- Programing/Flashing w/auto loading/unloading 2</v>
          </cell>
          <cell r="B1487" t="str">
            <v>Programming in-line</v>
          </cell>
        </row>
        <row r="1488">
          <cell r="A1488" t="str">
            <v>Tester --- Programing/Flashing w/auto loading/unloading 3</v>
          </cell>
          <cell r="B1488" t="str">
            <v>Programming in-line</v>
          </cell>
        </row>
        <row r="1489">
          <cell r="A1489" t="str">
            <v>Tester --- Programing/Flashing w/auto loading/unloading 4</v>
          </cell>
          <cell r="B1489" t="str">
            <v>Programming in-line</v>
          </cell>
        </row>
        <row r="1490">
          <cell r="A1490" t="str">
            <v>Tester --- Programing/Flashing w/auto loading/unloading 5</v>
          </cell>
          <cell r="B1490" t="str">
            <v>Programming in-line</v>
          </cell>
        </row>
        <row r="1491">
          <cell r="A1491" t="str">
            <v>Tester --- Programing/Flashing w/auto loading/unloading 6</v>
          </cell>
          <cell r="B1491" t="str">
            <v>Programming in-line</v>
          </cell>
        </row>
        <row r="1492">
          <cell r="A1492" t="str">
            <v>Tester --- Programing/Flashing w/auto loading/unloading 7</v>
          </cell>
          <cell r="B1492" t="str">
            <v>Programming in-line</v>
          </cell>
        </row>
        <row r="1493">
          <cell r="A1493" t="str">
            <v>Tester --- Programing/Flashing w/auto loading/unloading 8</v>
          </cell>
          <cell r="B1493" t="str">
            <v>Programming in-line</v>
          </cell>
        </row>
        <row r="1494">
          <cell r="A1494" t="str">
            <v>Tester --- Programing/Flashing w/auto loading/unloading 9</v>
          </cell>
          <cell r="B1494" t="str">
            <v>Programming in-line</v>
          </cell>
        </row>
        <row r="1495">
          <cell r="A1495" t="str">
            <v>Tester --- Programing/Flashing w/auto loading/unloading 10</v>
          </cell>
          <cell r="B1495" t="str">
            <v>Programming in-line</v>
          </cell>
        </row>
        <row r="1496">
          <cell r="A1496" t="str">
            <v>Tester --- Programing/Flashing w/auto loading/unloading 11</v>
          </cell>
          <cell r="B1496" t="str">
            <v>Programming in-line</v>
          </cell>
        </row>
        <row r="1497">
          <cell r="A1497" t="str">
            <v>Tester --- Programing/Flashing w/auto loading/unloading 12</v>
          </cell>
          <cell r="B1497" t="str">
            <v>Programming in-line</v>
          </cell>
        </row>
        <row r="1498">
          <cell r="A1498" t="str">
            <v>Tester --- Programing/Flashing w/auto loading/unloading 13</v>
          </cell>
          <cell r="B1498" t="str">
            <v>Programming in-line</v>
          </cell>
        </row>
        <row r="1499">
          <cell r="A1499" t="str">
            <v>Tester --- Programing/Flashing w/auto loading/unloading 14</v>
          </cell>
          <cell r="B1499" t="str">
            <v>Programming in-line</v>
          </cell>
        </row>
        <row r="1500">
          <cell r="A1500" t="str">
            <v>Tester --- Programing/Flashing w/auto loading/unloading 15</v>
          </cell>
          <cell r="B1500" t="str">
            <v>Programming in-line</v>
          </cell>
        </row>
        <row r="1501">
          <cell r="A1501" t="str">
            <v>Tester --- Programing/Flashing w/auto loading/unloading 16</v>
          </cell>
          <cell r="B1501" t="str">
            <v>Programming in-line</v>
          </cell>
        </row>
        <row r="1502">
          <cell r="A1502" t="str">
            <v>Tester --- Programing/Flashing w/auto loading/unloading 17</v>
          </cell>
          <cell r="B1502" t="str">
            <v>Programming in-line</v>
          </cell>
        </row>
        <row r="1503">
          <cell r="A1503" t="str">
            <v>Tester --- Programing/Flashing w/auto loading/unloading 18</v>
          </cell>
          <cell r="B1503" t="str">
            <v>Programming in-line</v>
          </cell>
        </row>
        <row r="1504">
          <cell r="A1504" t="str">
            <v>Tester --- Programing/Flashing w/auto loading/unloading 19</v>
          </cell>
          <cell r="B1504" t="str">
            <v>Programming in-line</v>
          </cell>
        </row>
        <row r="1505">
          <cell r="A1505" t="str">
            <v>Tester --- Programing/Flashing w/auto loading/unloading 20</v>
          </cell>
          <cell r="B1505" t="str">
            <v>Programming in-line</v>
          </cell>
        </row>
        <row r="1506">
          <cell r="A1506" t="str">
            <v>Tester --- Programing/Flashing w/manual loading/unloading 1</v>
          </cell>
          <cell r="B1506" t="str">
            <v>Programming off-line</v>
          </cell>
        </row>
        <row r="1507">
          <cell r="A1507" t="str">
            <v>Tester --- Programing/Flashing w/manual loading/unloading 2</v>
          </cell>
          <cell r="B1507" t="str">
            <v>Programming off-line</v>
          </cell>
        </row>
        <row r="1508">
          <cell r="A1508" t="str">
            <v>Tester --- Programing/Flashing w/manual loading/unloading 3</v>
          </cell>
          <cell r="B1508" t="str">
            <v>Programming off-line</v>
          </cell>
        </row>
        <row r="1509">
          <cell r="A1509" t="str">
            <v>Tester --- Programing/Flashing w/manual loading/unloading 4</v>
          </cell>
          <cell r="B1509" t="str">
            <v>Programming off-line</v>
          </cell>
        </row>
        <row r="1510">
          <cell r="A1510" t="str">
            <v>Tester --- Programing/Flashing w/manual loading/unloading 5</v>
          </cell>
          <cell r="B1510" t="str">
            <v>Programming off-line</v>
          </cell>
        </row>
        <row r="1511">
          <cell r="A1511" t="str">
            <v>Tester --- Programing/Flashing w/manual loading/unloading 6</v>
          </cell>
          <cell r="B1511" t="str">
            <v>Programming off-line</v>
          </cell>
        </row>
        <row r="1512">
          <cell r="A1512" t="str">
            <v>Tester --- Programing/Flashing w/manual loading/unloading 7</v>
          </cell>
          <cell r="B1512" t="str">
            <v>Programming off-line</v>
          </cell>
        </row>
        <row r="1513">
          <cell r="A1513" t="str">
            <v>Tester --- Programing/Flashing w/manual loading/unloading 8</v>
          </cell>
          <cell r="B1513" t="str">
            <v>Programming off-line</v>
          </cell>
        </row>
        <row r="1514">
          <cell r="A1514" t="str">
            <v>Tester --- Programing/Flashing w/manual loading/unloading 9</v>
          </cell>
          <cell r="B1514" t="str">
            <v>Programming off-line</v>
          </cell>
        </row>
        <row r="1515">
          <cell r="A1515" t="str">
            <v>Tester --- Programing/Flashing w/manual loading/unloading 10</v>
          </cell>
          <cell r="B1515" t="str">
            <v>Programming off-line</v>
          </cell>
        </row>
        <row r="1516">
          <cell r="A1516" t="str">
            <v>Tester --- Programing/Flashing w/manual loading/unloading 11</v>
          </cell>
          <cell r="B1516" t="str">
            <v>Programming off-line</v>
          </cell>
        </row>
        <row r="1517">
          <cell r="A1517" t="str">
            <v>Tester --- Programing/Flashing w/manual loading/unloading 12</v>
          </cell>
          <cell r="B1517" t="str">
            <v>Programming off-line</v>
          </cell>
        </row>
        <row r="1518">
          <cell r="A1518" t="str">
            <v>Tester --- Programing/Flashing w/manual loading/unloading 13</v>
          </cell>
          <cell r="B1518" t="str">
            <v>Programming off-line</v>
          </cell>
        </row>
        <row r="1519">
          <cell r="A1519" t="str">
            <v>Tester --- Programing/Flashing w/manual loading/unloading 14</v>
          </cell>
          <cell r="B1519" t="str">
            <v>Programming off-line</v>
          </cell>
        </row>
        <row r="1520">
          <cell r="A1520" t="str">
            <v>Tester --- Programing/Flashing w/manual loading/unloading 15</v>
          </cell>
          <cell r="B1520" t="str">
            <v>Programming off-line</v>
          </cell>
        </row>
        <row r="1521">
          <cell r="A1521" t="str">
            <v>Tester --- Programing/Flashing w/manual loading/unloading 16</v>
          </cell>
          <cell r="B1521" t="str">
            <v>Programming off-line</v>
          </cell>
        </row>
        <row r="1522">
          <cell r="A1522" t="str">
            <v>Tester --- Programing/Flashing w/manual loading/unloading 17</v>
          </cell>
          <cell r="B1522" t="str">
            <v>Programming off-line</v>
          </cell>
        </row>
        <row r="1523">
          <cell r="A1523" t="str">
            <v>Tester --- Programing/Flashing w/manual loading/unloading 18</v>
          </cell>
          <cell r="B1523" t="str">
            <v>Programming off-line</v>
          </cell>
        </row>
        <row r="1524">
          <cell r="A1524" t="str">
            <v>Tester --- Programing/Flashing w/manual loading/unloading 19</v>
          </cell>
          <cell r="B1524" t="str">
            <v>Programming off-line</v>
          </cell>
        </row>
        <row r="1525">
          <cell r="A1525" t="str">
            <v>Tester --- Programing/Flashing w/manual loading/unloading 20</v>
          </cell>
          <cell r="B1525" t="str">
            <v>Programming off-line</v>
          </cell>
        </row>
        <row r="1526">
          <cell r="A1526" t="str">
            <v>Tester --- Programing/Flashing w/manual loading/unloading 21</v>
          </cell>
          <cell r="B1526" t="str">
            <v>Programming off-line</v>
          </cell>
        </row>
        <row r="1527">
          <cell r="A1527" t="str">
            <v>Tester --- Programing/Flashing w/manual loading/unloading 22</v>
          </cell>
          <cell r="B1527" t="str">
            <v>Programming off-line</v>
          </cell>
        </row>
        <row r="1528">
          <cell r="A1528" t="str">
            <v>Tester --- Programing/Flashing w/manual loading/unloading 23</v>
          </cell>
          <cell r="B1528" t="str">
            <v>Programming off-line</v>
          </cell>
        </row>
        <row r="1529">
          <cell r="A1529" t="str">
            <v>Tester --- Programing/Flashing w/manual loading/unloading 24</v>
          </cell>
          <cell r="B1529" t="str">
            <v>Programming off-line</v>
          </cell>
        </row>
        <row r="1530">
          <cell r="A1530" t="str">
            <v>Tester --- Programing/Flashing w/manual loading/unloading 25</v>
          </cell>
          <cell r="B1530" t="str">
            <v>Programming off-line</v>
          </cell>
        </row>
        <row r="1531">
          <cell r="A1531" t="str">
            <v>Tester --- Programing/Flashing w/manual loading/unloading 26</v>
          </cell>
          <cell r="B1531" t="str">
            <v>Programming off-line</v>
          </cell>
        </row>
        <row r="1532">
          <cell r="A1532" t="str">
            <v>Tester --- Programing/Flashing w/manual loading/unloading 27</v>
          </cell>
          <cell r="B1532" t="str">
            <v>Programming off-line</v>
          </cell>
        </row>
        <row r="1533">
          <cell r="A1533" t="str">
            <v>Tester --- Programing/Flashing w/manual loading/unloading 28</v>
          </cell>
          <cell r="B1533" t="str">
            <v>Programming off-line</v>
          </cell>
        </row>
        <row r="1534">
          <cell r="A1534" t="str">
            <v>Tester --- Programing/Flashing w/manual loading/unloading 29</v>
          </cell>
          <cell r="B1534" t="str">
            <v>Programming off-line</v>
          </cell>
        </row>
        <row r="1535">
          <cell r="A1535" t="str">
            <v>Tester --- Programing/Flashing w/manual loading/unloading 30</v>
          </cell>
          <cell r="B1535" t="str">
            <v>Programming off-line</v>
          </cell>
        </row>
        <row r="1536">
          <cell r="A1536" t="str">
            <v>Tester --- Resistance Check w/auto loading/unloading 1</v>
          </cell>
          <cell r="B1536" t="str">
            <v>Resistance Test in-line</v>
          </cell>
        </row>
        <row r="1537">
          <cell r="A1537" t="str">
            <v>Tester --- Resistance Check w/auto loading/unloading 2</v>
          </cell>
          <cell r="B1537" t="str">
            <v>Resistance Test in-line</v>
          </cell>
        </row>
        <row r="1538">
          <cell r="A1538" t="str">
            <v>Tester --- Resistance Check w/auto loading/unloading 3</v>
          </cell>
          <cell r="B1538" t="str">
            <v>Resistance Test in-line</v>
          </cell>
        </row>
        <row r="1539">
          <cell r="A1539" t="str">
            <v>Tester --- Resistance Check w/auto loading/unloading 4</v>
          </cell>
          <cell r="B1539" t="str">
            <v>Resistance Test in-line</v>
          </cell>
        </row>
        <row r="1540">
          <cell r="A1540" t="str">
            <v>Tester --- Resistance Check w/manual loading/unloading 1</v>
          </cell>
          <cell r="B1540" t="str">
            <v>Resistance Test off-line</v>
          </cell>
        </row>
        <row r="1541">
          <cell r="A1541" t="str">
            <v>Tester --- Resistance Check w/manual loading/unloading 2</v>
          </cell>
          <cell r="B1541" t="str">
            <v>Resistance Test off-line</v>
          </cell>
        </row>
        <row r="1542">
          <cell r="A1542" t="str">
            <v>Tester --- Resistance Check w/manual loading/unloading 3</v>
          </cell>
          <cell r="B1542" t="str">
            <v>Resistance Test off-line</v>
          </cell>
        </row>
        <row r="1543">
          <cell r="A1543" t="str">
            <v>Tester --- Resistance Check w/manual loading/unloading 4</v>
          </cell>
          <cell r="B1543" t="str">
            <v>Resistance Test off-line</v>
          </cell>
        </row>
        <row r="1544">
          <cell r="A1544" t="str">
            <v>THT P&amp;P 1</v>
          </cell>
          <cell r="B1544" t="str">
            <v>Automatic Placement --- THT</v>
          </cell>
        </row>
        <row r="1545">
          <cell r="A1545" t="str">
            <v>THT P&amp;P 2</v>
          </cell>
          <cell r="B1545" t="str">
            <v>Automatic Placement --- THT</v>
          </cell>
        </row>
        <row r="1546">
          <cell r="A1546" t="str">
            <v>THT P&amp;P 3</v>
          </cell>
          <cell r="B1546" t="str">
            <v>Automatic Placement --- THT</v>
          </cell>
        </row>
        <row r="1547">
          <cell r="A1547" t="str">
            <v>THT P&amp;P 4</v>
          </cell>
          <cell r="B1547" t="str">
            <v>Automatic Placement --- THT</v>
          </cell>
        </row>
        <row r="1548">
          <cell r="A1548" t="str">
            <v>THT P&amp;P 5</v>
          </cell>
          <cell r="B1548" t="str">
            <v>Automatic Placement --- THT</v>
          </cell>
        </row>
        <row r="1549">
          <cell r="A1549" t="str">
            <v>THT P&amp;P 6</v>
          </cell>
          <cell r="B1549" t="str">
            <v>Automatic Placement --- THT</v>
          </cell>
        </row>
        <row r="1550">
          <cell r="A1550" t="str">
            <v>THT P&amp;P 7</v>
          </cell>
          <cell r="B1550" t="str">
            <v>Automatic Placement --- THT</v>
          </cell>
        </row>
        <row r="1551">
          <cell r="A1551" t="str">
            <v>THT P&amp;P 8</v>
          </cell>
          <cell r="B1551" t="str">
            <v>Automatic Placement --- THT</v>
          </cell>
        </row>
        <row r="1552">
          <cell r="A1552" t="str">
            <v>THT P&amp;P 9</v>
          </cell>
          <cell r="B1552" t="str">
            <v>Automatic Placement --- THT</v>
          </cell>
        </row>
        <row r="1553">
          <cell r="A1553" t="str">
            <v>THT P&amp;P 10</v>
          </cell>
          <cell r="B1553" t="str">
            <v>Automatic Placement --- THT</v>
          </cell>
        </row>
        <row r="1554">
          <cell r="A1554" t="str">
            <v>THT P&amp;P 11</v>
          </cell>
          <cell r="B1554" t="str">
            <v>Automatic Placement --- THT</v>
          </cell>
        </row>
        <row r="1555">
          <cell r="A1555" t="str">
            <v>THT P&amp;P 12</v>
          </cell>
          <cell r="B1555" t="str">
            <v>Automatic Placement --- THT</v>
          </cell>
        </row>
        <row r="1556">
          <cell r="A1556" t="str">
            <v>THT P&amp;P 13</v>
          </cell>
          <cell r="B1556" t="str">
            <v>Automatic Placement --- THT</v>
          </cell>
        </row>
        <row r="1557">
          <cell r="A1557" t="str">
            <v>THT P&amp;P 14</v>
          </cell>
          <cell r="B1557" t="str">
            <v>Automatic Placement --- THT</v>
          </cell>
        </row>
        <row r="1558">
          <cell r="A1558" t="str">
            <v>THT P&amp;P 15</v>
          </cell>
          <cell r="B1558" t="str">
            <v>Automatic Placement --- THT</v>
          </cell>
        </row>
        <row r="1559">
          <cell r="A1559" t="str">
            <v>THT P&amp;P 16</v>
          </cell>
          <cell r="B1559" t="str">
            <v>Automatic Placement --- THT</v>
          </cell>
        </row>
        <row r="1560">
          <cell r="A1560" t="str">
            <v>THT P&amp;P 17</v>
          </cell>
          <cell r="B1560" t="str">
            <v>Automatic Placement --- THT</v>
          </cell>
        </row>
        <row r="1561">
          <cell r="A1561" t="str">
            <v>THT P&amp;P 18</v>
          </cell>
          <cell r="B1561" t="str">
            <v>Automatic Placement --- THT</v>
          </cell>
        </row>
        <row r="1562">
          <cell r="A1562" t="str">
            <v>THT P&amp;P 19</v>
          </cell>
          <cell r="B1562" t="str">
            <v>Automatic Placement --- THT</v>
          </cell>
        </row>
        <row r="1563">
          <cell r="A1563" t="str">
            <v>THT P&amp;P 20</v>
          </cell>
          <cell r="B1563" t="str">
            <v>Automatic Placement --- THT</v>
          </cell>
        </row>
        <row r="1564">
          <cell r="A1564" t="str">
            <v>THT P&amp;P 21</v>
          </cell>
          <cell r="B1564" t="str">
            <v>Automatic Placement --- THT</v>
          </cell>
        </row>
        <row r="1565">
          <cell r="A1565" t="str">
            <v>THT P&amp;P 22</v>
          </cell>
          <cell r="B1565" t="str">
            <v>Automatic Placement --- THT</v>
          </cell>
        </row>
        <row r="1566">
          <cell r="A1566" t="str">
            <v>THT P&amp;P 23</v>
          </cell>
          <cell r="B1566" t="str">
            <v>Automatic Placement --- THT</v>
          </cell>
        </row>
        <row r="1567">
          <cell r="A1567" t="str">
            <v>THT P&amp;P 24</v>
          </cell>
          <cell r="B1567" t="str">
            <v>Automatic Placement --- THT</v>
          </cell>
        </row>
        <row r="1568">
          <cell r="A1568" t="str">
            <v>THT P&amp;P 25</v>
          </cell>
          <cell r="B1568" t="str">
            <v>Automatic Placement --- THT</v>
          </cell>
        </row>
        <row r="1569">
          <cell r="A1569" t="str">
            <v>THT P&amp;P 26</v>
          </cell>
          <cell r="B1569" t="str">
            <v>Automatic Placement --- THT</v>
          </cell>
        </row>
        <row r="1570">
          <cell r="A1570" t="str">
            <v>THT P&amp;P 27</v>
          </cell>
          <cell r="B1570" t="str">
            <v>Automatic Placement --- THT</v>
          </cell>
        </row>
        <row r="1571">
          <cell r="A1571" t="str">
            <v>THT P&amp;P 28</v>
          </cell>
          <cell r="B1571" t="str">
            <v>Automatic Placement --- THT</v>
          </cell>
        </row>
        <row r="1572">
          <cell r="A1572" t="str">
            <v>THT P&amp;P 29</v>
          </cell>
          <cell r="B1572" t="str">
            <v>Automatic Placement --- THT</v>
          </cell>
        </row>
        <row r="1573">
          <cell r="A1573" t="str">
            <v>THT P&amp;P 30</v>
          </cell>
          <cell r="B1573" t="str">
            <v>Automatic Placement --- THT</v>
          </cell>
        </row>
        <row r="1574">
          <cell r="A1574" t="str">
            <v>Tooling Cleaning 1</v>
          </cell>
          <cell r="B1574" t="str">
            <v>Cleaning --- Wave/Selective Solder Pallet</v>
          </cell>
        </row>
        <row r="1575">
          <cell r="A1575" t="str">
            <v>Tooling Cleaning 2</v>
          </cell>
          <cell r="B1575" t="str">
            <v>Cleaning --- Wave/Selective Solder Pallet</v>
          </cell>
        </row>
        <row r="1576">
          <cell r="A1576" t="str">
            <v>Tooling Cleaning 3</v>
          </cell>
          <cell r="B1576" t="str">
            <v>Cleaning --- Wave/Selective Solder Pallet</v>
          </cell>
        </row>
        <row r="1577">
          <cell r="A1577" t="str">
            <v>Tooling Cleaning 4</v>
          </cell>
          <cell r="B1577" t="str">
            <v>Cleaning --- Wave/Selective Solder Pallet</v>
          </cell>
        </row>
        <row r="1578">
          <cell r="A1578" t="str">
            <v>Washer Machine --- PCBA 1</v>
          </cell>
          <cell r="B1578" t="str">
            <v>Cleaning PCBA</v>
          </cell>
        </row>
        <row r="1579">
          <cell r="A1579" t="str">
            <v>Washer Machine --- PCBA 2</v>
          </cell>
          <cell r="B1579" t="str">
            <v>Cleaning PCBA</v>
          </cell>
        </row>
        <row r="1580">
          <cell r="A1580" t="str">
            <v>Washer Machine --- PCBA 3</v>
          </cell>
          <cell r="B1580" t="str">
            <v>Cleaning PCBA</v>
          </cell>
        </row>
        <row r="1581">
          <cell r="A1581" t="str">
            <v>Washer Machine --- PCBA 4</v>
          </cell>
          <cell r="B1581" t="str">
            <v>Cleaning PCBA</v>
          </cell>
        </row>
        <row r="1582">
          <cell r="A1582" t="str">
            <v>Washer Machine --- PCBA 5</v>
          </cell>
          <cell r="B1582" t="str">
            <v>Cleaning PCBA</v>
          </cell>
        </row>
        <row r="1583">
          <cell r="A1583" t="str">
            <v>Washer Machine --- PCBA 6</v>
          </cell>
          <cell r="B1583" t="str">
            <v>Cleaning PCBA</v>
          </cell>
        </row>
        <row r="1584">
          <cell r="A1584" t="str">
            <v>Washer Machine --- PCBA 7</v>
          </cell>
          <cell r="B1584" t="str">
            <v>Cleaning PCBA</v>
          </cell>
        </row>
        <row r="1585">
          <cell r="A1585" t="str">
            <v>Washer Machine --- PCBA 8</v>
          </cell>
          <cell r="B1585" t="str">
            <v>Cleaning PCBA</v>
          </cell>
        </row>
        <row r="1586">
          <cell r="A1586" t="str">
            <v>Washer Machine --- PCBA 9</v>
          </cell>
          <cell r="B1586" t="str">
            <v>Cleaning PCBA</v>
          </cell>
        </row>
        <row r="1587">
          <cell r="A1587" t="str">
            <v>Washer Machine --- PCBA 10</v>
          </cell>
          <cell r="B1587" t="str">
            <v>Cleaning PCBA</v>
          </cell>
        </row>
        <row r="1588">
          <cell r="A1588" t="str">
            <v>Washer Machine --- Solder Stencil</v>
          </cell>
          <cell r="B1588" t="str">
            <v>Cleaning Tooling</v>
          </cell>
        </row>
        <row r="1589">
          <cell r="A1589" t="str">
            <v>Washer Machine --- Wafer 1</v>
          </cell>
          <cell r="B1589" t="str">
            <v>Cleaning Wafer</v>
          </cell>
        </row>
        <row r="1590">
          <cell r="A1590" t="str">
            <v>Washer Machine --- Wafer 2</v>
          </cell>
          <cell r="B1590" t="str">
            <v>Cleaning Wafer</v>
          </cell>
        </row>
        <row r="1591">
          <cell r="A1591" t="str">
            <v>Washer Machine --- Wafer 3</v>
          </cell>
          <cell r="B1591" t="str">
            <v>Cleaning Wafer</v>
          </cell>
        </row>
        <row r="1592">
          <cell r="A1592" t="str">
            <v>Washer Machine --- Wafer 4</v>
          </cell>
          <cell r="B1592" t="str">
            <v>Cleaning Wafer</v>
          </cell>
        </row>
        <row r="1593">
          <cell r="A1593" t="str">
            <v>Wave Solder 1</v>
          </cell>
          <cell r="B1593" t="str">
            <v>THT soldering</v>
          </cell>
        </row>
        <row r="1594">
          <cell r="A1594" t="str">
            <v>Wave Solder 2</v>
          </cell>
          <cell r="B1594" t="str">
            <v>THT soldering</v>
          </cell>
        </row>
        <row r="1595">
          <cell r="A1595" t="str">
            <v>Wave Solder 3</v>
          </cell>
          <cell r="B1595" t="str">
            <v>THT soldering</v>
          </cell>
        </row>
        <row r="1596">
          <cell r="A1596" t="str">
            <v>Wave Solder 4</v>
          </cell>
          <cell r="B1596" t="str">
            <v>THT soldering</v>
          </cell>
        </row>
        <row r="1597">
          <cell r="A1597" t="str">
            <v>Wave Solder 5</v>
          </cell>
          <cell r="B1597" t="str">
            <v>THT soldering</v>
          </cell>
        </row>
        <row r="1598">
          <cell r="A1598" t="str">
            <v>Wave Solder 6</v>
          </cell>
          <cell r="B1598" t="str">
            <v>THT soldering</v>
          </cell>
        </row>
        <row r="1599">
          <cell r="A1599" t="str">
            <v>Wire Bonding 1</v>
          </cell>
          <cell r="B1599" t="str">
            <v>WB soldering</v>
          </cell>
        </row>
        <row r="1600">
          <cell r="A1600" t="str">
            <v>Wire Bonding 2</v>
          </cell>
          <cell r="B1600" t="str">
            <v>WB soldering</v>
          </cell>
        </row>
        <row r="1601">
          <cell r="A1601" t="str">
            <v>Wire Bonding 3</v>
          </cell>
          <cell r="B1601" t="str">
            <v>WB soldering</v>
          </cell>
        </row>
        <row r="1602">
          <cell r="A1602" t="str">
            <v>Wire Bonding 4</v>
          </cell>
          <cell r="B1602" t="str">
            <v>WB soldering</v>
          </cell>
        </row>
        <row r="1603">
          <cell r="A1603" t="str">
            <v>Wire Bonding 5</v>
          </cell>
          <cell r="B1603" t="str">
            <v>WB soldering</v>
          </cell>
        </row>
        <row r="1604">
          <cell r="A1604" t="str">
            <v>Wire Bonding 6</v>
          </cell>
          <cell r="B1604" t="str">
            <v>WB soldering</v>
          </cell>
        </row>
        <row r="1605">
          <cell r="A1605" t="str">
            <v>Wire Bonding 7</v>
          </cell>
          <cell r="B1605" t="str">
            <v>WB soldering</v>
          </cell>
        </row>
        <row r="1606">
          <cell r="A1606" t="str">
            <v>Wire Bonding 8</v>
          </cell>
          <cell r="B1606" t="str">
            <v>WB soldering</v>
          </cell>
        </row>
        <row r="1607">
          <cell r="A1607" t="str">
            <v>Wire Bonding 9</v>
          </cell>
          <cell r="B1607" t="str">
            <v>WB soldering</v>
          </cell>
        </row>
        <row r="1608">
          <cell r="A1608" t="str">
            <v>Wire Bonding 10</v>
          </cell>
          <cell r="B1608" t="str">
            <v>WB soldering</v>
          </cell>
        </row>
        <row r="1609">
          <cell r="A1609" t="str">
            <v>Wire Bonding 11</v>
          </cell>
          <cell r="B1609" t="str">
            <v>WB soldering</v>
          </cell>
        </row>
        <row r="1610">
          <cell r="A1610" t="str">
            <v>Wire Bonding 12</v>
          </cell>
          <cell r="B1610" t="str">
            <v>WB soldering</v>
          </cell>
        </row>
        <row r="1611">
          <cell r="A1611" t="str">
            <v>Wire Bonding 13</v>
          </cell>
          <cell r="B1611" t="str">
            <v>WB soldering</v>
          </cell>
        </row>
        <row r="1612">
          <cell r="A1612" t="str">
            <v>Wire Bonding 14</v>
          </cell>
          <cell r="B1612" t="str">
            <v>WB soldering</v>
          </cell>
        </row>
        <row r="1613">
          <cell r="A1613" t="str">
            <v>Wire Bonding 15</v>
          </cell>
          <cell r="B1613" t="str">
            <v>WB soldering</v>
          </cell>
        </row>
        <row r="1614">
          <cell r="A1614" t="str">
            <v>Wire Bonding 16</v>
          </cell>
          <cell r="B1614" t="str">
            <v>WB soldering</v>
          </cell>
        </row>
        <row r="1615">
          <cell r="A1615" t="str">
            <v>Wire Bonding 17</v>
          </cell>
          <cell r="B1615" t="str">
            <v>WB soldering</v>
          </cell>
        </row>
        <row r="1616">
          <cell r="A1616" t="str">
            <v>Wire Bonding 18</v>
          </cell>
          <cell r="B1616" t="str">
            <v>WB soldering</v>
          </cell>
        </row>
        <row r="1617">
          <cell r="A1617" t="str">
            <v>Wire Bonding 19</v>
          </cell>
          <cell r="B1617" t="str">
            <v>WB soldering</v>
          </cell>
        </row>
        <row r="1618">
          <cell r="A1618" t="str">
            <v>Wire Bonding 20</v>
          </cell>
          <cell r="B1618" t="str">
            <v>WB soldering</v>
          </cell>
        </row>
        <row r="1619">
          <cell r="A1619" t="str">
            <v>Wire Bonding 21</v>
          </cell>
          <cell r="B1619" t="str">
            <v>WB soldering</v>
          </cell>
        </row>
        <row r="1620">
          <cell r="A1620" t="str">
            <v>Wire Bonding 22</v>
          </cell>
          <cell r="B1620" t="str">
            <v>WB soldering</v>
          </cell>
        </row>
        <row r="1621">
          <cell r="A1621" t="str">
            <v>Wire Bonding 23</v>
          </cell>
          <cell r="B1621" t="str">
            <v>WB soldering</v>
          </cell>
        </row>
        <row r="1622">
          <cell r="A1622" t="str">
            <v>Wire Bonding 24</v>
          </cell>
          <cell r="B1622" t="str">
            <v>WB soldering</v>
          </cell>
        </row>
        <row r="1623">
          <cell r="A1623" t="str">
            <v>Wire Bonding 25</v>
          </cell>
          <cell r="B1623" t="str">
            <v>WB soldering</v>
          </cell>
        </row>
        <row r="1624">
          <cell r="A1624" t="str">
            <v>Wire Bonding 26</v>
          </cell>
          <cell r="B1624" t="str">
            <v>WB soldering</v>
          </cell>
        </row>
        <row r="1625">
          <cell r="A1625" t="str">
            <v>Wire Bonding 27</v>
          </cell>
          <cell r="B1625" t="str">
            <v>WB soldering</v>
          </cell>
        </row>
        <row r="1626">
          <cell r="A1626" t="str">
            <v>Wire Bonding 28</v>
          </cell>
          <cell r="B1626" t="str">
            <v>WB soldering</v>
          </cell>
        </row>
        <row r="1627">
          <cell r="A1627" t="str">
            <v>Wire Bonding 29</v>
          </cell>
          <cell r="B1627" t="str">
            <v>WB soldering</v>
          </cell>
        </row>
        <row r="1628">
          <cell r="A1628" t="str">
            <v>Wire Bonding 30</v>
          </cell>
          <cell r="B1628" t="str">
            <v>WB soldering</v>
          </cell>
        </row>
        <row r="1629">
          <cell r="A1629" t="str">
            <v>Wire Bonding 31</v>
          </cell>
          <cell r="B1629" t="str">
            <v>WB soldering</v>
          </cell>
        </row>
        <row r="1630">
          <cell r="A1630" t="str">
            <v>Wire Bonding 32</v>
          </cell>
          <cell r="B1630" t="str">
            <v>WB soldering</v>
          </cell>
        </row>
        <row r="1631">
          <cell r="A1631" t="str">
            <v>Wire Bonding 33</v>
          </cell>
          <cell r="B1631" t="str">
            <v>WB soldering</v>
          </cell>
        </row>
        <row r="1632">
          <cell r="A1632" t="str">
            <v>Wire Bonding 34</v>
          </cell>
          <cell r="B1632" t="str">
            <v>WB soldering</v>
          </cell>
        </row>
        <row r="1633">
          <cell r="A1633" t="str">
            <v>Wire Bonding 35</v>
          </cell>
          <cell r="B1633" t="str">
            <v>WB soldering</v>
          </cell>
        </row>
        <row r="1634">
          <cell r="A1634" t="str">
            <v>Wire Bonding 36</v>
          </cell>
          <cell r="B1634" t="str">
            <v>WB soldering</v>
          </cell>
        </row>
        <row r="1635">
          <cell r="A1635" t="str">
            <v>Wire Bonding 37</v>
          </cell>
          <cell r="B1635" t="str">
            <v>WB soldering</v>
          </cell>
        </row>
        <row r="1636">
          <cell r="A1636" t="str">
            <v>Wire Bonding 38</v>
          </cell>
          <cell r="B1636" t="str">
            <v>WB soldering</v>
          </cell>
        </row>
        <row r="1637">
          <cell r="A1637" t="str">
            <v>Wire Bonding 39</v>
          </cell>
          <cell r="B1637" t="str">
            <v>WB soldering</v>
          </cell>
        </row>
        <row r="1638">
          <cell r="A1638" t="str">
            <v>Wire Bonding 40</v>
          </cell>
          <cell r="B1638" t="str">
            <v>WB soldering</v>
          </cell>
        </row>
        <row r="1639">
          <cell r="A1639" t="str">
            <v>Wire Bonding 41</v>
          </cell>
          <cell r="B1639" t="str">
            <v>WB soldering</v>
          </cell>
        </row>
        <row r="1640">
          <cell r="A1640" t="str">
            <v>Wire Bonding 42</v>
          </cell>
          <cell r="B1640" t="str">
            <v>WB soldering</v>
          </cell>
        </row>
        <row r="1641">
          <cell r="A1641" t="str">
            <v>Wire Bonding 43</v>
          </cell>
          <cell r="B1641" t="str">
            <v>WB soldering</v>
          </cell>
        </row>
        <row r="1642">
          <cell r="A1642" t="str">
            <v>Wire Bonding 44</v>
          </cell>
          <cell r="B1642" t="str">
            <v>WB soldering</v>
          </cell>
        </row>
        <row r="1643">
          <cell r="A1643" t="str">
            <v>Wire Bonding 45</v>
          </cell>
          <cell r="B1643" t="str">
            <v>WB soldering</v>
          </cell>
        </row>
        <row r="1644">
          <cell r="A1644" t="str">
            <v>Wire Bonding 46</v>
          </cell>
          <cell r="B1644" t="str">
            <v>WB soldering</v>
          </cell>
        </row>
        <row r="1645">
          <cell r="A1645" t="str">
            <v>Wire Bonding 47</v>
          </cell>
          <cell r="B1645" t="str">
            <v>WB soldering</v>
          </cell>
        </row>
        <row r="1646">
          <cell r="A1646" t="str">
            <v>Wire Bonding 48</v>
          </cell>
          <cell r="B1646" t="str">
            <v>WB soldering</v>
          </cell>
        </row>
        <row r="1647">
          <cell r="A1647" t="str">
            <v>Wire Bonding 49</v>
          </cell>
          <cell r="B1647" t="str">
            <v>WB soldering</v>
          </cell>
        </row>
        <row r="1648">
          <cell r="A1648" t="str">
            <v>Wire Bonding 50</v>
          </cell>
          <cell r="B1648" t="str">
            <v>WB soldering</v>
          </cell>
        </row>
        <row r="1649">
          <cell r="A1649" t="str">
            <v>Work Station --- dual 1</v>
          </cell>
          <cell r="B1649" t="str">
            <v>Manual Process Assembly/Inspection</v>
          </cell>
        </row>
        <row r="1650">
          <cell r="A1650" t="str">
            <v>Work Station --- dual 2</v>
          </cell>
          <cell r="B1650" t="str">
            <v>Manual Process Assembly/Inspection</v>
          </cell>
        </row>
        <row r="1651">
          <cell r="A1651" t="str">
            <v>Work Station --- dual 3</v>
          </cell>
          <cell r="B1651" t="str">
            <v>Manual Process Assembly/Inspection</v>
          </cell>
        </row>
        <row r="1652">
          <cell r="A1652" t="str">
            <v>Work Station --- dual 4</v>
          </cell>
          <cell r="B1652" t="str">
            <v>Manual Process Assembly/Inspection</v>
          </cell>
        </row>
        <row r="1653">
          <cell r="A1653" t="str">
            <v>Work Station --- dual 5</v>
          </cell>
          <cell r="B1653" t="str">
            <v>Manual Process Assembly/Inspection</v>
          </cell>
        </row>
        <row r="1654">
          <cell r="A1654" t="str">
            <v>Work Station --- dual 6</v>
          </cell>
          <cell r="B1654" t="str">
            <v>Manual Process Assembly/Inspection</v>
          </cell>
        </row>
        <row r="1655">
          <cell r="A1655" t="str">
            <v>Work Station --- dual 7</v>
          </cell>
          <cell r="B1655" t="str">
            <v>Manual Process Assembly/Inspection</v>
          </cell>
        </row>
        <row r="1656">
          <cell r="A1656" t="str">
            <v>Work Station --- dual 8</v>
          </cell>
          <cell r="B1656" t="str">
            <v>Manual Process Assembly/Inspection</v>
          </cell>
        </row>
        <row r="1657">
          <cell r="A1657" t="str">
            <v>Work Station --- dual 9</v>
          </cell>
          <cell r="B1657" t="str">
            <v>Manual Process Assembly/Inspection</v>
          </cell>
        </row>
        <row r="1658">
          <cell r="A1658" t="str">
            <v>Work Station --- dual 10</v>
          </cell>
          <cell r="B1658" t="str">
            <v>Manual Process Assembly/Inspection</v>
          </cell>
        </row>
        <row r="1659">
          <cell r="A1659" t="str">
            <v>Work Station --- dual 11</v>
          </cell>
          <cell r="B1659" t="str">
            <v>Manual Process Assembly/Inspection</v>
          </cell>
        </row>
        <row r="1660">
          <cell r="A1660" t="str">
            <v>Work Station --- dual 12</v>
          </cell>
          <cell r="B1660" t="str">
            <v>Manual Process Assembly/Inspection</v>
          </cell>
        </row>
        <row r="1661">
          <cell r="A1661" t="str">
            <v>Work Station --- dual 13</v>
          </cell>
          <cell r="B1661" t="str">
            <v>Manual Process Assembly/Inspection</v>
          </cell>
        </row>
        <row r="1662">
          <cell r="A1662" t="str">
            <v>Work Station --- dual 14</v>
          </cell>
          <cell r="B1662" t="str">
            <v>Manual Process Assembly/Inspection</v>
          </cell>
        </row>
        <row r="1663">
          <cell r="A1663" t="str">
            <v>Work Station --- dual 15</v>
          </cell>
          <cell r="B1663" t="str">
            <v>Manual Process Assembly/Inspection</v>
          </cell>
        </row>
        <row r="1664">
          <cell r="A1664" t="str">
            <v>Work Station --- dual 16</v>
          </cell>
          <cell r="B1664" t="str">
            <v>Manual Process Assembly/Inspection</v>
          </cell>
        </row>
        <row r="1665">
          <cell r="A1665" t="str">
            <v>Work Station --- dual 17</v>
          </cell>
          <cell r="B1665" t="str">
            <v>Manual Process Assembly/Inspection</v>
          </cell>
        </row>
        <row r="1666">
          <cell r="A1666" t="str">
            <v>Work Station --- dual 18</v>
          </cell>
          <cell r="B1666" t="str">
            <v>Manual Process Assembly/Inspection</v>
          </cell>
        </row>
        <row r="1667">
          <cell r="A1667" t="str">
            <v>Work Station --- dual 19</v>
          </cell>
          <cell r="B1667" t="str">
            <v>Manual Process Assembly/Inspection</v>
          </cell>
        </row>
        <row r="1668">
          <cell r="A1668" t="str">
            <v>Work Station --- dual 20</v>
          </cell>
          <cell r="B1668" t="str">
            <v>Manual Process Assembly/Inspection</v>
          </cell>
        </row>
        <row r="1669">
          <cell r="A1669" t="str">
            <v>Work Station --- single 1</v>
          </cell>
          <cell r="B1669" t="str">
            <v>Manual Process Assembly/Inspection</v>
          </cell>
        </row>
        <row r="1670">
          <cell r="A1670" t="str">
            <v>Work Station --- single 2</v>
          </cell>
          <cell r="B1670" t="str">
            <v>Manual Process Assembly/Inspection</v>
          </cell>
        </row>
        <row r="1671">
          <cell r="A1671" t="str">
            <v>Work Station --- single 3</v>
          </cell>
          <cell r="B1671" t="str">
            <v>Manual Process Assembly/Inspection</v>
          </cell>
        </row>
        <row r="1672">
          <cell r="A1672" t="str">
            <v>Work Station --- single 4</v>
          </cell>
          <cell r="B1672" t="str">
            <v>Manual Process Assembly/Inspection</v>
          </cell>
        </row>
        <row r="1673">
          <cell r="A1673" t="str">
            <v>Work Station --- single 5</v>
          </cell>
          <cell r="B1673" t="str">
            <v>Manual Process Assembly/Inspection</v>
          </cell>
        </row>
        <row r="1674">
          <cell r="A1674" t="str">
            <v>Work Station --- single 6</v>
          </cell>
          <cell r="B1674" t="str">
            <v>Manual Process Assembly/Inspection</v>
          </cell>
        </row>
        <row r="1675">
          <cell r="A1675" t="str">
            <v>Work Station --- single 7</v>
          </cell>
          <cell r="B1675" t="str">
            <v>Manual Process Assembly/Inspection</v>
          </cell>
        </row>
        <row r="1676">
          <cell r="A1676" t="str">
            <v>Work Station --- single 8</v>
          </cell>
          <cell r="B1676" t="str">
            <v>Manual Process Assembly/Inspection</v>
          </cell>
        </row>
        <row r="1677">
          <cell r="A1677" t="str">
            <v>Work Station --- single 9</v>
          </cell>
          <cell r="B1677" t="str">
            <v>Manual Process Assembly/Inspection</v>
          </cell>
        </row>
        <row r="1678">
          <cell r="A1678" t="str">
            <v>Work Station --- single 10</v>
          </cell>
          <cell r="B1678" t="str">
            <v>Manual Process Assembly/Inspection</v>
          </cell>
        </row>
        <row r="1679">
          <cell r="A1679" t="str">
            <v>Work Station --- single 11</v>
          </cell>
          <cell r="B1679" t="str">
            <v>Manual Process Assembly/Inspection</v>
          </cell>
        </row>
        <row r="1680">
          <cell r="A1680" t="str">
            <v>Work Station --- single 12</v>
          </cell>
          <cell r="B1680" t="str">
            <v>Manual Process Assembly/Inspection</v>
          </cell>
        </row>
        <row r="1681">
          <cell r="A1681" t="str">
            <v>Work Station --- single 13</v>
          </cell>
          <cell r="B1681" t="str">
            <v>Manual Process Assembly/Inspection</v>
          </cell>
        </row>
        <row r="1682">
          <cell r="A1682" t="str">
            <v>Work Station --- single 14</v>
          </cell>
          <cell r="B1682" t="str">
            <v>Manual Process Assembly/Inspection</v>
          </cell>
        </row>
        <row r="1683">
          <cell r="A1683" t="str">
            <v>Work Station --- single 15</v>
          </cell>
          <cell r="B1683" t="str">
            <v>Manual Process Assembly/Inspection</v>
          </cell>
        </row>
        <row r="1684">
          <cell r="A1684" t="str">
            <v>Work Station --- single 16</v>
          </cell>
          <cell r="B1684" t="str">
            <v>Manual Process Assembly/Inspection</v>
          </cell>
        </row>
        <row r="1685">
          <cell r="A1685" t="str">
            <v>Work Station --- single 17</v>
          </cell>
          <cell r="B1685" t="str">
            <v>Manual Process Assembly/Inspection</v>
          </cell>
        </row>
        <row r="1686">
          <cell r="A1686" t="str">
            <v>Work Station --- single 18</v>
          </cell>
          <cell r="B1686" t="str">
            <v>Manual Process Assembly/Inspection</v>
          </cell>
        </row>
        <row r="1687">
          <cell r="A1687" t="str">
            <v>Work Station --- single 19</v>
          </cell>
          <cell r="B1687" t="str">
            <v>Manual Process Assembly/Inspection</v>
          </cell>
        </row>
        <row r="1688">
          <cell r="A1688" t="str">
            <v>Work Station --- single 20</v>
          </cell>
          <cell r="B1688" t="str">
            <v>Manual Process Assembly/Inspection</v>
          </cell>
        </row>
        <row r="1689">
          <cell r="A1689" t="str">
            <v>Work Station --- single 21</v>
          </cell>
          <cell r="B1689" t="str">
            <v>Manual Process Assembly/Inspection</v>
          </cell>
        </row>
        <row r="1690">
          <cell r="A1690" t="str">
            <v>Work Station --- single 22</v>
          </cell>
          <cell r="B1690" t="str">
            <v>Manual Process Assembly/Inspection</v>
          </cell>
        </row>
        <row r="1691">
          <cell r="A1691" t="str">
            <v>Work Station --- single 23</v>
          </cell>
          <cell r="B1691" t="str">
            <v>Manual Process Assembly/Inspection</v>
          </cell>
        </row>
        <row r="1692">
          <cell r="A1692" t="str">
            <v>Work Station --- single 24</v>
          </cell>
          <cell r="B1692" t="str">
            <v>Manual Process Assembly/Inspection</v>
          </cell>
        </row>
        <row r="1693">
          <cell r="A1693" t="str">
            <v>Work Station --- single 25</v>
          </cell>
          <cell r="B1693" t="str">
            <v>Manual Process Assembly/Inspection</v>
          </cell>
        </row>
        <row r="1694">
          <cell r="A1694" t="str">
            <v>Work Station --- single 26</v>
          </cell>
          <cell r="B1694" t="str">
            <v>Manual Process Assembly/Inspection</v>
          </cell>
        </row>
        <row r="1695">
          <cell r="A1695" t="str">
            <v>Work Station --- single 27</v>
          </cell>
          <cell r="B1695" t="str">
            <v>Manual Process Assembly/Inspection</v>
          </cell>
        </row>
        <row r="1696">
          <cell r="A1696" t="str">
            <v>Work Station --- single 28</v>
          </cell>
          <cell r="B1696" t="str">
            <v>Manual Process Assembly/Inspection</v>
          </cell>
        </row>
        <row r="1697">
          <cell r="A1697" t="str">
            <v>Work Station --- single 29</v>
          </cell>
          <cell r="B1697" t="str">
            <v>Manual Process Assembly/Inspection</v>
          </cell>
        </row>
        <row r="1698">
          <cell r="A1698" t="str">
            <v>Work Station --- single 30</v>
          </cell>
          <cell r="B1698" t="str">
            <v>Manual Process Assembly/Inspection</v>
          </cell>
        </row>
        <row r="1699">
          <cell r="A1699" t="str">
            <v>Work Station --- single 31</v>
          </cell>
          <cell r="B1699" t="str">
            <v>Manual Process Assembly/Inspection</v>
          </cell>
        </row>
        <row r="1700">
          <cell r="A1700" t="str">
            <v>Work Station --- single 32</v>
          </cell>
          <cell r="B1700" t="str">
            <v>Manual Process Assembly/Inspection</v>
          </cell>
        </row>
        <row r="1701">
          <cell r="A1701" t="str">
            <v>Work Station --- single 33</v>
          </cell>
          <cell r="B1701" t="str">
            <v>Manual Process Assembly/Inspection</v>
          </cell>
        </row>
        <row r="1702">
          <cell r="A1702" t="str">
            <v>Work Station --- single 34</v>
          </cell>
          <cell r="B1702" t="str">
            <v>Manual Process Assembly/Inspection</v>
          </cell>
        </row>
        <row r="1703">
          <cell r="A1703" t="str">
            <v>Work Station --- single 35</v>
          </cell>
          <cell r="B1703" t="str">
            <v>Manual Process Assembly/Inspection</v>
          </cell>
        </row>
        <row r="1704">
          <cell r="A1704" t="str">
            <v>Work Station --- single 36</v>
          </cell>
          <cell r="B1704" t="str">
            <v>Manual Process Assembly/Inspection</v>
          </cell>
        </row>
        <row r="1705">
          <cell r="A1705" t="str">
            <v>Work Station --- single 37</v>
          </cell>
          <cell r="B1705" t="str">
            <v>Manual Process Assembly/Inspection</v>
          </cell>
        </row>
        <row r="1706">
          <cell r="A1706" t="str">
            <v>Work Station --- single 38</v>
          </cell>
          <cell r="B1706" t="str">
            <v>Manual Process Assembly/Inspection</v>
          </cell>
        </row>
        <row r="1707">
          <cell r="A1707" t="str">
            <v>Work Station --- single 39</v>
          </cell>
          <cell r="B1707" t="str">
            <v>Manual Process Assembly/Inspection</v>
          </cell>
        </row>
        <row r="1708">
          <cell r="A1708" t="str">
            <v>Work Station --- single 40</v>
          </cell>
          <cell r="B1708" t="str">
            <v>Manual Process Assembly/Inspection</v>
          </cell>
        </row>
        <row r="1709">
          <cell r="A1709" t="str">
            <v>Work Station --- single 41</v>
          </cell>
          <cell r="B1709" t="str">
            <v>Manual Process Assembly/Inspection</v>
          </cell>
        </row>
        <row r="1710">
          <cell r="A1710" t="str">
            <v>Work Station --- single 42</v>
          </cell>
          <cell r="B1710" t="str">
            <v>Manual Process Assembly/Inspection</v>
          </cell>
        </row>
        <row r="1711">
          <cell r="A1711" t="str">
            <v>Work Station --- single 43</v>
          </cell>
          <cell r="B1711" t="str">
            <v>Manual Process Assembly/Inspection</v>
          </cell>
        </row>
        <row r="1712">
          <cell r="A1712" t="str">
            <v>Work Station --- single 44</v>
          </cell>
          <cell r="B1712" t="str">
            <v>Manual Process Assembly/Inspection</v>
          </cell>
        </row>
        <row r="1713">
          <cell r="A1713" t="str">
            <v>Work Station --- single 45</v>
          </cell>
          <cell r="B1713" t="str">
            <v>Manual Process Assembly/Inspection</v>
          </cell>
        </row>
        <row r="1714">
          <cell r="A1714" t="str">
            <v>Work Station --- single 46</v>
          </cell>
          <cell r="B1714" t="str">
            <v>Manual Process Assembly/Inspection</v>
          </cell>
        </row>
        <row r="1715">
          <cell r="A1715" t="str">
            <v>Work Station --- single 47</v>
          </cell>
          <cell r="B1715" t="str">
            <v>Manual Process Assembly/Inspection</v>
          </cell>
        </row>
        <row r="1716">
          <cell r="A1716" t="str">
            <v>Work Station --- single 48</v>
          </cell>
          <cell r="B1716" t="str">
            <v>Manual Process Assembly/Inspection</v>
          </cell>
        </row>
        <row r="1717">
          <cell r="A1717" t="str">
            <v>Work Station --- single 49</v>
          </cell>
          <cell r="B1717" t="str">
            <v>Manual Process Assembly/Inspection</v>
          </cell>
        </row>
        <row r="1718">
          <cell r="A1718" t="str">
            <v>Work Station --- single 50</v>
          </cell>
          <cell r="B1718" t="str">
            <v>Manual Process Assembly/Inspection</v>
          </cell>
        </row>
        <row r="1719">
          <cell r="A1719" t="str">
            <v>Work Station --- single 51</v>
          </cell>
          <cell r="B1719" t="str">
            <v>Manual Process Assembly/Inspection</v>
          </cell>
        </row>
        <row r="1720">
          <cell r="A1720" t="str">
            <v>Work Station --- single 52</v>
          </cell>
          <cell r="B1720" t="str">
            <v>Manual Process Assembly/Inspection</v>
          </cell>
        </row>
        <row r="1721">
          <cell r="A1721" t="str">
            <v>Work Station --- single 53</v>
          </cell>
          <cell r="B1721" t="str">
            <v>Manual Process Assembly/Inspection</v>
          </cell>
        </row>
        <row r="1722">
          <cell r="A1722" t="str">
            <v>Work Station --- single 54</v>
          </cell>
          <cell r="B1722" t="str">
            <v>Manual Process Assembly/Inspection</v>
          </cell>
        </row>
        <row r="1723">
          <cell r="A1723" t="str">
            <v>Work Station --- single 55</v>
          </cell>
          <cell r="B1723" t="str">
            <v>Manual Process Assembly/Inspection</v>
          </cell>
        </row>
        <row r="1724">
          <cell r="A1724" t="str">
            <v>Work Station --- single 56</v>
          </cell>
          <cell r="B1724" t="str">
            <v>Manual Process Assembly/Inspection</v>
          </cell>
        </row>
        <row r="1725">
          <cell r="A1725" t="str">
            <v>Work Station --- single 57</v>
          </cell>
          <cell r="B1725" t="str">
            <v>Manual Process Assembly/Inspection</v>
          </cell>
        </row>
        <row r="1726">
          <cell r="A1726" t="str">
            <v>Work Station --- single 58</v>
          </cell>
          <cell r="B1726" t="str">
            <v>Manual Process Assembly/Inspection</v>
          </cell>
        </row>
        <row r="1727">
          <cell r="A1727" t="str">
            <v>Work Station --- single 59</v>
          </cell>
          <cell r="B1727" t="str">
            <v>Manual Process Assembly/Inspection</v>
          </cell>
        </row>
        <row r="1728">
          <cell r="A1728" t="str">
            <v>Work Station --- single 60</v>
          </cell>
          <cell r="B1728" t="str">
            <v>Manual Process Assembly/Inspection</v>
          </cell>
        </row>
        <row r="1729">
          <cell r="A1729" t="str">
            <v>X-X</v>
          </cell>
          <cell r="B1729" t="str">
            <v>X-X</v>
          </cell>
        </row>
        <row r="1730">
          <cell r="A1730" t="str">
            <v>X-X rev 10</v>
          </cell>
          <cell r="B1730" t="str">
            <v>X-X rev 10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eline"/>
      <sheetName val="Design Drawing"/>
      <sheetName val="Process Concept"/>
      <sheetName val="Summary"/>
      <sheetName val="P&amp;P Ref"/>
      <sheetName val="CPH"/>
      <sheetName val="Layout NXTR with 1R"/>
      <sheetName val="Equipment List"/>
    </sheetNames>
    <sheetDataSet>
      <sheetData sheetId="0" refreshError="1"/>
      <sheetData sheetId="1" refreshError="1"/>
      <sheetData sheetId="2" refreshError="1"/>
      <sheetData sheetId="3">
        <row r="3">
          <cell r="D3" t="str">
            <v/>
          </cell>
        </row>
        <row r="4">
          <cell r="D4" t="str">
            <v/>
          </cell>
        </row>
        <row r="5">
          <cell r="D5" t="str">
            <v/>
          </cell>
        </row>
        <row r="6">
          <cell r="D6" t="str">
            <v/>
          </cell>
        </row>
        <row r="7">
          <cell r="D7" t="str">
            <v/>
          </cell>
        </row>
        <row r="8">
          <cell r="D8" t="str">
            <v/>
          </cell>
        </row>
        <row r="9">
          <cell r="D9" t="str">
            <v/>
          </cell>
        </row>
        <row r="10">
          <cell r="D10" t="str">
            <v/>
          </cell>
        </row>
        <row r="11">
          <cell r="D11" t="str">
            <v/>
          </cell>
        </row>
        <row r="12">
          <cell r="D12" t="str">
            <v/>
          </cell>
        </row>
        <row r="13">
          <cell r="D13" t="str">
            <v/>
          </cell>
        </row>
        <row r="14">
          <cell r="D14" t="str">
            <v/>
          </cell>
        </row>
        <row r="15">
          <cell r="D15" t="str">
            <v/>
          </cell>
        </row>
        <row r="16">
          <cell r="D16" t="str">
            <v/>
          </cell>
        </row>
        <row r="17">
          <cell r="D17" t="str">
            <v/>
          </cell>
        </row>
        <row r="18">
          <cell r="D18" t="str">
            <v/>
          </cell>
        </row>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sheetData>
      <sheetData sheetId="4" refreshError="1"/>
      <sheetData sheetId="5" refreshError="1"/>
      <sheetData sheetId="6" refreshError="1"/>
      <sheetData sheetId="7">
        <row r="2">
          <cell r="A2" t="str">
            <v>AOI --- Final Assembly 1</v>
          </cell>
          <cell r="B2" t="str">
            <v>Automatic Optical Inspection --- Final Assembly</v>
          </cell>
        </row>
        <row r="3">
          <cell r="A3" t="str">
            <v>AOI --- Final Assembly 2</v>
          </cell>
          <cell r="B3" t="str">
            <v>Automatic Optical Inspection --- Final Assembly</v>
          </cell>
        </row>
        <row r="4">
          <cell r="A4" t="str">
            <v>AOI --- Final Assembly 3</v>
          </cell>
          <cell r="B4" t="str">
            <v>Automatic Optical Inspection --- Final Assembly</v>
          </cell>
        </row>
        <row r="5">
          <cell r="A5" t="str">
            <v>AOI --- Final Assembly 4</v>
          </cell>
          <cell r="B5" t="str">
            <v>Automatic Optical Inspection --- Final Assembly</v>
          </cell>
        </row>
        <row r="6">
          <cell r="A6" t="str">
            <v>AOI --- Final Assembly 5</v>
          </cell>
          <cell r="B6" t="str">
            <v>Automatic Optical Inspection --- Final Assembly</v>
          </cell>
        </row>
        <row r="7">
          <cell r="A7" t="str">
            <v>AOI --- Final Assembly 6</v>
          </cell>
          <cell r="B7" t="str">
            <v>Automatic Optical Inspection --- Final Assembly</v>
          </cell>
        </row>
        <row r="8">
          <cell r="A8" t="str">
            <v>AOI --- Final Assembly 7</v>
          </cell>
          <cell r="B8" t="str">
            <v>Automatic Optical Inspection --- Final Assembly</v>
          </cell>
        </row>
        <row r="9">
          <cell r="A9" t="str">
            <v>AOI --- Final Assembly 8</v>
          </cell>
          <cell r="B9" t="str">
            <v>Automatic Optical Inspection --- Final Assembly</v>
          </cell>
        </row>
        <row r="10">
          <cell r="A10" t="str">
            <v>AOI --- Pins 1</v>
          </cell>
          <cell r="B10" t="str">
            <v>Automatic Optical Inspection --- Connector Pins</v>
          </cell>
        </row>
        <row r="11">
          <cell r="A11" t="str">
            <v>AOI --- Pins 2</v>
          </cell>
          <cell r="B11" t="str">
            <v>Automatic Optical Inspection --- Connector Pins</v>
          </cell>
        </row>
        <row r="12">
          <cell r="A12" t="str">
            <v>AOI --- Pins 3</v>
          </cell>
          <cell r="B12" t="str">
            <v>Automatic Optical Inspection --- Connector Pins</v>
          </cell>
        </row>
        <row r="13">
          <cell r="A13" t="str">
            <v>AOI --- Pins 4</v>
          </cell>
          <cell r="B13" t="str">
            <v>Automatic Optical Inspection --- Connector Pins</v>
          </cell>
        </row>
        <row r="14">
          <cell r="A14" t="str">
            <v>AOI --- Pins 5</v>
          </cell>
          <cell r="B14" t="str">
            <v>Automatic Optical Inspection --- Connector Pins</v>
          </cell>
        </row>
        <row r="15">
          <cell r="A15" t="str">
            <v>AOI --- Pins 6</v>
          </cell>
          <cell r="B15" t="str">
            <v>Automatic Optical Inspection --- Connector Pins</v>
          </cell>
        </row>
        <row r="16">
          <cell r="A16" t="str">
            <v>AOI --- Pins 7</v>
          </cell>
          <cell r="B16" t="str">
            <v>Automatic Optical Inspection --- Connector Pins</v>
          </cell>
        </row>
        <row r="17">
          <cell r="A17" t="str">
            <v>AOI --- Pins 8</v>
          </cell>
          <cell r="B17" t="str">
            <v>Automatic Optical Inspection --- Connector Pins</v>
          </cell>
        </row>
        <row r="18">
          <cell r="A18" t="str">
            <v>AOI --- RTV 1</v>
          </cell>
          <cell r="B18" t="str">
            <v>Automatic Optical Inspection --- RTV</v>
          </cell>
        </row>
        <row r="19">
          <cell r="A19" t="str">
            <v>AOI --- RTV 2</v>
          </cell>
          <cell r="B19" t="str">
            <v>Automatic Optical Inspection --- RTV</v>
          </cell>
        </row>
        <row r="20">
          <cell r="A20" t="str">
            <v>AOI --- RTV 3</v>
          </cell>
          <cell r="B20" t="str">
            <v>Automatic Optical Inspection --- RTV</v>
          </cell>
        </row>
        <row r="21">
          <cell r="A21" t="str">
            <v>AOI --- RTV 4</v>
          </cell>
          <cell r="B21" t="str">
            <v>Automatic Optical Inspection --- RTV</v>
          </cell>
        </row>
        <row r="22">
          <cell r="A22" t="str">
            <v>AOI --- SMD 3D 1</v>
          </cell>
          <cell r="B22" t="str">
            <v>Automatic Optical Inspection --- SMD</v>
          </cell>
        </row>
        <row r="23">
          <cell r="A23" t="str">
            <v>AOI --- SMD 3D 2</v>
          </cell>
          <cell r="B23" t="str">
            <v>Automatic Optical Inspection --- SMD</v>
          </cell>
        </row>
        <row r="24">
          <cell r="A24" t="str">
            <v>AOI --- SMD 3D 3</v>
          </cell>
          <cell r="B24" t="str">
            <v>Automatic Optical Inspection --- SMD</v>
          </cell>
        </row>
        <row r="25">
          <cell r="A25" t="str">
            <v>AOI --- SMD 3D 4</v>
          </cell>
          <cell r="B25" t="str">
            <v>Automatic Optical Inspection --- SMD</v>
          </cell>
        </row>
        <row r="26">
          <cell r="A26" t="str">
            <v>AOI --- SMD 3D 5</v>
          </cell>
          <cell r="B26" t="str">
            <v>Automatic Optical Inspection --- SMD</v>
          </cell>
        </row>
        <row r="27">
          <cell r="A27" t="str">
            <v>AOI --- SMD 3D 6</v>
          </cell>
          <cell r="B27" t="str">
            <v>Automatic Optical Inspection --- SMD</v>
          </cell>
        </row>
        <row r="28">
          <cell r="A28" t="str">
            <v>AOI --- SMD 3D 7</v>
          </cell>
          <cell r="B28" t="str">
            <v>Automatic Optical Inspection --- SMD</v>
          </cell>
        </row>
        <row r="29">
          <cell r="A29" t="str">
            <v>AOI --- SMD 3D 8</v>
          </cell>
          <cell r="B29" t="str">
            <v>Automatic Optical Inspection --- SMD</v>
          </cell>
        </row>
        <row r="30">
          <cell r="A30" t="str">
            <v>AOI --- SMD 3D 1 Dual Lane</v>
          </cell>
          <cell r="B30" t="str">
            <v>Automatic Optical Inspection --- SMD</v>
          </cell>
        </row>
        <row r="31">
          <cell r="A31" t="str">
            <v>AOI --- SMD 3D 2 Dual Lane</v>
          </cell>
          <cell r="B31" t="str">
            <v>Automatic Optical Inspection --- SMD</v>
          </cell>
        </row>
        <row r="32">
          <cell r="A32" t="str">
            <v>AOI --- SMD 3D 3 Dual Lane</v>
          </cell>
          <cell r="B32" t="str">
            <v>Automatic Optical Inspection --- SMD</v>
          </cell>
        </row>
        <row r="33">
          <cell r="A33" t="str">
            <v>AOI --- SMD 3D 4 Dual Lane</v>
          </cell>
          <cell r="B33" t="str">
            <v>Automatic Optical Inspection --- SMD</v>
          </cell>
        </row>
        <row r="34">
          <cell r="A34" t="str">
            <v>AOI --- SMD 3D 5 Dual Lane</v>
          </cell>
          <cell r="B34" t="str">
            <v>Automatic Optical Inspection --- SMD</v>
          </cell>
        </row>
        <row r="35">
          <cell r="A35" t="str">
            <v>AOI --- SMD 3D 6 Dual Lane</v>
          </cell>
          <cell r="B35" t="str">
            <v>Automatic Optical Inspection --- SMD</v>
          </cell>
        </row>
        <row r="36">
          <cell r="A36" t="str">
            <v>AOI --- SMD 3D 7 Dual Lane</v>
          </cell>
          <cell r="B36" t="str">
            <v>Automatic Optical Inspection --- SMD</v>
          </cell>
        </row>
        <row r="37">
          <cell r="A37" t="str">
            <v>AOI --- SMD 3D 8 Dual Lane</v>
          </cell>
          <cell r="B37" t="str">
            <v>Automatic Optical Inspection --- SMD</v>
          </cell>
        </row>
        <row r="38">
          <cell r="A38" t="str">
            <v>AOI --- THT 3D 1</v>
          </cell>
          <cell r="B38" t="str">
            <v>Automatic Optical Inspection --- THT</v>
          </cell>
        </row>
        <row r="39">
          <cell r="A39" t="str">
            <v>AOI --- THT 3D 2</v>
          </cell>
          <cell r="B39" t="str">
            <v>Automatic Optical Inspection --- THT</v>
          </cell>
        </row>
        <row r="40">
          <cell r="A40" t="str">
            <v>AOI --- THT 3D 3</v>
          </cell>
          <cell r="B40" t="str">
            <v>Automatic Optical Inspection --- THT</v>
          </cell>
        </row>
        <row r="41">
          <cell r="A41" t="str">
            <v>AOI --- THT 3D 4</v>
          </cell>
          <cell r="B41" t="str">
            <v>Automatic Optical Inspection --- THT</v>
          </cell>
        </row>
        <row r="42">
          <cell r="A42" t="str">
            <v>AOI --- Underfill 1</v>
          </cell>
          <cell r="B42" t="str">
            <v>Automatic Optical Inspection --- Underfill</v>
          </cell>
        </row>
        <row r="43">
          <cell r="A43" t="str">
            <v>AOI --- Underfill 2</v>
          </cell>
          <cell r="B43" t="str">
            <v>Automatic Optical Inspection --- Underfill</v>
          </cell>
        </row>
        <row r="44">
          <cell r="A44" t="str">
            <v>AOI --- Underfill 3</v>
          </cell>
          <cell r="B44" t="str">
            <v>Automatic Optical Inspection --- Underfill</v>
          </cell>
        </row>
        <row r="45">
          <cell r="A45" t="str">
            <v>AOI --- Underfill 4</v>
          </cell>
          <cell r="B45" t="str">
            <v>Automatic Optical Inspection --- Underfill</v>
          </cell>
        </row>
        <row r="46">
          <cell r="A46" t="str">
            <v>AOI --- Underfill 5</v>
          </cell>
          <cell r="B46" t="str">
            <v>Automatic Optical Inspection --- Underfill</v>
          </cell>
        </row>
        <row r="47">
          <cell r="A47" t="str">
            <v>AOI --- Underfill 6</v>
          </cell>
          <cell r="B47" t="str">
            <v>Automatic Optical Inspection --- Underfill</v>
          </cell>
        </row>
        <row r="48">
          <cell r="A48" t="str">
            <v>AOI --- Underfill 7</v>
          </cell>
          <cell r="B48" t="str">
            <v>Automatic Optical Inspection --- Underfill</v>
          </cell>
        </row>
        <row r="49">
          <cell r="A49" t="str">
            <v>AOI --- Underfill 8</v>
          </cell>
          <cell r="B49" t="str">
            <v>Automatic Optical Inspection --- Underfill</v>
          </cell>
        </row>
        <row r="50">
          <cell r="A50" t="str">
            <v>AOI --- UV 1</v>
          </cell>
          <cell r="B50" t="str">
            <v>Automatic UV Inspection</v>
          </cell>
        </row>
        <row r="51">
          <cell r="A51" t="str">
            <v>AOI --- UV 2</v>
          </cell>
          <cell r="B51" t="str">
            <v>Automatic UV Inspection</v>
          </cell>
        </row>
        <row r="52">
          <cell r="A52" t="str">
            <v>AOI --- UV 3</v>
          </cell>
          <cell r="B52" t="str">
            <v>Automatic UV Inspection</v>
          </cell>
        </row>
        <row r="53">
          <cell r="A53" t="str">
            <v>AOI --- UV 4</v>
          </cell>
          <cell r="B53" t="str">
            <v>Automatic UV Inspection</v>
          </cell>
        </row>
        <row r="54">
          <cell r="A54" t="str">
            <v>AOI --- UV 5</v>
          </cell>
          <cell r="B54" t="str">
            <v>Automatic UV Inspection</v>
          </cell>
        </row>
        <row r="55">
          <cell r="A55" t="str">
            <v>AOI --- UV 6</v>
          </cell>
          <cell r="B55" t="str">
            <v>Automatic UV Inspection</v>
          </cell>
        </row>
        <row r="56">
          <cell r="A56" t="str">
            <v>AOI --- UV 7</v>
          </cell>
          <cell r="B56" t="str">
            <v>Automatic UV Inspection</v>
          </cell>
        </row>
        <row r="57">
          <cell r="A57" t="str">
            <v>AOI --- UV 8</v>
          </cell>
          <cell r="B57" t="str">
            <v>Automatic UV Inspection</v>
          </cell>
        </row>
        <row r="58">
          <cell r="A58" t="str">
            <v>AOI --- UV 9</v>
          </cell>
          <cell r="B58" t="str">
            <v>Automatic UV Inspection</v>
          </cell>
        </row>
        <row r="59">
          <cell r="A59" t="str">
            <v>AOI --- UV 10</v>
          </cell>
          <cell r="B59" t="str">
            <v>Automatic UV Inspection</v>
          </cell>
        </row>
        <row r="60">
          <cell r="A60" t="str">
            <v>AOI --- Wire Bond 1</v>
          </cell>
          <cell r="B60" t="str">
            <v>Automatic WB Inspection</v>
          </cell>
        </row>
        <row r="61">
          <cell r="A61" t="str">
            <v>AOI --- Wire Bond 2</v>
          </cell>
          <cell r="B61" t="str">
            <v>Automatic WB Inspection</v>
          </cell>
        </row>
        <row r="62">
          <cell r="A62" t="str">
            <v>AOI --- Wire Bond 3</v>
          </cell>
          <cell r="B62" t="str">
            <v>Automatic WB Inspection</v>
          </cell>
        </row>
        <row r="63">
          <cell r="A63" t="str">
            <v>AOI --- Wire Bond 4</v>
          </cell>
          <cell r="B63" t="str">
            <v>Automatic WB Inspection</v>
          </cell>
        </row>
        <row r="64">
          <cell r="A64" t="str">
            <v>AOI --- Wire Bond 5</v>
          </cell>
          <cell r="B64" t="str">
            <v>Automatic WB Inspection</v>
          </cell>
        </row>
        <row r="65">
          <cell r="A65" t="str">
            <v>AOI --- Wire Bond 6</v>
          </cell>
          <cell r="B65" t="str">
            <v>Automatic WB Inspection</v>
          </cell>
        </row>
        <row r="66">
          <cell r="A66" t="str">
            <v>AOI --- Wire Bond 7</v>
          </cell>
          <cell r="B66" t="str">
            <v>Automatic WB Inspection</v>
          </cell>
        </row>
        <row r="67">
          <cell r="A67" t="str">
            <v>AOI --- Wire Bond 8</v>
          </cell>
          <cell r="B67" t="str">
            <v>Automatic WB Inspection</v>
          </cell>
        </row>
        <row r="68">
          <cell r="A68" t="str">
            <v>AOI --- Wire Bond 9</v>
          </cell>
          <cell r="B68" t="str">
            <v>Automatic WB Inspection</v>
          </cell>
        </row>
        <row r="69">
          <cell r="A69" t="str">
            <v>AOI --- Wire Bond 10</v>
          </cell>
          <cell r="B69" t="str">
            <v>Automatic WB Inspection</v>
          </cell>
        </row>
        <row r="70">
          <cell r="A70" t="str">
            <v>Automatic Assembly 1</v>
          </cell>
          <cell r="B70" t="str">
            <v>Automatic Assembly</v>
          </cell>
        </row>
        <row r="71">
          <cell r="A71" t="str">
            <v>Automatic Assembly 2</v>
          </cell>
          <cell r="B71" t="str">
            <v>Automatic Assembly</v>
          </cell>
        </row>
        <row r="72">
          <cell r="A72" t="str">
            <v>Automatic Assembly 3</v>
          </cell>
          <cell r="B72" t="str">
            <v>Automatic Assembly</v>
          </cell>
        </row>
        <row r="73">
          <cell r="A73" t="str">
            <v>Automatic Assembly 4</v>
          </cell>
          <cell r="B73" t="str">
            <v>Automatic Assembly</v>
          </cell>
        </row>
        <row r="74">
          <cell r="A74" t="str">
            <v>Automatic Assembly 5</v>
          </cell>
          <cell r="B74" t="str">
            <v>Automatic Assembly</v>
          </cell>
        </row>
        <row r="75">
          <cell r="A75" t="str">
            <v>Automatic Assembly 6</v>
          </cell>
          <cell r="B75" t="str">
            <v>Automatic Assembly</v>
          </cell>
        </row>
        <row r="76">
          <cell r="A76" t="str">
            <v>Automatic Assembly 7</v>
          </cell>
          <cell r="B76" t="str">
            <v>Automatic Assembly</v>
          </cell>
        </row>
        <row r="77">
          <cell r="A77" t="str">
            <v>Automatic Assembly 8</v>
          </cell>
          <cell r="B77" t="str">
            <v>Automatic Assembly</v>
          </cell>
        </row>
        <row r="78">
          <cell r="A78" t="str">
            <v>Automatic Assembly 9</v>
          </cell>
          <cell r="B78" t="str">
            <v>Automatic Assembly</v>
          </cell>
        </row>
        <row r="79">
          <cell r="A79" t="str">
            <v>Automatic Assembly 10</v>
          </cell>
          <cell r="B79" t="str">
            <v>Automatic Assembly</v>
          </cell>
        </row>
        <row r="80">
          <cell r="A80" t="str">
            <v>Automatic Assembly Loader/Unloader 1</v>
          </cell>
          <cell r="B80" t="str">
            <v>Transport Loader/Unloader</v>
          </cell>
        </row>
        <row r="81">
          <cell r="A81" t="str">
            <v>Automatic Assembly Loader/Unloader 2</v>
          </cell>
          <cell r="B81" t="str">
            <v>Transport Loader/Unloader</v>
          </cell>
        </row>
        <row r="82">
          <cell r="A82" t="str">
            <v>Automatic Assembly Loader/Unloader 3</v>
          </cell>
          <cell r="B82" t="str">
            <v>Transport Loader/Unloader</v>
          </cell>
        </row>
        <row r="83">
          <cell r="A83" t="str">
            <v>Automatic Assembly Loader/Unloader 4</v>
          </cell>
          <cell r="B83" t="str">
            <v>Transport Loader/Unloader</v>
          </cell>
        </row>
        <row r="84">
          <cell r="A84" t="str">
            <v>Automatic Assembly Loader/Unloader 5</v>
          </cell>
          <cell r="B84" t="str">
            <v>Transport Loader/Unloader</v>
          </cell>
        </row>
        <row r="85">
          <cell r="A85" t="str">
            <v>Automatic Assembly Loader/Unloader 6</v>
          </cell>
          <cell r="B85" t="str">
            <v>Transport Loader/Unloader</v>
          </cell>
        </row>
        <row r="86">
          <cell r="A86" t="str">
            <v>Automatic Assembly Loader/Unloader 7</v>
          </cell>
          <cell r="B86" t="str">
            <v>Transport Loader/Unloader</v>
          </cell>
        </row>
        <row r="87">
          <cell r="A87" t="str">
            <v>Automatic Assembly Loader/Unloader 8</v>
          </cell>
          <cell r="B87" t="str">
            <v>Transport Loader/Unloader</v>
          </cell>
        </row>
        <row r="88">
          <cell r="A88" t="str">
            <v>Automatic Assembly Loader/Unloader 9</v>
          </cell>
          <cell r="B88" t="str">
            <v>Transport Loader/Unloader</v>
          </cell>
        </row>
        <row r="89">
          <cell r="A89" t="str">
            <v>Automatic Assembly Loader/Unloader 10</v>
          </cell>
          <cell r="B89" t="str">
            <v>Transport Loader/Unloader</v>
          </cell>
        </row>
        <row r="90">
          <cell r="A90" t="str">
            <v>Automatic Assembly Loader/Unloader 11</v>
          </cell>
          <cell r="B90" t="str">
            <v>Transport Loader/Unloader</v>
          </cell>
        </row>
        <row r="91">
          <cell r="A91" t="str">
            <v>Automatic Assembly Loader/Unloader 12</v>
          </cell>
          <cell r="B91" t="str">
            <v>Transport Loader/Unloader</v>
          </cell>
        </row>
        <row r="92">
          <cell r="A92" t="str">
            <v>Automatic Assembly Loader/Unloader 13</v>
          </cell>
          <cell r="B92" t="str">
            <v>Transport Loader/Unloader</v>
          </cell>
        </row>
        <row r="93">
          <cell r="A93" t="str">
            <v>Automatic Assembly Loader/Unloader 14</v>
          </cell>
          <cell r="B93" t="str">
            <v>Transport Loader/Unloader</v>
          </cell>
        </row>
        <row r="94">
          <cell r="A94" t="str">
            <v>Automatic Assembly Loader/Unloader 15</v>
          </cell>
          <cell r="B94" t="str">
            <v>Transport Loader/Unloader</v>
          </cell>
        </row>
        <row r="95">
          <cell r="A95" t="str">
            <v>Automatic Assembly Loader/Unloader 16</v>
          </cell>
          <cell r="B95" t="str">
            <v>Transport Loader/Unloader</v>
          </cell>
        </row>
        <row r="96">
          <cell r="A96" t="str">
            <v>Automatic Assembly Loader/Unloader 17</v>
          </cell>
          <cell r="B96" t="str">
            <v>Transport Loader/Unloader</v>
          </cell>
        </row>
        <row r="97">
          <cell r="A97" t="str">
            <v>Automatic Assembly Loader/Unloader 18</v>
          </cell>
          <cell r="B97" t="str">
            <v>Transport Loader/Unloader</v>
          </cell>
        </row>
        <row r="98">
          <cell r="A98" t="str">
            <v>Automatic Assembly Loader/Unloader 19</v>
          </cell>
          <cell r="B98" t="str">
            <v>Transport Loader/Unloader</v>
          </cell>
        </row>
        <row r="99">
          <cell r="A99" t="str">
            <v>Automatic Assembly Loader/Unloader 20</v>
          </cell>
          <cell r="B99" t="str">
            <v>Transport Loader/Unloader</v>
          </cell>
        </row>
        <row r="100">
          <cell r="A100" t="str">
            <v>Automatic Assembly Loader/Unloader 21</v>
          </cell>
          <cell r="B100" t="str">
            <v>Transport Loader/Unloader</v>
          </cell>
        </row>
        <row r="101">
          <cell r="A101" t="str">
            <v>Automatic Assembly Loader/Unloader 22</v>
          </cell>
          <cell r="B101" t="str">
            <v>Transport Loader/Unloader</v>
          </cell>
        </row>
        <row r="102">
          <cell r="A102" t="str">
            <v>Automatic Assembly Loader/Unloader 23</v>
          </cell>
          <cell r="B102" t="str">
            <v>Transport Loader/Unloader</v>
          </cell>
        </row>
        <row r="103">
          <cell r="A103" t="str">
            <v>Automatic Assembly Loader/Unloader 24</v>
          </cell>
          <cell r="B103" t="str">
            <v>Transport Loader/Unloader</v>
          </cell>
        </row>
        <row r="104">
          <cell r="A104" t="str">
            <v>Automatic Assembly Loader/Unloader 25</v>
          </cell>
          <cell r="B104" t="str">
            <v>Transport Loader/Unloader</v>
          </cell>
        </row>
        <row r="105">
          <cell r="A105" t="str">
            <v>Automatic Assembly Loader/Unloader 26</v>
          </cell>
          <cell r="B105" t="str">
            <v>Transport Loader/Unloader</v>
          </cell>
        </row>
        <row r="106">
          <cell r="A106" t="str">
            <v>Automatic Assembly Loader/Unloader 27</v>
          </cell>
          <cell r="B106" t="str">
            <v>Transport Loader/Unloader</v>
          </cell>
        </row>
        <row r="107">
          <cell r="A107" t="str">
            <v>Automatic Assembly Loader/Unloader 28</v>
          </cell>
          <cell r="B107" t="str">
            <v>Transport Loader/Unloader</v>
          </cell>
        </row>
        <row r="108">
          <cell r="A108" t="str">
            <v>Automatic Assembly Loader/Unloader 29</v>
          </cell>
          <cell r="B108" t="str">
            <v>Transport Loader/Unloader</v>
          </cell>
        </row>
        <row r="109">
          <cell r="A109" t="str">
            <v>Automatic Assembly Loader/Unloader 30</v>
          </cell>
          <cell r="B109" t="str">
            <v>Transport Loader/Unloader</v>
          </cell>
        </row>
        <row r="110">
          <cell r="A110" t="str">
            <v>Automatic Assembly Loader/Unloader 31</v>
          </cell>
          <cell r="B110" t="str">
            <v>Transport Loader/Unloader</v>
          </cell>
        </row>
        <row r="111">
          <cell r="A111" t="str">
            <v>Automatic Assembly Loader/Unloader 32</v>
          </cell>
          <cell r="B111" t="str">
            <v>Transport Loader/Unloader</v>
          </cell>
        </row>
        <row r="112">
          <cell r="A112" t="str">
            <v>Automatic Assembly Loader/Unloader 33</v>
          </cell>
          <cell r="B112" t="str">
            <v>Transport Loader/Unloader</v>
          </cell>
        </row>
        <row r="113">
          <cell r="A113" t="str">
            <v>Automatic Assembly Loader/Unloader 34</v>
          </cell>
          <cell r="B113" t="str">
            <v>Transport Loader/Unloader</v>
          </cell>
        </row>
        <row r="114">
          <cell r="A114" t="str">
            <v>Automatic Assembly Loader/Unloader 35</v>
          </cell>
          <cell r="B114" t="str">
            <v>Transport Loader/Unloader</v>
          </cell>
        </row>
        <row r="115">
          <cell r="A115" t="str">
            <v>Automatic Assembly Loader/Unloader 36</v>
          </cell>
          <cell r="B115" t="str">
            <v>Transport Loader/Unloader</v>
          </cell>
        </row>
        <row r="116">
          <cell r="A116" t="str">
            <v>Automatic Assembly Loader/Unloader 37</v>
          </cell>
          <cell r="B116" t="str">
            <v>Transport Loader/Unloader</v>
          </cell>
        </row>
        <row r="117">
          <cell r="A117" t="str">
            <v>Automatic Assembly Loader/Unloader 38</v>
          </cell>
          <cell r="B117" t="str">
            <v>Transport Loader/Unloader</v>
          </cell>
        </row>
        <row r="118">
          <cell r="A118" t="str">
            <v>Automatic Assembly Loader/Unloader 39</v>
          </cell>
          <cell r="B118" t="str">
            <v>Transport Loader/Unloader</v>
          </cell>
        </row>
        <row r="119">
          <cell r="A119" t="str">
            <v>Automatic Assembly Loader/Unloader 40</v>
          </cell>
          <cell r="B119" t="str">
            <v>Transport Loader/Unloader</v>
          </cell>
        </row>
        <row r="120">
          <cell r="A120" t="str">
            <v>Automatic Assembly Loader/Unloader 41</v>
          </cell>
          <cell r="B120" t="str">
            <v>Transport Loader/Unloader</v>
          </cell>
        </row>
        <row r="121">
          <cell r="A121" t="str">
            <v>Automatic Assembly Loader/Unloader 42</v>
          </cell>
          <cell r="B121" t="str">
            <v>Transport Loader/Unloader</v>
          </cell>
        </row>
        <row r="122">
          <cell r="A122" t="str">
            <v>Automatic Assembly Loader/Unloader 43</v>
          </cell>
          <cell r="B122" t="str">
            <v>Transport Loader/Unloader</v>
          </cell>
        </row>
        <row r="123">
          <cell r="A123" t="str">
            <v>Automatic Assembly Loader/Unloader 44</v>
          </cell>
          <cell r="B123" t="str">
            <v>Transport Loader/Unloader</v>
          </cell>
        </row>
        <row r="124">
          <cell r="A124" t="str">
            <v>Automatic Assembly Loader/Unloader 45</v>
          </cell>
          <cell r="B124" t="str">
            <v>Transport Loader/Unloader</v>
          </cell>
        </row>
        <row r="125">
          <cell r="A125" t="str">
            <v>Automatic Assembly Loader/Unloader 46</v>
          </cell>
          <cell r="B125" t="str">
            <v>Transport Loader/Unloader</v>
          </cell>
        </row>
        <row r="126">
          <cell r="A126" t="str">
            <v>Automatic Assembly Loader/Unloader 47</v>
          </cell>
          <cell r="B126" t="str">
            <v>Transport Loader/Unloader</v>
          </cell>
        </row>
        <row r="127">
          <cell r="A127" t="str">
            <v>Automatic Assembly Loader/Unloader 48</v>
          </cell>
          <cell r="B127" t="str">
            <v>Transport Loader/Unloader</v>
          </cell>
        </row>
        <row r="128">
          <cell r="A128" t="str">
            <v>Automatic Assembly Loader/Unloader 49</v>
          </cell>
          <cell r="B128" t="str">
            <v>Transport Loader/Unloader</v>
          </cell>
        </row>
        <row r="129">
          <cell r="A129" t="str">
            <v>Automatic Assembly Loader/Unloader 50</v>
          </cell>
          <cell r="B129" t="str">
            <v>Transport Loader/Unloader</v>
          </cell>
        </row>
        <row r="130">
          <cell r="A130" t="str">
            <v>Automatic Assembly Loader/Unloader 51</v>
          </cell>
          <cell r="B130" t="str">
            <v>Transport Loader/Unloader</v>
          </cell>
        </row>
        <row r="131">
          <cell r="A131" t="str">
            <v>Automatic Assembly Loader/Unloader 52</v>
          </cell>
          <cell r="B131" t="str">
            <v>Transport Loader/Unloader</v>
          </cell>
        </row>
        <row r="132">
          <cell r="A132" t="str">
            <v>Automatic Assembly Loader/Unloader 53</v>
          </cell>
          <cell r="B132" t="str">
            <v>Transport Loader/Unloader</v>
          </cell>
        </row>
        <row r="133">
          <cell r="A133" t="str">
            <v>Automatic Assembly Loader/Unloader 54</v>
          </cell>
          <cell r="B133" t="str">
            <v>Transport Loader/Unloader</v>
          </cell>
        </row>
        <row r="134">
          <cell r="A134" t="str">
            <v>Automatic Assembly Loader/Unloader 55</v>
          </cell>
          <cell r="B134" t="str">
            <v>Transport Loader/Unloader</v>
          </cell>
        </row>
        <row r="135">
          <cell r="A135" t="str">
            <v>Automatic Assembly Loader/Unloader 56</v>
          </cell>
          <cell r="B135" t="str">
            <v>Transport Loader/Unloader</v>
          </cell>
        </row>
        <row r="136">
          <cell r="A136" t="str">
            <v>Automatic Assembly Loader/Unloader 57</v>
          </cell>
          <cell r="B136" t="str">
            <v>Transport Loader/Unloader</v>
          </cell>
        </row>
        <row r="137">
          <cell r="A137" t="str">
            <v>Automatic Assembly Loader/Unloader 58</v>
          </cell>
          <cell r="B137" t="str">
            <v>Transport Loader/Unloader</v>
          </cell>
        </row>
        <row r="138">
          <cell r="A138" t="str">
            <v>Automatic Assembly Loader/Unloader 59</v>
          </cell>
          <cell r="B138" t="str">
            <v>Transport Loader/Unloader</v>
          </cell>
        </row>
        <row r="139">
          <cell r="A139" t="str">
            <v>Automatic Assembly Loader/Unloader 60</v>
          </cell>
          <cell r="B139" t="str">
            <v>Transport Loader/Unloader</v>
          </cell>
        </row>
        <row r="140">
          <cell r="A140" t="str">
            <v>Automatic Assembly Loader/Unloader 61</v>
          </cell>
          <cell r="B140" t="str">
            <v>Transport Loader/Unloader</v>
          </cell>
        </row>
        <row r="141">
          <cell r="A141" t="str">
            <v>Automatic Assembly Loader/Unloader 62</v>
          </cell>
          <cell r="B141" t="str">
            <v>Transport Loader/Unloader</v>
          </cell>
        </row>
        <row r="142">
          <cell r="A142" t="str">
            <v>Automatic Assembly Loader/Unloader 63</v>
          </cell>
          <cell r="B142" t="str">
            <v>Transport Loader/Unloader</v>
          </cell>
        </row>
        <row r="143">
          <cell r="A143" t="str">
            <v>Automatic Assembly Loader/Unloader 64</v>
          </cell>
          <cell r="B143" t="str">
            <v>Transport Loader/Unloader</v>
          </cell>
        </row>
        <row r="144">
          <cell r="A144" t="str">
            <v>Automatic Assembly Loader/Unloader 65</v>
          </cell>
          <cell r="B144" t="str">
            <v>Transport Loader/Unloader</v>
          </cell>
        </row>
        <row r="145">
          <cell r="A145" t="str">
            <v>Automatic Assembly Loader/Unloader 66</v>
          </cell>
          <cell r="B145" t="str">
            <v>Transport Loader/Unloader</v>
          </cell>
        </row>
        <row r="146">
          <cell r="A146" t="str">
            <v>Automatic Assembly Loader/Unloader 67</v>
          </cell>
          <cell r="B146" t="str">
            <v>Transport Loader/Unloader</v>
          </cell>
        </row>
        <row r="147">
          <cell r="A147" t="str">
            <v>Automatic Assembly Loader/Unloader 68</v>
          </cell>
          <cell r="B147" t="str">
            <v>Transport Loader/Unloader</v>
          </cell>
        </row>
        <row r="148">
          <cell r="A148" t="str">
            <v>Automatic Assembly Loader/Unloader 69</v>
          </cell>
          <cell r="B148" t="str">
            <v>Transport Loader/Unloader</v>
          </cell>
        </row>
        <row r="149">
          <cell r="A149" t="str">
            <v>Automatic Assembly Loader/Unloader 70</v>
          </cell>
          <cell r="B149" t="str">
            <v>Transport Loader/Unloader</v>
          </cell>
        </row>
        <row r="150">
          <cell r="A150" t="str">
            <v>Automatic Magazine Loader/Unloader 1</v>
          </cell>
          <cell r="B150" t="str">
            <v>Transport Loader/Unloader</v>
          </cell>
        </row>
        <row r="151">
          <cell r="A151" t="str">
            <v>Automatic Magazine Loader/Unloader 2</v>
          </cell>
          <cell r="B151" t="str">
            <v>Transport Loader/Unloader</v>
          </cell>
        </row>
        <row r="152">
          <cell r="A152" t="str">
            <v>Automatic Magazine Loader/Unloader 3</v>
          </cell>
          <cell r="B152" t="str">
            <v>Transport Loader/Unloader</v>
          </cell>
        </row>
        <row r="153">
          <cell r="A153" t="str">
            <v>Automatic Magazine Loader/Unloader 4</v>
          </cell>
          <cell r="B153" t="str">
            <v>Transport Loader/Unloader</v>
          </cell>
        </row>
        <row r="154">
          <cell r="A154" t="str">
            <v>Automatic Magazine Loader/Unloader 5</v>
          </cell>
          <cell r="B154" t="str">
            <v>Transport Loader/Unloader</v>
          </cell>
        </row>
        <row r="155">
          <cell r="A155" t="str">
            <v>Automatic Magazine Loader/Unloader 6</v>
          </cell>
          <cell r="B155" t="str">
            <v>Transport Loader/Unloader</v>
          </cell>
        </row>
        <row r="156">
          <cell r="A156" t="str">
            <v>Automatic Magazine Loader/Unloader 7</v>
          </cell>
          <cell r="B156" t="str">
            <v>Transport Loader/Unloader</v>
          </cell>
        </row>
        <row r="157">
          <cell r="A157" t="str">
            <v>Automatic Magazine Loader/Unloader 8</v>
          </cell>
          <cell r="B157" t="str">
            <v>Transport Loader/Unloader</v>
          </cell>
        </row>
        <row r="158">
          <cell r="A158" t="str">
            <v>Automatic Magazine Loader/Unloader 9</v>
          </cell>
          <cell r="B158" t="str">
            <v>Transport Loader/Unloader</v>
          </cell>
        </row>
        <row r="159">
          <cell r="A159" t="str">
            <v>Automatic Magazine Loader/Unloader 10</v>
          </cell>
          <cell r="B159" t="str">
            <v>Transport Loader/Unloader</v>
          </cell>
        </row>
        <row r="160">
          <cell r="A160" t="str">
            <v>Automatic Magazine Loader/Unloader 11</v>
          </cell>
          <cell r="B160" t="str">
            <v>Transport Loader/Unloader</v>
          </cell>
        </row>
        <row r="161">
          <cell r="A161" t="str">
            <v>Automatic Magazine Loader/Unloader 12</v>
          </cell>
          <cell r="B161" t="str">
            <v>Transport Loader/Unloader</v>
          </cell>
        </row>
        <row r="162">
          <cell r="A162" t="str">
            <v>Automatic Magazine Loader/Unloader 13</v>
          </cell>
          <cell r="B162" t="str">
            <v>Transport Loader/Unloader</v>
          </cell>
        </row>
        <row r="163">
          <cell r="A163" t="str">
            <v>Automatic Magazine Loader/Unloader 14</v>
          </cell>
          <cell r="B163" t="str">
            <v>Transport Loader/Unloader</v>
          </cell>
        </row>
        <row r="164">
          <cell r="A164" t="str">
            <v>Automatic Magazine Loader/Unloader 15</v>
          </cell>
          <cell r="B164" t="str">
            <v>Transport Loader/Unloader</v>
          </cell>
        </row>
        <row r="165">
          <cell r="A165" t="str">
            <v>Automatic Magazine Loader/Unloader 16</v>
          </cell>
          <cell r="B165" t="str">
            <v>Transport Loader/Unloader</v>
          </cell>
        </row>
        <row r="166">
          <cell r="A166" t="str">
            <v>Automatic Magazine Loader/Unloader 17</v>
          </cell>
          <cell r="B166" t="str">
            <v>Transport Loader/Unloader</v>
          </cell>
        </row>
        <row r="167">
          <cell r="A167" t="str">
            <v>Automatic Magazine Loader/Unloader 18</v>
          </cell>
          <cell r="B167" t="str">
            <v>Transport Loader/Unloader</v>
          </cell>
        </row>
        <row r="168">
          <cell r="A168" t="str">
            <v>Automatic Magazine Loader/Unloader 19</v>
          </cell>
          <cell r="B168" t="str">
            <v>Transport Loader/Unloader</v>
          </cell>
        </row>
        <row r="169">
          <cell r="A169" t="str">
            <v>Automatic Magazine Loader/Unloader 20</v>
          </cell>
          <cell r="B169" t="str">
            <v>Transport Loader/Unloader</v>
          </cell>
        </row>
        <row r="170">
          <cell r="A170" t="str">
            <v>Automatic Magazine Loader/Unloader reject 1</v>
          </cell>
          <cell r="B170" t="str">
            <v>Transport Loader/Unloader</v>
          </cell>
        </row>
        <row r="171">
          <cell r="A171" t="str">
            <v>Automatic Magazine Loader/Unloader reject 2</v>
          </cell>
          <cell r="B171" t="str">
            <v>Transport Loader/Unloader</v>
          </cell>
        </row>
        <row r="172">
          <cell r="A172" t="str">
            <v>Automatic Magazine Loader/Unloader reject 3</v>
          </cell>
          <cell r="B172" t="str">
            <v>Transport Loader/Unloader</v>
          </cell>
        </row>
        <row r="173">
          <cell r="A173" t="str">
            <v>Automatic Magazine Loader/Unloader reject 4</v>
          </cell>
          <cell r="B173" t="str">
            <v>Transport Loader/Unloader</v>
          </cell>
        </row>
        <row r="174">
          <cell r="A174" t="str">
            <v>Automatic Magazine Loader/Unloader reject 5</v>
          </cell>
          <cell r="B174" t="str">
            <v>Transport Loader/Unloader</v>
          </cell>
        </row>
        <row r="175">
          <cell r="A175" t="str">
            <v>Automatic Magazine Loader/Unloader reject 6</v>
          </cell>
          <cell r="B175" t="str">
            <v>Transport Loader/Unloader</v>
          </cell>
        </row>
        <row r="176">
          <cell r="A176" t="str">
            <v>Automatic Magazine Loader/Unloader reject 7</v>
          </cell>
          <cell r="B176" t="str">
            <v>Transport Loader/Unloader</v>
          </cell>
        </row>
        <row r="177">
          <cell r="A177" t="str">
            <v>Automatic Magazine Loader/Unloader reject 8</v>
          </cell>
          <cell r="B177" t="str">
            <v>Transport Loader/Unloader</v>
          </cell>
        </row>
        <row r="178">
          <cell r="A178" t="str">
            <v>Automatic Magazine Loader/Unloader reject 9</v>
          </cell>
          <cell r="B178" t="str">
            <v>Transport Loader/Unloader</v>
          </cell>
        </row>
        <row r="179">
          <cell r="A179" t="str">
            <v>Automatic Magazine Loader/Unloader reject 10</v>
          </cell>
          <cell r="B179" t="str">
            <v>Transport Loader/Unloader</v>
          </cell>
        </row>
        <row r="180">
          <cell r="A180" t="str">
            <v>Automatic Magazine Loader/Unloader reject 11</v>
          </cell>
          <cell r="B180" t="str">
            <v>Transport Loader/Unloader</v>
          </cell>
        </row>
        <row r="181">
          <cell r="A181" t="str">
            <v>Automatic Magazine Loader/Unloader reject 12</v>
          </cell>
          <cell r="B181" t="str">
            <v>Transport Loader/Unloader</v>
          </cell>
        </row>
        <row r="182">
          <cell r="A182" t="str">
            <v>Automatic Magazine Loader/Unloader reject 13</v>
          </cell>
          <cell r="B182" t="str">
            <v>Transport Loader/Unloader</v>
          </cell>
        </row>
        <row r="183">
          <cell r="A183" t="str">
            <v>Automatic Magazine Loader/Unloader reject 14</v>
          </cell>
          <cell r="B183" t="str">
            <v>Transport Loader/Unloader</v>
          </cell>
        </row>
        <row r="184">
          <cell r="A184" t="str">
            <v>Automatic Magazine Loader/Unloader reject 15</v>
          </cell>
          <cell r="B184" t="str">
            <v>Transport Loader/Unloader</v>
          </cell>
        </row>
        <row r="185">
          <cell r="A185" t="str">
            <v>Automatic Magazine Loader/Unloader reject 16</v>
          </cell>
          <cell r="B185" t="str">
            <v>Transport Loader/Unloader</v>
          </cell>
        </row>
        <row r="186">
          <cell r="A186" t="str">
            <v>Automatic Magazine Loader/Unloader reject 17</v>
          </cell>
          <cell r="B186" t="str">
            <v>Transport Loader/Unloader</v>
          </cell>
        </row>
        <row r="187">
          <cell r="A187" t="str">
            <v>Automatic Magazine Loader/Unloader reject 18</v>
          </cell>
          <cell r="B187" t="str">
            <v>Transport Loader/Unloader</v>
          </cell>
        </row>
        <row r="188">
          <cell r="A188" t="str">
            <v>Automatic Magazine Loader/Unloader reject 19</v>
          </cell>
          <cell r="B188" t="str">
            <v>Transport Loader/Unloader</v>
          </cell>
        </row>
        <row r="189">
          <cell r="A189" t="str">
            <v>Automatic Magazine Loader/Unloader reject 20</v>
          </cell>
          <cell r="B189" t="str">
            <v>Transport Loader/Unloader</v>
          </cell>
        </row>
        <row r="190">
          <cell r="A190" t="str">
            <v>Automatic PCB loading/unloading 1</v>
          </cell>
          <cell r="B190" t="str">
            <v>Transport Loader/Unloader</v>
          </cell>
        </row>
        <row r="191">
          <cell r="A191" t="str">
            <v>Automatic PCB loading/unloading 2</v>
          </cell>
          <cell r="B191" t="str">
            <v>Transport Loader/Unloader</v>
          </cell>
        </row>
        <row r="192">
          <cell r="A192" t="str">
            <v>Automatic PCB loading/unloading 3</v>
          </cell>
          <cell r="B192" t="str">
            <v>Transport Loader/Unloader</v>
          </cell>
        </row>
        <row r="193">
          <cell r="A193" t="str">
            <v>Automatic PCB loading/unloading 4</v>
          </cell>
          <cell r="B193" t="str">
            <v>Transport Loader/Unloader</v>
          </cell>
        </row>
        <row r="194">
          <cell r="A194" t="str">
            <v>Automatic PCB loading/unloading 5</v>
          </cell>
          <cell r="B194" t="str">
            <v>Transport Loader/Unloader</v>
          </cell>
        </row>
        <row r="195">
          <cell r="A195" t="str">
            <v>Automatic PCB loading/unloading 6</v>
          </cell>
          <cell r="B195" t="str">
            <v>Transport Loader/Unloader</v>
          </cell>
        </row>
        <row r="196">
          <cell r="A196" t="str">
            <v>Automatic PCB loading/unloading 7</v>
          </cell>
          <cell r="B196" t="str">
            <v>Transport Loader/Unloader</v>
          </cell>
        </row>
        <row r="197">
          <cell r="A197" t="str">
            <v>Automatic PCB loading/unloading 8</v>
          </cell>
          <cell r="B197" t="str">
            <v>Transport Loader/Unloader</v>
          </cell>
        </row>
        <row r="198">
          <cell r="A198" t="str">
            <v>Automatic PCB loading/unloading 9</v>
          </cell>
          <cell r="B198" t="str">
            <v>Transport Loader/Unloader</v>
          </cell>
        </row>
        <row r="199">
          <cell r="A199" t="str">
            <v>Automatic PCB loading/unloading 10</v>
          </cell>
          <cell r="B199" t="str">
            <v>Transport Loader/Unloader</v>
          </cell>
        </row>
        <row r="200">
          <cell r="A200" t="str">
            <v>Automatic PCBA loading/unloading 1</v>
          </cell>
          <cell r="B200" t="str">
            <v>Transport Loader/Unloader</v>
          </cell>
        </row>
        <row r="201">
          <cell r="A201" t="str">
            <v>Automatic PCBA loading/unloading 2</v>
          </cell>
          <cell r="B201" t="str">
            <v>Transport Loader/Unloader</v>
          </cell>
        </row>
        <row r="202">
          <cell r="A202" t="str">
            <v>Automatic PCBA loading/unloading 3</v>
          </cell>
          <cell r="B202" t="str">
            <v>Transport Loader/Unloader</v>
          </cell>
        </row>
        <row r="203">
          <cell r="A203" t="str">
            <v>Automatic PCBA loading/unloading 4</v>
          </cell>
          <cell r="B203" t="str">
            <v>Transport Loader/Unloader</v>
          </cell>
        </row>
        <row r="204">
          <cell r="A204" t="str">
            <v>Automatic PCBA loading/unloading 5</v>
          </cell>
          <cell r="B204" t="str">
            <v>Transport Loader/Unloader</v>
          </cell>
        </row>
        <row r="205">
          <cell r="A205" t="str">
            <v>Automatic PCBA loading/unloading 6</v>
          </cell>
          <cell r="B205" t="str">
            <v>Transport Loader/Unloader</v>
          </cell>
        </row>
        <row r="206">
          <cell r="A206" t="str">
            <v>Automatic PCBA loading/unloading 7</v>
          </cell>
          <cell r="B206" t="str">
            <v>Transport Loader/Unloader</v>
          </cell>
        </row>
        <row r="207">
          <cell r="A207" t="str">
            <v>Automatic PCBA loading/unloading 8</v>
          </cell>
          <cell r="B207" t="str">
            <v>Transport Loader/Unloader</v>
          </cell>
        </row>
        <row r="208">
          <cell r="A208" t="str">
            <v>Automatic PCBA loading/unloading 9</v>
          </cell>
          <cell r="B208" t="str">
            <v>Transport Loader/Unloader</v>
          </cell>
        </row>
        <row r="209">
          <cell r="A209" t="str">
            <v>Automatic PCBA loading/unloading 10</v>
          </cell>
          <cell r="B209" t="str">
            <v>Transport Loader/Unloader</v>
          </cell>
        </row>
        <row r="210">
          <cell r="A210" t="str">
            <v>Automatic PCBA loading/unloading 11</v>
          </cell>
          <cell r="B210" t="str">
            <v>Transport Loader/Unloader</v>
          </cell>
        </row>
        <row r="211">
          <cell r="A211" t="str">
            <v>Automatic PCBA loading/unloading 12</v>
          </cell>
          <cell r="B211" t="str">
            <v>Transport Loader/Unloader</v>
          </cell>
        </row>
        <row r="212">
          <cell r="A212" t="str">
            <v>Automatic PCBA loading/unloading 13</v>
          </cell>
          <cell r="B212" t="str">
            <v>Transport Loader/Unloader</v>
          </cell>
        </row>
        <row r="213">
          <cell r="A213" t="str">
            <v>Automatic PCBA loading/unloading 14</v>
          </cell>
          <cell r="B213" t="str">
            <v>Transport Loader/Unloader</v>
          </cell>
        </row>
        <row r="214">
          <cell r="A214" t="str">
            <v>Automatic PCBA loading/unloading 15</v>
          </cell>
          <cell r="B214" t="str">
            <v>Transport Loader/Unloader</v>
          </cell>
        </row>
        <row r="215">
          <cell r="A215" t="str">
            <v>Automatic PCBA loading/unloading 16</v>
          </cell>
          <cell r="B215" t="str">
            <v>Transport Loader/Unloader</v>
          </cell>
        </row>
        <row r="216">
          <cell r="A216" t="str">
            <v>Automatic PCBA loading/unloading 17</v>
          </cell>
          <cell r="B216" t="str">
            <v>Transport Loader/Unloader</v>
          </cell>
        </row>
        <row r="217">
          <cell r="A217" t="str">
            <v>Automatic PCBA loading/unloading 18</v>
          </cell>
          <cell r="B217" t="str">
            <v>Transport Loader/Unloader</v>
          </cell>
        </row>
        <row r="218">
          <cell r="A218" t="str">
            <v>Automatic PCBA loading/unloading 19</v>
          </cell>
          <cell r="B218" t="str">
            <v>Transport Loader/Unloader</v>
          </cell>
        </row>
        <row r="219">
          <cell r="A219" t="str">
            <v>Automatic PCBA loading/unloading 20</v>
          </cell>
          <cell r="B219" t="str">
            <v>Transport Loader/Unloader</v>
          </cell>
        </row>
        <row r="220">
          <cell r="A220" t="str">
            <v>Automatic PCBA-Carrier loading/unloading 1</v>
          </cell>
          <cell r="B220" t="str">
            <v>Transport Loader/Unloader</v>
          </cell>
        </row>
        <row r="221">
          <cell r="A221" t="str">
            <v>Automatic PCBA-Carrier loading/unloading 2</v>
          </cell>
          <cell r="B221" t="str">
            <v>Transport Loader/Unloader</v>
          </cell>
        </row>
        <row r="222">
          <cell r="A222" t="str">
            <v>Automatic PCBA-Carrier loading/unloading 3</v>
          </cell>
          <cell r="B222" t="str">
            <v>Transport Loader/Unloader</v>
          </cell>
        </row>
        <row r="223">
          <cell r="A223" t="str">
            <v>Automatic PCBA-Carrier loading/unloading 4</v>
          </cell>
          <cell r="B223" t="str">
            <v>Transport Loader/Unloader</v>
          </cell>
        </row>
        <row r="224">
          <cell r="A224" t="str">
            <v>Automatic PCBA-Carrier loading/unloading 5</v>
          </cell>
          <cell r="B224" t="str">
            <v>Transport Loader/Unloader</v>
          </cell>
        </row>
        <row r="225">
          <cell r="A225" t="str">
            <v>Automatic PCBA-Carrier loading/unloading 6</v>
          </cell>
          <cell r="B225" t="str">
            <v>Transport Loader/Unloader</v>
          </cell>
        </row>
        <row r="226">
          <cell r="A226" t="str">
            <v>Automatic PCBA-Carrier loading/unloading 7</v>
          </cell>
          <cell r="B226" t="str">
            <v>Transport Loader/Unloader</v>
          </cell>
        </row>
        <row r="227">
          <cell r="A227" t="str">
            <v>Automatic PCBA-Carrier loading/unloading 8</v>
          </cell>
          <cell r="B227" t="str">
            <v>Transport Loader/Unloader</v>
          </cell>
        </row>
        <row r="228">
          <cell r="A228" t="str">
            <v>Automatic PCBA-Carrier loading/unloading 9</v>
          </cell>
          <cell r="B228" t="str">
            <v>Transport Loader/Unloader</v>
          </cell>
        </row>
        <row r="229">
          <cell r="A229" t="str">
            <v>Automatic PCBA-Carrier loading/unloading 10</v>
          </cell>
          <cell r="B229" t="str">
            <v>Transport Loader/Unloader</v>
          </cell>
        </row>
        <row r="230">
          <cell r="A230" t="str">
            <v>Automatic PCBA-Carrier loading/unloading 11</v>
          </cell>
          <cell r="B230" t="str">
            <v>Transport Loader/Unloader</v>
          </cell>
        </row>
        <row r="231">
          <cell r="A231" t="str">
            <v>Automatic PCBA-Carrier loading/unloading12</v>
          </cell>
          <cell r="B231" t="str">
            <v>Transport Loader/Unloader</v>
          </cell>
        </row>
        <row r="232">
          <cell r="A232" t="str">
            <v>AXI 1</v>
          </cell>
          <cell r="B232" t="str">
            <v>Automatic X-ray Inspection</v>
          </cell>
        </row>
        <row r="233">
          <cell r="A233" t="str">
            <v>AXI 2</v>
          </cell>
          <cell r="B233" t="str">
            <v>Automatic X-ray Inspection</v>
          </cell>
        </row>
        <row r="234">
          <cell r="A234" t="str">
            <v>AXI 3</v>
          </cell>
          <cell r="B234" t="str">
            <v>Automatic X-ray Inspection</v>
          </cell>
        </row>
        <row r="235">
          <cell r="A235" t="str">
            <v>AXI 4</v>
          </cell>
          <cell r="B235" t="str">
            <v>Automatic X-ray Inspection</v>
          </cell>
        </row>
        <row r="236">
          <cell r="A236" t="str">
            <v>AXI 5</v>
          </cell>
          <cell r="B236" t="str">
            <v>Automatic X-ray Inspection</v>
          </cell>
        </row>
        <row r="237">
          <cell r="A237" t="str">
            <v>AXI 6</v>
          </cell>
          <cell r="B237" t="str">
            <v>Automatic X-ray Inspection</v>
          </cell>
        </row>
        <row r="238">
          <cell r="A238" t="str">
            <v>AXI 7</v>
          </cell>
          <cell r="B238" t="str">
            <v>Automatic X-ray Inspection</v>
          </cell>
        </row>
        <row r="239">
          <cell r="A239" t="str">
            <v>AXI 8</v>
          </cell>
          <cell r="B239" t="str">
            <v>Automatic X-ray Inspection</v>
          </cell>
        </row>
        <row r="240">
          <cell r="A240" t="str">
            <v>AXI 9</v>
          </cell>
          <cell r="B240" t="str">
            <v>Automatic X-ray Inspection</v>
          </cell>
        </row>
        <row r="241">
          <cell r="A241" t="str">
            <v>AXI 10</v>
          </cell>
          <cell r="B241" t="str">
            <v>Automatic X-ray Inspection</v>
          </cell>
        </row>
        <row r="242">
          <cell r="A242" t="str">
            <v>AXI 11</v>
          </cell>
          <cell r="B242" t="str">
            <v>Automatic X-ray Inspection</v>
          </cell>
        </row>
        <row r="243">
          <cell r="A243" t="str">
            <v>AXI 12</v>
          </cell>
          <cell r="B243" t="str">
            <v>Automatic X-ray Inspection</v>
          </cell>
        </row>
        <row r="244">
          <cell r="A244" t="str">
            <v>AXI 13</v>
          </cell>
          <cell r="B244" t="str">
            <v>Automatic X-ray Inspection</v>
          </cell>
        </row>
        <row r="245">
          <cell r="A245" t="str">
            <v>AXI 14</v>
          </cell>
          <cell r="B245" t="str">
            <v>Automatic X-ray Inspection</v>
          </cell>
        </row>
        <row r="246">
          <cell r="A246" t="str">
            <v>Conveyor --- Cooling 1</v>
          </cell>
          <cell r="B246" t="str">
            <v>Transport Conveyor</v>
          </cell>
        </row>
        <row r="247">
          <cell r="A247" t="str">
            <v>Conveyor --- Cooling 2</v>
          </cell>
          <cell r="B247" t="str">
            <v>Transport Conveyor</v>
          </cell>
        </row>
        <row r="248">
          <cell r="A248" t="str">
            <v>Conveyor --- Cooling 3</v>
          </cell>
          <cell r="B248" t="str">
            <v>Transport Conveyor</v>
          </cell>
        </row>
        <row r="249">
          <cell r="A249" t="str">
            <v>Conveyor --- Cooling 4</v>
          </cell>
          <cell r="B249" t="str">
            <v>Transport Conveyor</v>
          </cell>
        </row>
        <row r="250">
          <cell r="A250" t="str">
            <v>Conveyor --- Cooling 5</v>
          </cell>
          <cell r="B250" t="str">
            <v>Transport Conveyor</v>
          </cell>
        </row>
        <row r="251">
          <cell r="A251" t="str">
            <v>Conveyor --- Cooling 6</v>
          </cell>
          <cell r="B251" t="str">
            <v>Transport Conveyor</v>
          </cell>
        </row>
        <row r="252">
          <cell r="A252" t="str">
            <v>Conveyor --- Cooling 7</v>
          </cell>
          <cell r="B252" t="str">
            <v>Transport Conveyor</v>
          </cell>
        </row>
        <row r="253">
          <cell r="A253" t="str">
            <v>Conveyor --- Cooling 8</v>
          </cell>
          <cell r="B253" t="str">
            <v>Transport Conveyor</v>
          </cell>
        </row>
        <row r="254">
          <cell r="A254" t="str">
            <v>Conveyor --- Cooling 9</v>
          </cell>
          <cell r="B254" t="str">
            <v>Transport Conveyor</v>
          </cell>
        </row>
        <row r="255">
          <cell r="A255" t="str">
            <v>Conveyor --- Cooling 10</v>
          </cell>
          <cell r="B255" t="str">
            <v>Transport Conveyor</v>
          </cell>
        </row>
        <row r="256">
          <cell r="A256" t="str">
            <v>Conveyor --- Cooling 11</v>
          </cell>
          <cell r="B256" t="str">
            <v>Transport Conveyor</v>
          </cell>
        </row>
        <row r="257">
          <cell r="A257" t="str">
            <v>Conveyor --- Cooling 12</v>
          </cell>
          <cell r="B257" t="str">
            <v>Transport Conveyor</v>
          </cell>
        </row>
        <row r="258">
          <cell r="A258" t="str">
            <v>Conveyor --- Cooling 13</v>
          </cell>
          <cell r="B258" t="str">
            <v>Transport Conveyor</v>
          </cell>
        </row>
        <row r="259">
          <cell r="A259" t="str">
            <v>Conveyor --- Cooling 14</v>
          </cell>
          <cell r="B259" t="str">
            <v>Transport Conveyor</v>
          </cell>
        </row>
        <row r="260">
          <cell r="A260" t="str">
            <v>Conveyor --- Cooling 15</v>
          </cell>
          <cell r="B260" t="str">
            <v>Transport Conveyor</v>
          </cell>
        </row>
        <row r="261">
          <cell r="A261" t="str">
            <v>Conveyor --- Cooling 16</v>
          </cell>
          <cell r="B261" t="str">
            <v>Transport Conveyor</v>
          </cell>
        </row>
        <row r="262">
          <cell r="A262" t="str">
            <v>Conveyor --- Cooling 17</v>
          </cell>
          <cell r="B262" t="str">
            <v>Transport Conveyor</v>
          </cell>
        </row>
        <row r="263">
          <cell r="A263" t="str">
            <v>Conveyor --- Cooling 18</v>
          </cell>
          <cell r="B263" t="str">
            <v>Transport Conveyor</v>
          </cell>
        </row>
        <row r="264">
          <cell r="A264" t="str">
            <v>Conveyor --- Cooling 19</v>
          </cell>
          <cell r="B264" t="str">
            <v>Transport Conveyor</v>
          </cell>
        </row>
        <row r="265">
          <cell r="A265" t="str">
            <v>Conveyor --- Cooling 20</v>
          </cell>
          <cell r="B265" t="str">
            <v>Transport Conveyor</v>
          </cell>
        </row>
        <row r="266">
          <cell r="A266" t="str">
            <v>Conveyor --- Cooling 1 Dual Lane</v>
          </cell>
          <cell r="B266" t="str">
            <v>Transport Conveyor</v>
          </cell>
        </row>
        <row r="267">
          <cell r="A267" t="str">
            <v>Conveyor --- Cooling 10 Dual Lane</v>
          </cell>
          <cell r="B267" t="str">
            <v>Transport Conveyor</v>
          </cell>
        </row>
        <row r="268">
          <cell r="A268" t="str">
            <v>Conveyor --- Cooling 11 Dual Lane</v>
          </cell>
          <cell r="B268" t="str">
            <v>Transport Conveyor</v>
          </cell>
        </row>
        <row r="269">
          <cell r="A269" t="str">
            <v>Conveyor --- Cooling 12 Dual Lane</v>
          </cell>
          <cell r="B269" t="str">
            <v>Transport Conveyor</v>
          </cell>
        </row>
        <row r="270">
          <cell r="A270" t="str">
            <v>Conveyor --- Cooling 13 Dual Lane</v>
          </cell>
          <cell r="B270" t="str">
            <v>Transport Conveyor</v>
          </cell>
        </row>
        <row r="271">
          <cell r="A271" t="str">
            <v>Conveyor --- Cooling 14 Dual Lane</v>
          </cell>
          <cell r="B271" t="str">
            <v>Transport Conveyor</v>
          </cell>
        </row>
        <row r="272">
          <cell r="A272" t="str">
            <v>Conveyor --- Cooling 15 Dual Lane</v>
          </cell>
          <cell r="B272" t="str">
            <v>Transport Conveyor</v>
          </cell>
        </row>
        <row r="273">
          <cell r="A273" t="str">
            <v>Conveyor --- Cooling 16 Dual Lane</v>
          </cell>
          <cell r="B273" t="str">
            <v>Transport Conveyor</v>
          </cell>
        </row>
        <row r="274">
          <cell r="A274" t="str">
            <v>Conveyor --- Cooling 17 Dual Lane</v>
          </cell>
          <cell r="B274" t="str">
            <v>Transport Conveyor</v>
          </cell>
        </row>
        <row r="275">
          <cell r="A275" t="str">
            <v>Conveyor --- Cooling 18 Dual Lane</v>
          </cell>
          <cell r="B275" t="str">
            <v>Transport Conveyor</v>
          </cell>
        </row>
        <row r="276">
          <cell r="A276" t="str">
            <v>Conveyor --- Cooling 19 Dual Lane</v>
          </cell>
          <cell r="B276" t="str">
            <v>Transport Conveyor</v>
          </cell>
        </row>
        <row r="277">
          <cell r="A277" t="str">
            <v>Conveyor --- Cooling 2 Dual Lane</v>
          </cell>
          <cell r="B277" t="str">
            <v>Transport Conveyor</v>
          </cell>
        </row>
        <row r="278">
          <cell r="A278" t="str">
            <v>Conveyor --- Cooling 20 Dual Lane</v>
          </cell>
          <cell r="B278" t="str">
            <v>Transport Conveyor</v>
          </cell>
        </row>
        <row r="279">
          <cell r="A279" t="str">
            <v>Conveyor --- Cooling 3 Dual Lane</v>
          </cell>
          <cell r="B279" t="str">
            <v>Transport Conveyor</v>
          </cell>
        </row>
        <row r="280">
          <cell r="A280" t="str">
            <v>Conveyor --- Cooling 4 Dual Lane</v>
          </cell>
          <cell r="B280" t="str">
            <v>Transport Conveyor</v>
          </cell>
        </row>
        <row r="281">
          <cell r="A281" t="str">
            <v>Conveyor --- Cooling 5 Dual Lane</v>
          </cell>
          <cell r="B281" t="str">
            <v>Transport Conveyor</v>
          </cell>
        </row>
        <row r="282">
          <cell r="A282" t="str">
            <v>Conveyor --- Cooling 6 Dual Lane</v>
          </cell>
          <cell r="B282" t="str">
            <v>Transport Conveyor</v>
          </cell>
        </row>
        <row r="283">
          <cell r="A283" t="str">
            <v>Conveyor --- Cooling 7 Dual Lane</v>
          </cell>
          <cell r="B283" t="str">
            <v>Transport Conveyor</v>
          </cell>
        </row>
        <row r="284">
          <cell r="A284" t="str">
            <v>Conveyor --- Cooling 8 Dual Lane</v>
          </cell>
          <cell r="B284" t="str">
            <v>Transport Conveyor</v>
          </cell>
        </row>
        <row r="285">
          <cell r="A285" t="str">
            <v>Conveyor --- Cooling 9 Dual Lane</v>
          </cell>
          <cell r="B285" t="str">
            <v>Transport Conveyor</v>
          </cell>
        </row>
        <row r="286">
          <cell r="A286" t="str">
            <v>Conveyor --- Dual 1</v>
          </cell>
          <cell r="B286" t="str">
            <v>Transport Conveyor</v>
          </cell>
        </row>
        <row r="287">
          <cell r="A287" t="str">
            <v>Conveyor --- Dual 2</v>
          </cell>
          <cell r="B287" t="str">
            <v>Transport Conveyor</v>
          </cell>
        </row>
        <row r="288">
          <cell r="A288" t="str">
            <v>Conveyor --- Dual 3</v>
          </cell>
          <cell r="B288" t="str">
            <v>Transport Conveyor</v>
          </cell>
        </row>
        <row r="289">
          <cell r="A289" t="str">
            <v>Conveyor --- Dual 4</v>
          </cell>
          <cell r="B289" t="str">
            <v>Transport Conveyor</v>
          </cell>
        </row>
        <row r="290">
          <cell r="A290" t="str">
            <v>Conveyor --- Dual 5</v>
          </cell>
          <cell r="B290" t="str">
            <v>Transport Conveyor</v>
          </cell>
        </row>
        <row r="291">
          <cell r="A291" t="str">
            <v>Conveyor --- Dual 6</v>
          </cell>
          <cell r="B291" t="str">
            <v>Transport Conveyor</v>
          </cell>
        </row>
        <row r="292">
          <cell r="A292" t="str">
            <v>Conveyor --- Dual 7</v>
          </cell>
          <cell r="B292" t="str">
            <v>Transport Conveyor</v>
          </cell>
        </row>
        <row r="293">
          <cell r="A293" t="str">
            <v>Conveyor --- Dual 8</v>
          </cell>
          <cell r="B293" t="str">
            <v>Transport Conveyor</v>
          </cell>
        </row>
        <row r="294">
          <cell r="A294" t="str">
            <v>Conveyor --- Dual 9</v>
          </cell>
          <cell r="B294" t="str">
            <v>Transport Conveyor</v>
          </cell>
        </row>
        <row r="295">
          <cell r="A295" t="str">
            <v>Conveyor --- Dual 10</v>
          </cell>
          <cell r="B295" t="str">
            <v>Transport Conveyor</v>
          </cell>
        </row>
        <row r="296">
          <cell r="A296" t="str">
            <v>Conveyor --- Dual 11</v>
          </cell>
          <cell r="B296" t="str">
            <v>Transport Conveyor</v>
          </cell>
        </row>
        <row r="297">
          <cell r="A297" t="str">
            <v>Conveyor --- Dual 12</v>
          </cell>
          <cell r="B297" t="str">
            <v>Transport Conveyor</v>
          </cell>
        </row>
        <row r="298">
          <cell r="A298" t="str">
            <v>Conveyor --- Dual 13</v>
          </cell>
          <cell r="B298" t="str">
            <v>Transport Conveyor</v>
          </cell>
        </row>
        <row r="299">
          <cell r="A299" t="str">
            <v>Conveyor --- Dual 14</v>
          </cell>
          <cell r="B299" t="str">
            <v>Transport Conveyor</v>
          </cell>
        </row>
        <row r="300">
          <cell r="A300" t="str">
            <v>Conveyor --- Dual 15</v>
          </cell>
          <cell r="B300" t="str">
            <v>Transport Conveyor</v>
          </cell>
        </row>
        <row r="301">
          <cell r="A301" t="str">
            <v>Conveyor --- Dual 16</v>
          </cell>
          <cell r="B301" t="str">
            <v>Transport Conveyor</v>
          </cell>
        </row>
        <row r="302">
          <cell r="A302" t="str">
            <v>Conveyor --- Dual 17</v>
          </cell>
          <cell r="B302" t="str">
            <v>Transport Conveyor</v>
          </cell>
        </row>
        <row r="303">
          <cell r="A303" t="str">
            <v>Conveyor --- Dual 18</v>
          </cell>
          <cell r="B303" t="str">
            <v>Transport Conveyor</v>
          </cell>
        </row>
        <row r="304">
          <cell r="A304" t="str">
            <v>Conveyor --- Dual 19</v>
          </cell>
          <cell r="B304" t="str">
            <v>Transport Conveyor</v>
          </cell>
        </row>
        <row r="305">
          <cell r="A305" t="str">
            <v>Conveyor --- Dual 20</v>
          </cell>
          <cell r="B305" t="str">
            <v>Transport Conveyor</v>
          </cell>
        </row>
        <row r="306">
          <cell r="A306" t="str">
            <v>Conveyor --- Flat belt 1</v>
          </cell>
          <cell r="B306" t="str">
            <v>Transport Conveyor</v>
          </cell>
        </row>
        <row r="307">
          <cell r="A307" t="str">
            <v>Conveyor --- Flat belt 2</v>
          </cell>
          <cell r="B307" t="str">
            <v>Transport Conveyor</v>
          </cell>
        </row>
        <row r="308">
          <cell r="A308" t="str">
            <v>Conveyor --- Flat belt 3</v>
          </cell>
          <cell r="B308" t="str">
            <v>Transport Conveyor</v>
          </cell>
        </row>
        <row r="309">
          <cell r="A309" t="str">
            <v>Conveyor --- Flat belt 4</v>
          </cell>
          <cell r="B309" t="str">
            <v>Transport Conveyor</v>
          </cell>
        </row>
        <row r="310">
          <cell r="A310" t="str">
            <v>Conveyor --- Flat belt 5</v>
          </cell>
          <cell r="B310" t="str">
            <v>Transport Conveyor</v>
          </cell>
        </row>
        <row r="311">
          <cell r="A311" t="str">
            <v>Conveyor --- Flat belt 6</v>
          </cell>
          <cell r="B311" t="str">
            <v>Transport Conveyor</v>
          </cell>
        </row>
        <row r="312">
          <cell r="A312" t="str">
            <v>Conveyor --- Flat belt 7</v>
          </cell>
          <cell r="B312" t="str">
            <v>Transport Conveyor</v>
          </cell>
        </row>
        <row r="313">
          <cell r="A313" t="str">
            <v>Conveyor --- Flat belt 8</v>
          </cell>
          <cell r="B313" t="str">
            <v>Transport Conveyor</v>
          </cell>
        </row>
        <row r="314">
          <cell r="A314" t="str">
            <v>Conveyor --- Flat belt 9</v>
          </cell>
          <cell r="B314" t="str">
            <v>Transport Conveyor</v>
          </cell>
        </row>
        <row r="315">
          <cell r="A315" t="str">
            <v>Conveyor --- Flat belt 10</v>
          </cell>
          <cell r="B315" t="str">
            <v>Transport Conveyor</v>
          </cell>
        </row>
        <row r="316">
          <cell r="A316" t="str">
            <v>Conveyor --- Flipper 180˚ 1</v>
          </cell>
          <cell r="B316" t="str">
            <v>Transport Flipper</v>
          </cell>
        </row>
        <row r="317">
          <cell r="A317" t="str">
            <v>Conveyor --- Flipper 180˚ 2</v>
          </cell>
          <cell r="B317" t="str">
            <v>Transport Flipper</v>
          </cell>
        </row>
        <row r="318">
          <cell r="A318" t="str">
            <v>Conveyor --- Flipper 180˚ 3</v>
          </cell>
          <cell r="B318" t="str">
            <v>Transport Flipper</v>
          </cell>
        </row>
        <row r="319">
          <cell r="A319" t="str">
            <v>Conveyor --- Flipper 180˚ 4</v>
          </cell>
          <cell r="B319" t="str">
            <v>Transport Flipper</v>
          </cell>
        </row>
        <row r="320">
          <cell r="A320" t="str">
            <v>Conveyor --- Flipper 180˚ 5</v>
          </cell>
          <cell r="B320" t="str">
            <v>Transport Flipper</v>
          </cell>
        </row>
        <row r="321">
          <cell r="A321" t="str">
            <v>Conveyor --- Flipper 180˚ 6</v>
          </cell>
          <cell r="B321" t="str">
            <v>Transport Flipper</v>
          </cell>
        </row>
        <row r="322">
          <cell r="A322" t="str">
            <v>Conveyor --- Flipper 180˚ 7</v>
          </cell>
          <cell r="B322" t="str">
            <v>Transport Flipper</v>
          </cell>
        </row>
        <row r="323">
          <cell r="A323" t="str">
            <v>Conveyor --- Flipper 180˚ 8</v>
          </cell>
          <cell r="B323" t="str">
            <v>Transport Flipper</v>
          </cell>
        </row>
        <row r="324">
          <cell r="A324" t="str">
            <v>Conveyor --- Flipper 180˚ 9</v>
          </cell>
          <cell r="B324" t="str">
            <v>Transport Flipper</v>
          </cell>
        </row>
        <row r="325">
          <cell r="A325" t="str">
            <v>Conveyor --- Flipper 180˚ 10</v>
          </cell>
          <cell r="B325" t="str">
            <v>Transport Flipper</v>
          </cell>
        </row>
        <row r="326">
          <cell r="A326" t="str">
            <v>Conveyor --- Flipper 180˚ 11</v>
          </cell>
          <cell r="B326" t="str">
            <v>Transport Flipper</v>
          </cell>
        </row>
        <row r="327">
          <cell r="A327" t="str">
            <v>Conveyor --- Flipper 180˚ 12</v>
          </cell>
          <cell r="B327" t="str">
            <v>Transport Flipper</v>
          </cell>
        </row>
        <row r="328">
          <cell r="A328" t="str">
            <v>Conveyor --- Flipper 180˚ 13</v>
          </cell>
          <cell r="B328" t="str">
            <v>Transport Flipper</v>
          </cell>
        </row>
        <row r="329">
          <cell r="A329" t="str">
            <v>Conveyor --- Flipper 180˚ 14</v>
          </cell>
          <cell r="B329" t="str">
            <v>Transport Flipper</v>
          </cell>
        </row>
        <row r="330">
          <cell r="A330" t="str">
            <v>Conveyor --- Flipper 180˚ 15</v>
          </cell>
          <cell r="B330" t="str">
            <v>Transport Flipper</v>
          </cell>
        </row>
        <row r="331">
          <cell r="A331" t="str">
            <v>Conveyor --- Flipper 180˚ 16</v>
          </cell>
          <cell r="B331" t="str">
            <v>Transport Flipper</v>
          </cell>
        </row>
        <row r="332">
          <cell r="A332" t="str">
            <v>Conveyor --- Flipper 180˚ 17</v>
          </cell>
          <cell r="B332" t="str">
            <v>Transport Flipper</v>
          </cell>
        </row>
        <row r="333">
          <cell r="A333" t="str">
            <v>Conveyor --- Flipper 180˚ 18</v>
          </cell>
          <cell r="B333" t="str">
            <v>Transport Flipper</v>
          </cell>
        </row>
        <row r="334">
          <cell r="A334" t="str">
            <v>Conveyor --- Flipper 180˚ 19</v>
          </cell>
          <cell r="B334" t="str">
            <v>Transport Flipper</v>
          </cell>
        </row>
        <row r="335">
          <cell r="A335" t="str">
            <v>Conveyor --- Flipper 180˚ 20</v>
          </cell>
          <cell r="B335" t="str">
            <v>Transport Flipper</v>
          </cell>
        </row>
        <row r="336">
          <cell r="A336" t="str">
            <v>Conveyor --- Flipper 180˚ 21</v>
          </cell>
          <cell r="B336" t="str">
            <v>Transport Flipper</v>
          </cell>
        </row>
        <row r="337">
          <cell r="A337" t="str">
            <v>Conveyor --- Flipper 180˚ 22</v>
          </cell>
          <cell r="B337" t="str">
            <v>Transport Flipper</v>
          </cell>
        </row>
        <row r="338">
          <cell r="A338" t="str">
            <v>Conveyor --- Flipper 180˚ 23</v>
          </cell>
          <cell r="B338" t="str">
            <v>Transport Flipper</v>
          </cell>
        </row>
        <row r="339">
          <cell r="A339" t="str">
            <v>Conveyor --- Flipper 180˚ 24</v>
          </cell>
          <cell r="B339" t="str">
            <v>Transport Flipper</v>
          </cell>
        </row>
        <row r="340">
          <cell r="A340" t="str">
            <v>Conveyor --- Flipper 180˚ 25</v>
          </cell>
          <cell r="B340" t="str">
            <v>Transport Flipper</v>
          </cell>
        </row>
        <row r="341">
          <cell r="A341" t="str">
            <v>Conveyor --- Flipper 180˚ 26</v>
          </cell>
          <cell r="B341" t="str">
            <v>Transport Flipper</v>
          </cell>
        </row>
        <row r="342">
          <cell r="A342" t="str">
            <v>Conveyor --- Flipper 180˚ 27</v>
          </cell>
          <cell r="B342" t="str">
            <v>Transport Flipper</v>
          </cell>
        </row>
        <row r="343">
          <cell r="A343" t="str">
            <v>Conveyor --- Flipper 180˚ 28</v>
          </cell>
          <cell r="B343" t="str">
            <v>Transport Flipper</v>
          </cell>
        </row>
        <row r="344">
          <cell r="A344" t="str">
            <v>Conveyor --- Flipper 180˚ 29</v>
          </cell>
          <cell r="B344" t="str">
            <v>Transport Flipper</v>
          </cell>
        </row>
        <row r="345">
          <cell r="A345" t="str">
            <v>Conveyor --- Flipper 180˚ 30</v>
          </cell>
          <cell r="B345" t="str">
            <v>Transport Flipper</v>
          </cell>
        </row>
        <row r="346">
          <cell r="A346" t="str">
            <v>Conveyor --- Flipper 180˚ 31</v>
          </cell>
          <cell r="B346" t="str">
            <v>Transport Flipper</v>
          </cell>
        </row>
        <row r="347">
          <cell r="A347" t="str">
            <v>Conveyor --- Flipper 180˚ 32</v>
          </cell>
          <cell r="B347" t="str">
            <v>Transport Flipper</v>
          </cell>
        </row>
        <row r="348">
          <cell r="A348" t="str">
            <v>Conveyor --- Flipper 180˚ 33</v>
          </cell>
          <cell r="B348" t="str">
            <v>Transport Flipper</v>
          </cell>
        </row>
        <row r="349">
          <cell r="A349" t="str">
            <v>Conveyor --- Flipper 180˚ 34</v>
          </cell>
          <cell r="B349" t="str">
            <v>Transport Flipper</v>
          </cell>
        </row>
        <row r="350">
          <cell r="A350" t="str">
            <v>Conveyor --- Flipper 180˚ 35</v>
          </cell>
          <cell r="B350" t="str">
            <v>Transport Flipper</v>
          </cell>
        </row>
        <row r="351">
          <cell r="A351" t="str">
            <v>Conveyor --- Flipper 180˚ 36</v>
          </cell>
          <cell r="B351" t="str">
            <v>Transport Flipper</v>
          </cell>
        </row>
        <row r="352">
          <cell r="A352" t="str">
            <v>Conveyor --- Flipper 180˚ 37</v>
          </cell>
          <cell r="B352" t="str">
            <v>Transport Flipper</v>
          </cell>
        </row>
        <row r="353">
          <cell r="A353" t="str">
            <v>Conveyor --- Flipper 180˚ 38</v>
          </cell>
          <cell r="B353" t="str">
            <v>Transport Flipper</v>
          </cell>
        </row>
        <row r="354">
          <cell r="A354" t="str">
            <v>Conveyor --- Flipper 180˚ 39</v>
          </cell>
          <cell r="B354" t="str">
            <v>Transport Flipper</v>
          </cell>
        </row>
        <row r="355">
          <cell r="A355" t="str">
            <v>Conveyor --- Flipper 180˚ 40</v>
          </cell>
          <cell r="B355" t="str">
            <v>Transport Flipper</v>
          </cell>
        </row>
        <row r="356">
          <cell r="A356" t="str">
            <v>Conveyor --- Gate 1</v>
          </cell>
          <cell r="B356" t="str">
            <v>Transport Gate</v>
          </cell>
        </row>
        <row r="357">
          <cell r="A357" t="str">
            <v>Conveyor --- Gate 2</v>
          </cell>
          <cell r="B357" t="str">
            <v>Transport Gate</v>
          </cell>
        </row>
        <row r="358">
          <cell r="A358" t="str">
            <v>Conveyor --- Gate 3</v>
          </cell>
          <cell r="B358" t="str">
            <v>Transport Gate</v>
          </cell>
        </row>
        <row r="359">
          <cell r="A359" t="str">
            <v>Conveyor --- Gate 4</v>
          </cell>
          <cell r="B359" t="str">
            <v>Transport Gate</v>
          </cell>
        </row>
        <row r="360">
          <cell r="A360" t="str">
            <v>Conveyor --- Gate 5</v>
          </cell>
          <cell r="B360" t="str">
            <v>Transport Gate</v>
          </cell>
        </row>
        <row r="361">
          <cell r="A361" t="str">
            <v>Conveyor --- Gate 6</v>
          </cell>
          <cell r="B361" t="str">
            <v>Transport Gate</v>
          </cell>
        </row>
        <row r="362">
          <cell r="A362" t="str">
            <v>Conveyor --- Gate 7</v>
          </cell>
          <cell r="B362" t="str">
            <v>Transport Gate</v>
          </cell>
        </row>
        <row r="363">
          <cell r="A363" t="str">
            <v>Conveyor --- Gate 8</v>
          </cell>
          <cell r="B363" t="str">
            <v>Transport Gate</v>
          </cell>
        </row>
        <row r="364">
          <cell r="A364" t="str">
            <v>Conveyor --- Gate 9</v>
          </cell>
          <cell r="B364" t="str">
            <v>Transport Gate</v>
          </cell>
        </row>
        <row r="365">
          <cell r="A365" t="str">
            <v>Conveyor --- Gate 10</v>
          </cell>
          <cell r="B365" t="str">
            <v>Transport Gate</v>
          </cell>
        </row>
        <row r="366">
          <cell r="A366" t="str">
            <v>Conveyor --- Gate 11</v>
          </cell>
          <cell r="B366" t="str">
            <v>Transport Gate</v>
          </cell>
        </row>
        <row r="367">
          <cell r="A367" t="str">
            <v>Conveyor --- Gate 12</v>
          </cell>
          <cell r="B367" t="str">
            <v>Transport Gate</v>
          </cell>
        </row>
        <row r="368">
          <cell r="A368" t="str">
            <v>Conveyor --- Gate 13</v>
          </cell>
          <cell r="B368" t="str">
            <v>Transport Gate</v>
          </cell>
        </row>
        <row r="369">
          <cell r="A369" t="str">
            <v>Conveyor --- Gate 14</v>
          </cell>
          <cell r="B369" t="str">
            <v>Transport Gate</v>
          </cell>
        </row>
        <row r="370">
          <cell r="A370" t="str">
            <v>Conveyor --- Gate 15</v>
          </cell>
          <cell r="B370" t="str">
            <v>Transport Gate</v>
          </cell>
        </row>
        <row r="371">
          <cell r="A371" t="str">
            <v>Conveyor --- Gate 16</v>
          </cell>
          <cell r="B371" t="str">
            <v>Transport Gate</v>
          </cell>
        </row>
        <row r="372">
          <cell r="A372" t="str">
            <v>Conveyor --- Gate 17</v>
          </cell>
          <cell r="B372" t="str">
            <v>Transport Gate</v>
          </cell>
        </row>
        <row r="373">
          <cell r="A373" t="str">
            <v>Conveyor --- Gate 18</v>
          </cell>
          <cell r="B373" t="str">
            <v>Transport Gate</v>
          </cell>
        </row>
        <row r="374">
          <cell r="A374" t="str">
            <v>Conveyor --- Gate 19</v>
          </cell>
          <cell r="B374" t="str">
            <v>Transport Gate</v>
          </cell>
        </row>
        <row r="375">
          <cell r="A375" t="str">
            <v>Conveyor --- Gate 20</v>
          </cell>
          <cell r="B375" t="str">
            <v>Transport Gate</v>
          </cell>
        </row>
        <row r="376">
          <cell r="A376" t="str">
            <v>Conveyor --- Gate 21</v>
          </cell>
          <cell r="B376" t="str">
            <v>Transport Gate</v>
          </cell>
        </row>
        <row r="377">
          <cell r="A377" t="str">
            <v>Conveyor --- Gate 22</v>
          </cell>
          <cell r="B377" t="str">
            <v>Transport Gate</v>
          </cell>
        </row>
        <row r="378">
          <cell r="A378" t="str">
            <v>Conveyor --- Gate 23</v>
          </cell>
          <cell r="B378" t="str">
            <v>Transport Gate</v>
          </cell>
        </row>
        <row r="379">
          <cell r="A379" t="str">
            <v>Conveyor --- Gate 24</v>
          </cell>
          <cell r="B379" t="str">
            <v>Transport Gate</v>
          </cell>
        </row>
        <row r="380">
          <cell r="A380" t="str">
            <v>Conveyor --- Gate 25</v>
          </cell>
          <cell r="B380" t="str">
            <v>Transport Gate</v>
          </cell>
        </row>
        <row r="381">
          <cell r="A381" t="str">
            <v>Conveyor --- Gate 26</v>
          </cell>
          <cell r="B381" t="str">
            <v>Transport Gate</v>
          </cell>
        </row>
        <row r="382">
          <cell r="A382" t="str">
            <v>Conveyor --- Gate 27</v>
          </cell>
          <cell r="B382" t="str">
            <v>Transport Gate</v>
          </cell>
        </row>
        <row r="383">
          <cell r="A383" t="str">
            <v>Conveyor --- Gate 28</v>
          </cell>
          <cell r="B383" t="str">
            <v>Transport Gate</v>
          </cell>
        </row>
        <row r="384">
          <cell r="A384" t="str">
            <v>Conveyor --- Gate 29</v>
          </cell>
          <cell r="B384" t="str">
            <v>Transport Gate</v>
          </cell>
        </row>
        <row r="385">
          <cell r="A385" t="str">
            <v>Conveyor --- Gate 30</v>
          </cell>
          <cell r="B385" t="str">
            <v>Transport Gate</v>
          </cell>
        </row>
        <row r="386">
          <cell r="A386" t="str">
            <v>Conveyor --- Gate 31</v>
          </cell>
          <cell r="B386" t="str">
            <v>Transport Gate</v>
          </cell>
        </row>
        <row r="387">
          <cell r="A387" t="str">
            <v>Conveyor --- Gate 32</v>
          </cell>
          <cell r="B387" t="str">
            <v>Transport Gate</v>
          </cell>
        </row>
        <row r="388">
          <cell r="A388" t="str">
            <v>Conveyor --- Gate 33</v>
          </cell>
          <cell r="B388" t="str">
            <v>Transport Gate</v>
          </cell>
        </row>
        <row r="389">
          <cell r="A389" t="str">
            <v>Conveyor --- Gate 34</v>
          </cell>
          <cell r="B389" t="str">
            <v>Transport Gate</v>
          </cell>
        </row>
        <row r="390">
          <cell r="A390" t="str">
            <v>Conveyor --- Gate 35</v>
          </cell>
          <cell r="B390" t="str">
            <v>Transport Gate</v>
          </cell>
        </row>
        <row r="391">
          <cell r="A391" t="str">
            <v>Conveyor --- Gate 36</v>
          </cell>
          <cell r="B391" t="str">
            <v>Transport Gate</v>
          </cell>
        </row>
        <row r="392">
          <cell r="A392" t="str">
            <v>Conveyor --- Gate 37</v>
          </cell>
          <cell r="B392" t="str">
            <v>Transport Gate</v>
          </cell>
        </row>
        <row r="393">
          <cell r="A393" t="str">
            <v>Conveyor --- Gate 38</v>
          </cell>
          <cell r="B393" t="str">
            <v>Transport Gate</v>
          </cell>
        </row>
        <row r="394">
          <cell r="A394" t="str">
            <v>Conveyor --- Gate 39</v>
          </cell>
          <cell r="B394" t="str">
            <v>Transport Gate</v>
          </cell>
        </row>
        <row r="395">
          <cell r="A395" t="str">
            <v>Conveyor --- Gate 40</v>
          </cell>
          <cell r="B395" t="str">
            <v>Transport Gate</v>
          </cell>
        </row>
        <row r="396">
          <cell r="A396" t="str">
            <v>Conveyor --- Gate 41</v>
          </cell>
          <cell r="B396" t="str">
            <v>Transport Gate</v>
          </cell>
        </row>
        <row r="397">
          <cell r="A397" t="str">
            <v>Conveyor --- Gate 42</v>
          </cell>
          <cell r="B397" t="str">
            <v>Transport Gate</v>
          </cell>
        </row>
        <row r="398">
          <cell r="A398" t="str">
            <v>Conveyor --- Gate 43</v>
          </cell>
          <cell r="B398" t="str">
            <v>Transport Gate</v>
          </cell>
        </row>
        <row r="399">
          <cell r="A399" t="str">
            <v>Conveyor --- Gate 44</v>
          </cell>
          <cell r="B399" t="str">
            <v>Transport Gate</v>
          </cell>
        </row>
        <row r="400">
          <cell r="A400" t="str">
            <v>Conveyor --- Gate 45</v>
          </cell>
          <cell r="B400" t="str">
            <v>Transport Gate</v>
          </cell>
        </row>
        <row r="401">
          <cell r="A401" t="str">
            <v>Conveyor --- Gate 46</v>
          </cell>
          <cell r="B401" t="str">
            <v>Transport Gate</v>
          </cell>
        </row>
        <row r="402">
          <cell r="A402" t="str">
            <v>Conveyor --- Gate 47</v>
          </cell>
          <cell r="B402" t="str">
            <v>Transport Gate</v>
          </cell>
        </row>
        <row r="403">
          <cell r="A403" t="str">
            <v>Conveyor --- Gate 48</v>
          </cell>
          <cell r="B403" t="str">
            <v>Transport Gate</v>
          </cell>
        </row>
        <row r="404">
          <cell r="A404" t="str">
            <v>Conveyor --- Gate 49</v>
          </cell>
          <cell r="B404" t="str">
            <v>Transport Gate</v>
          </cell>
        </row>
        <row r="405">
          <cell r="A405" t="str">
            <v>Conveyor --- Gate 50</v>
          </cell>
          <cell r="B405" t="str">
            <v>Transport Gate</v>
          </cell>
        </row>
        <row r="406">
          <cell r="A406" t="str">
            <v>Conveyor --- Gate 51</v>
          </cell>
          <cell r="B406" t="str">
            <v>Transport Gate</v>
          </cell>
        </row>
        <row r="407">
          <cell r="A407" t="str">
            <v>Conveyor --- Gate 52</v>
          </cell>
          <cell r="B407" t="str">
            <v>Transport Gate</v>
          </cell>
        </row>
        <row r="408">
          <cell r="A408" t="str">
            <v>Conveyor --- Gate 53</v>
          </cell>
          <cell r="B408" t="str">
            <v>Transport Gate</v>
          </cell>
        </row>
        <row r="409">
          <cell r="A409" t="str">
            <v>Conveyor --- Gate 54</v>
          </cell>
          <cell r="B409" t="str">
            <v>Transport Gate</v>
          </cell>
        </row>
        <row r="410">
          <cell r="A410" t="str">
            <v>Conveyor --- Gate 55</v>
          </cell>
          <cell r="B410" t="str">
            <v>Transport Gate</v>
          </cell>
        </row>
        <row r="411">
          <cell r="A411" t="str">
            <v>Conveyor --- Gate 56</v>
          </cell>
          <cell r="B411" t="str">
            <v>Transport Gate</v>
          </cell>
        </row>
        <row r="412">
          <cell r="A412" t="str">
            <v>Conveyor --- Gate 57</v>
          </cell>
          <cell r="B412" t="str">
            <v>Transport Gate</v>
          </cell>
        </row>
        <row r="413">
          <cell r="A413" t="str">
            <v>Conveyor --- Gate 58</v>
          </cell>
          <cell r="B413" t="str">
            <v>Transport Gate</v>
          </cell>
        </row>
        <row r="414">
          <cell r="A414" t="str">
            <v>Conveyor --- Gate 59</v>
          </cell>
          <cell r="B414" t="str">
            <v>Transport Gate</v>
          </cell>
        </row>
        <row r="415">
          <cell r="A415" t="str">
            <v>Conveyor --- Gate 60</v>
          </cell>
          <cell r="B415" t="str">
            <v>Transport Gate</v>
          </cell>
        </row>
        <row r="416">
          <cell r="A416" t="str">
            <v>Conveyor --- Gate 61</v>
          </cell>
          <cell r="B416" t="str">
            <v>Transport Gate</v>
          </cell>
        </row>
        <row r="417">
          <cell r="A417" t="str">
            <v>Conveyor --- Gate 62</v>
          </cell>
          <cell r="B417" t="str">
            <v>Transport Gate</v>
          </cell>
        </row>
        <row r="418">
          <cell r="A418" t="str">
            <v>Conveyor --- Gate 63</v>
          </cell>
          <cell r="B418" t="str">
            <v>Transport Gate</v>
          </cell>
        </row>
        <row r="419">
          <cell r="A419" t="str">
            <v>Conveyor --- Gate 64</v>
          </cell>
          <cell r="B419" t="str">
            <v>Transport Gate</v>
          </cell>
        </row>
        <row r="420">
          <cell r="A420" t="str">
            <v>Conveyor --- Gate 65</v>
          </cell>
          <cell r="B420" t="str">
            <v>Transport Gate</v>
          </cell>
        </row>
        <row r="421">
          <cell r="A421" t="str">
            <v>Conveyor --- Gate 66</v>
          </cell>
          <cell r="B421" t="str">
            <v>Transport Gate</v>
          </cell>
        </row>
        <row r="422">
          <cell r="A422" t="str">
            <v>Conveyor --- Gate 67</v>
          </cell>
          <cell r="B422" t="str">
            <v>Transport Gate</v>
          </cell>
        </row>
        <row r="423">
          <cell r="A423" t="str">
            <v>Conveyor --- Gate 68</v>
          </cell>
          <cell r="B423" t="str">
            <v>Transport Gate</v>
          </cell>
        </row>
        <row r="424">
          <cell r="A424" t="str">
            <v>Conveyor --- Gate 69</v>
          </cell>
          <cell r="B424" t="str">
            <v>Transport Gate</v>
          </cell>
        </row>
        <row r="425">
          <cell r="A425" t="str">
            <v>Conveyor --- Gate 70</v>
          </cell>
          <cell r="B425" t="str">
            <v>Transport Gate</v>
          </cell>
        </row>
        <row r="426">
          <cell r="A426" t="str">
            <v>Conveyor --- Gate 71</v>
          </cell>
          <cell r="B426" t="str">
            <v>Transport Gate</v>
          </cell>
        </row>
        <row r="427">
          <cell r="A427" t="str">
            <v>Conveyor --- Gate 72</v>
          </cell>
          <cell r="B427" t="str">
            <v>Transport Gate</v>
          </cell>
        </row>
        <row r="428">
          <cell r="A428" t="str">
            <v>Conveyor --- Gate 73</v>
          </cell>
          <cell r="B428" t="str">
            <v>Transport Gate</v>
          </cell>
        </row>
        <row r="429">
          <cell r="A429" t="str">
            <v>Conveyor --- Gate 74</v>
          </cell>
          <cell r="B429" t="str">
            <v>Transport Gate</v>
          </cell>
        </row>
        <row r="430">
          <cell r="A430" t="str">
            <v>Conveyor --- Gate 75</v>
          </cell>
          <cell r="B430" t="str">
            <v>Transport Gate</v>
          </cell>
        </row>
        <row r="431">
          <cell r="A431" t="str">
            <v>Conveyor --- Gate 76</v>
          </cell>
          <cell r="B431" t="str">
            <v>Transport Gate</v>
          </cell>
        </row>
        <row r="432">
          <cell r="A432" t="str">
            <v>Conveyor --- Gate 77</v>
          </cell>
          <cell r="B432" t="str">
            <v>Transport Gate</v>
          </cell>
        </row>
        <row r="433">
          <cell r="A433" t="str">
            <v>Conveyor --- Gate 78</v>
          </cell>
          <cell r="B433" t="str">
            <v>Transport Gate</v>
          </cell>
        </row>
        <row r="434">
          <cell r="A434" t="str">
            <v>Conveyor --- Gate 79</v>
          </cell>
          <cell r="B434" t="str">
            <v>Transport Gate</v>
          </cell>
        </row>
        <row r="435">
          <cell r="A435" t="str">
            <v>Conveyor --- Gate 80</v>
          </cell>
          <cell r="B435" t="str">
            <v>Transport Gate</v>
          </cell>
        </row>
        <row r="436">
          <cell r="A436" t="str">
            <v>Conveyor --- Reject 1</v>
          </cell>
          <cell r="B436" t="str">
            <v>Transport reject</v>
          </cell>
        </row>
        <row r="437">
          <cell r="A437" t="str">
            <v>Conveyor --- Reject 2</v>
          </cell>
          <cell r="B437" t="str">
            <v>Transport reject</v>
          </cell>
        </row>
        <row r="438">
          <cell r="A438" t="str">
            <v>Conveyor --- Reject 3</v>
          </cell>
          <cell r="B438" t="str">
            <v>Transport reject</v>
          </cell>
        </row>
        <row r="439">
          <cell r="A439" t="str">
            <v>Conveyor --- Reject 4</v>
          </cell>
          <cell r="B439" t="str">
            <v>Transport reject</v>
          </cell>
        </row>
        <row r="440">
          <cell r="A440" t="str">
            <v>Conveyor --- Reject 5</v>
          </cell>
          <cell r="B440" t="str">
            <v>Transport reject</v>
          </cell>
        </row>
        <row r="441">
          <cell r="A441" t="str">
            <v>Conveyor --- Reject 6</v>
          </cell>
          <cell r="B441" t="str">
            <v>Transport reject</v>
          </cell>
        </row>
        <row r="442">
          <cell r="A442" t="str">
            <v>Conveyor --- Reject 7</v>
          </cell>
          <cell r="B442" t="str">
            <v>Transport reject</v>
          </cell>
        </row>
        <row r="443">
          <cell r="A443" t="str">
            <v>Conveyor --- Reject 8</v>
          </cell>
          <cell r="B443" t="str">
            <v>Transport reject</v>
          </cell>
        </row>
        <row r="444">
          <cell r="A444" t="str">
            <v>Conveyor --- Reject 9</v>
          </cell>
          <cell r="B444" t="str">
            <v>Transport reject</v>
          </cell>
        </row>
        <row r="445">
          <cell r="A445" t="str">
            <v>Conveyor --- Reject 10</v>
          </cell>
          <cell r="B445" t="str">
            <v>Transport reject</v>
          </cell>
        </row>
        <row r="446">
          <cell r="A446" t="str">
            <v>Conveyor --- Reject 11</v>
          </cell>
          <cell r="B446" t="str">
            <v>Transport reject</v>
          </cell>
        </row>
        <row r="447">
          <cell r="A447" t="str">
            <v>Conveyor --- Reject 12</v>
          </cell>
          <cell r="B447" t="str">
            <v>Transport reject</v>
          </cell>
        </row>
        <row r="448">
          <cell r="A448" t="str">
            <v>Conveyor --- Reject 13</v>
          </cell>
          <cell r="B448" t="str">
            <v>Transport reject</v>
          </cell>
        </row>
        <row r="449">
          <cell r="A449" t="str">
            <v>Conveyor --- Reject 14</v>
          </cell>
          <cell r="B449" t="str">
            <v>Transport reject</v>
          </cell>
        </row>
        <row r="450">
          <cell r="A450" t="str">
            <v>Conveyor --- Reject 15</v>
          </cell>
          <cell r="B450" t="str">
            <v>Transport reject</v>
          </cell>
        </row>
        <row r="451">
          <cell r="A451" t="str">
            <v>Conveyor --- Reject 16</v>
          </cell>
          <cell r="B451" t="str">
            <v>Transport reject</v>
          </cell>
        </row>
        <row r="452">
          <cell r="A452" t="str">
            <v>Conveyor --- Reject 17</v>
          </cell>
          <cell r="B452" t="str">
            <v>Transport reject</v>
          </cell>
        </row>
        <row r="453">
          <cell r="A453" t="str">
            <v>Conveyor --- Reject 18</v>
          </cell>
          <cell r="B453" t="str">
            <v>Transport reject</v>
          </cell>
        </row>
        <row r="454">
          <cell r="A454" t="str">
            <v>Conveyor --- Reject 19</v>
          </cell>
          <cell r="B454" t="str">
            <v>Transport reject</v>
          </cell>
        </row>
        <row r="455">
          <cell r="A455" t="str">
            <v>Conveyor --- Reject 20</v>
          </cell>
          <cell r="B455" t="str">
            <v>Transport reject</v>
          </cell>
        </row>
        <row r="456">
          <cell r="A456" t="str">
            <v>Conveyor --- Reject 21</v>
          </cell>
          <cell r="B456" t="str">
            <v>Transport reject</v>
          </cell>
        </row>
        <row r="457">
          <cell r="A457" t="str">
            <v>Conveyor --- Reject 22</v>
          </cell>
          <cell r="B457" t="str">
            <v>Transport reject</v>
          </cell>
        </row>
        <row r="458">
          <cell r="A458" t="str">
            <v>Conveyor --- Reject 23</v>
          </cell>
          <cell r="B458" t="str">
            <v>Transport reject</v>
          </cell>
        </row>
        <row r="459">
          <cell r="A459" t="str">
            <v>Conveyor --- Reject 24</v>
          </cell>
          <cell r="B459" t="str">
            <v>Transport reject</v>
          </cell>
        </row>
        <row r="460">
          <cell r="A460" t="str">
            <v>Conveyor --- Reject 25</v>
          </cell>
          <cell r="B460" t="str">
            <v>Transport reject</v>
          </cell>
        </row>
        <row r="461">
          <cell r="A461" t="str">
            <v>Conveyor --- Reject 26</v>
          </cell>
          <cell r="B461" t="str">
            <v>Transport reject</v>
          </cell>
        </row>
        <row r="462">
          <cell r="A462" t="str">
            <v>Conveyor --- Reject 27</v>
          </cell>
          <cell r="B462" t="str">
            <v>Transport reject</v>
          </cell>
        </row>
        <row r="463">
          <cell r="A463" t="str">
            <v>Conveyor --- Reject 28</v>
          </cell>
          <cell r="B463" t="str">
            <v>Transport reject</v>
          </cell>
        </row>
        <row r="464">
          <cell r="A464" t="str">
            <v>Conveyor --- Reject 29</v>
          </cell>
          <cell r="B464" t="str">
            <v>Transport reject</v>
          </cell>
        </row>
        <row r="465">
          <cell r="A465" t="str">
            <v>Conveyor --- Reject 30</v>
          </cell>
          <cell r="B465" t="str">
            <v>Transport reject</v>
          </cell>
        </row>
        <row r="466">
          <cell r="A466" t="str">
            <v>Conveyor --- Reject 31</v>
          </cell>
          <cell r="B466" t="str">
            <v>Transport reject</v>
          </cell>
        </row>
        <row r="467">
          <cell r="A467" t="str">
            <v>Conveyor --- Reject 32</v>
          </cell>
          <cell r="B467" t="str">
            <v>Transport reject</v>
          </cell>
        </row>
        <row r="468">
          <cell r="A468" t="str">
            <v>Conveyor --- Reject 33</v>
          </cell>
          <cell r="B468" t="str">
            <v>Transport reject</v>
          </cell>
        </row>
        <row r="469">
          <cell r="A469" t="str">
            <v>Conveyor --- Reject 34</v>
          </cell>
          <cell r="B469" t="str">
            <v>Transport reject</v>
          </cell>
        </row>
        <row r="470">
          <cell r="A470" t="str">
            <v>Conveyor --- Reject 35</v>
          </cell>
          <cell r="B470" t="str">
            <v>Transport reject</v>
          </cell>
        </row>
        <row r="471">
          <cell r="A471" t="str">
            <v>Conveyor --- Reject 36</v>
          </cell>
          <cell r="B471" t="str">
            <v>Transport reject</v>
          </cell>
        </row>
        <row r="472">
          <cell r="A472" t="str">
            <v>Conveyor --- Reject 37</v>
          </cell>
          <cell r="B472" t="str">
            <v>Transport reject</v>
          </cell>
        </row>
        <row r="473">
          <cell r="A473" t="str">
            <v>Conveyor --- Reject 38</v>
          </cell>
          <cell r="B473" t="str">
            <v>Transport reject</v>
          </cell>
        </row>
        <row r="474">
          <cell r="A474" t="str">
            <v>Conveyor --- Reject 39</v>
          </cell>
          <cell r="B474" t="str">
            <v>Transport reject</v>
          </cell>
        </row>
        <row r="475">
          <cell r="A475" t="str">
            <v>Conveyor --- Reject 40</v>
          </cell>
          <cell r="B475" t="str">
            <v>Transport reject</v>
          </cell>
        </row>
        <row r="476">
          <cell r="A476" t="str">
            <v>Conveyor --- Reject 41</v>
          </cell>
          <cell r="B476" t="str">
            <v>Transport reject</v>
          </cell>
        </row>
        <row r="477">
          <cell r="A477" t="str">
            <v>Conveyor --- Reject 42</v>
          </cell>
          <cell r="B477" t="str">
            <v>Transport reject</v>
          </cell>
        </row>
        <row r="478">
          <cell r="A478" t="str">
            <v>Conveyor --- Reject 43</v>
          </cell>
          <cell r="B478" t="str">
            <v>Transport reject</v>
          </cell>
        </row>
        <row r="479">
          <cell r="A479" t="str">
            <v>Conveyor --- Reject 44</v>
          </cell>
          <cell r="B479" t="str">
            <v>Transport reject</v>
          </cell>
        </row>
        <row r="480">
          <cell r="A480" t="str">
            <v>Conveyor --- Reject 45</v>
          </cell>
          <cell r="B480" t="str">
            <v>Transport reject</v>
          </cell>
        </row>
        <row r="481">
          <cell r="A481" t="str">
            <v>Conveyor --- Reject 46</v>
          </cell>
          <cell r="B481" t="str">
            <v>Transport reject</v>
          </cell>
        </row>
        <row r="482">
          <cell r="A482" t="str">
            <v>Conveyor --- Reject 47</v>
          </cell>
          <cell r="B482" t="str">
            <v>Transport reject</v>
          </cell>
        </row>
        <row r="483">
          <cell r="A483" t="str">
            <v>Conveyor --- Reject 48</v>
          </cell>
          <cell r="B483" t="str">
            <v>Transport reject</v>
          </cell>
        </row>
        <row r="484">
          <cell r="A484" t="str">
            <v>Conveyor --- Reject 49</v>
          </cell>
          <cell r="B484" t="str">
            <v>Transport reject</v>
          </cell>
        </row>
        <row r="485">
          <cell r="A485" t="str">
            <v>Conveyor --- Reject 50</v>
          </cell>
          <cell r="B485" t="str">
            <v>Transport reject</v>
          </cell>
        </row>
        <row r="486">
          <cell r="A486" t="str">
            <v>Conveyor --- Reject 51</v>
          </cell>
          <cell r="B486" t="str">
            <v>Transport reject</v>
          </cell>
        </row>
        <row r="487">
          <cell r="A487" t="str">
            <v>Conveyor --- Reject 52</v>
          </cell>
          <cell r="B487" t="str">
            <v>Transport reject</v>
          </cell>
        </row>
        <row r="488">
          <cell r="A488" t="str">
            <v>Conveyor --- Reject 53</v>
          </cell>
          <cell r="B488" t="str">
            <v>Transport reject</v>
          </cell>
        </row>
        <row r="489">
          <cell r="A489" t="str">
            <v>Conveyor --- Reject 54</v>
          </cell>
          <cell r="B489" t="str">
            <v>Transport reject</v>
          </cell>
        </row>
        <row r="490">
          <cell r="A490" t="str">
            <v>Conveyor --- Reject 55</v>
          </cell>
          <cell r="B490" t="str">
            <v>Transport reject</v>
          </cell>
        </row>
        <row r="491">
          <cell r="A491" t="str">
            <v>Conveyor --- Reject 56</v>
          </cell>
          <cell r="B491" t="str">
            <v>Transport reject</v>
          </cell>
        </row>
        <row r="492">
          <cell r="A492" t="str">
            <v>Conveyor --- Reject 57</v>
          </cell>
          <cell r="B492" t="str">
            <v>Transport reject</v>
          </cell>
        </row>
        <row r="493">
          <cell r="A493" t="str">
            <v>Conveyor --- Reject 58</v>
          </cell>
          <cell r="B493" t="str">
            <v>Transport reject</v>
          </cell>
        </row>
        <row r="494">
          <cell r="A494" t="str">
            <v>Conveyor --- Reject 59</v>
          </cell>
          <cell r="B494" t="str">
            <v>Transport reject</v>
          </cell>
        </row>
        <row r="495">
          <cell r="A495" t="str">
            <v>Conveyor --- Reject 60</v>
          </cell>
          <cell r="B495" t="str">
            <v>Transport reject</v>
          </cell>
        </row>
        <row r="496">
          <cell r="A496" t="str">
            <v>Conveyor --- Reject 61</v>
          </cell>
          <cell r="B496" t="str">
            <v>Transport reject</v>
          </cell>
        </row>
        <row r="497">
          <cell r="A497" t="str">
            <v>Conveyor --- Reject 62</v>
          </cell>
          <cell r="B497" t="str">
            <v>Transport reject</v>
          </cell>
        </row>
        <row r="498">
          <cell r="A498" t="str">
            <v>Conveyor --- Reject 63</v>
          </cell>
          <cell r="B498" t="str">
            <v>Transport reject</v>
          </cell>
        </row>
        <row r="499">
          <cell r="A499" t="str">
            <v>Conveyor --- Reject 64</v>
          </cell>
          <cell r="B499" t="str">
            <v>Transport reject</v>
          </cell>
        </row>
        <row r="500">
          <cell r="A500" t="str">
            <v>Conveyor --- Reject 65</v>
          </cell>
          <cell r="B500" t="str">
            <v>Transport reject</v>
          </cell>
        </row>
        <row r="501">
          <cell r="A501" t="str">
            <v>Conveyor --- Reject 66</v>
          </cell>
          <cell r="B501" t="str">
            <v>Transport reject</v>
          </cell>
        </row>
        <row r="502">
          <cell r="A502" t="str">
            <v>Conveyor --- Reject 67</v>
          </cell>
          <cell r="B502" t="str">
            <v>Transport reject</v>
          </cell>
        </row>
        <row r="503">
          <cell r="A503" t="str">
            <v>Conveyor --- Reject 68</v>
          </cell>
          <cell r="B503" t="str">
            <v>Transport reject</v>
          </cell>
        </row>
        <row r="504">
          <cell r="A504" t="str">
            <v>Conveyor --- Reject 69</v>
          </cell>
          <cell r="B504" t="str">
            <v>Transport reject</v>
          </cell>
        </row>
        <row r="505">
          <cell r="A505" t="str">
            <v>Conveyor --- Reject 70</v>
          </cell>
          <cell r="B505" t="str">
            <v>Transport reject</v>
          </cell>
        </row>
        <row r="506">
          <cell r="A506" t="str">
            <v>Conveyor --- Reject 71</v>
          </cell>
          <cell r="B506" t="str">
            <v>Transport reject</v>
          </cell>
        </row>
        <row r="507">
          <cell r="A507" t="str">
            <v>Conveyor --- Reject 72</v>
          </cell>
          <cell r="B507" t="str">
            <v>Transport reject</v>
          </cell>
        </row>
        <row r="508">
          <cell r="A508" t="str">
            <v>Conveyor --- Reject 73</v>
          </cell>
          <cell r="B508" t="str">
            <v>Transport reject</v>
          </cell>
        </row>
        <row r="509">
          <cell r="A509" t="str">
            <v>Conveyor --- Reject 74</v>
          </cell>
          <cell r="B509" t="str">
            <v>Transport reject</v>
          </cell>
        </row>
        <row r="510">
          <cell r="A510" t="str">
            <v>Conveyor --- Reject 75</v>
          </cell>
          <cell r="B510" t="str">
            <v>Transport reject</v>
          </cell>
        </row>
        <row r="511">
          <cell r="A511" t="str">
            <v>Conveyor --- Reject 76</v>
          </cell>
          <cell r="B511" t="str">
            <v>Transport reject</v>
          </cell>
        </row>
        <row r="512">
          <cell r="A512" t="str">
            <v>Conveyor --- Reject 77</v>
          </cell>
          <cell r="B512" t="str">
            <v>Transport reject</v>
          </cell>
        </row>
        <row r="513">
          <cell r="A513" t="str">
            <v>Conveyor --- Reject 78</v>
          </cell>
          <cell r="B513" t="str">
            <v>Transport reject</v>
          </cell>
        </row>
        <row r="514">
          <cell r="A514" t="str">
            <v>Conveyor --- Reject 79</v>
          </cell>
          <cell r="B514" t="str">
            <v>Transport reject</v>
          </cell>
        </row>
        <row r="515">
          <cell r="A515" t="str">
            <v>Conveyor --- Reject 80</v>
          </cell>
          <cell r="B515" t="str">
            <v>Transport reject</v>
          </cell>
        </row>
        <row r="516">
          <cell r="A516" t="str">
            <v>Conveyor --- Reject 1 Dual Lane</v>
          </cell>
          <cell r="B516" t="str">
            <v>Transport reject</v>
          </cell>
        </row>
        <row r="517">
          <cell r="A517" t="str">
            <v>Conveyor --- Reject 2 Dual Lane</v>
          </cell>
          <cell r="B517" t="str">
            <v>Transport reject</v>
          </cell>
        </row>
        <row r="518">
          <cell r="A518" t="str">
            <v>Conveyor --- Reject 3 Dual Lane</v>
          </cell>
          <cell r="B518" t="str">
            <v>Transport reject</v>
          </cell>
        </row>
        <row r="519">
          <cell r="A519" t="str">
            <v>Conveyor --- Reject 4 Dual Lane</v>
          </cell>
          <cell r="B519" t="str">
            <v>Transport reject</v>
          </cell>
        </row>
        <row r="520">
          <cell r="A520" t="str">
            <v>Conveyor --- Reject 5 Dual Lane</v>
          </cell>
          <cell r="B520" t="str">
            <v>Transport reject</v>
          </cell>
        </row>
        <row r="521">
          <cell r="A521" t="str">
            <v>Conveyor --- Reject 6 Dual Lane</v>
          </cell>
          <cell r="B521" t="str">
            <v>Transport reject</v>
          </cell>
        </row>
        <row r="522">
          <cell r="A522" t="str">
            <v>Conveyor --- Reject 7 Dual Lane</v>
          </cell>
          <cell r="B522" t="str">
            <v>Transport reject</v>
          </cell>
        </row>
        <row r="523">
          <cell r="A523" t="str">
            <v>Conveyor --- Reject 8 Dual Lane</v>
          </cell>
          <cell r="B523" t="str">
            <v>Transport reject</v>
          </cell>
        </row>
        <row r="524">
          <cell r="A524" t="str">
            <v>Conveyor --- Reject 9 Dual Lane</v>
          </cell>
          <cell r="B524" t="str">
            <v>Transport reject</v>
          </cell>
        </row>
        <row r="525">
          <cell r="A525" t="str">
            <v>Conveyor --- Reject 10 Dual Lane</v>
          </cell>
          <cell r="B525" t="str">
            <v>Transport reject</v>
          </cell>
        </row>
        <row r="526">
          <cell r="A526" t="str">
            <v>Conveyor --- Reject 11 Dual Lane</v>
          </cell>
          <cell r="B526" t="str">
            <v>Transport reject</v>
          </cell>
        </row>
        <row r="527">
          <cell r="A527" t="str">
            <v>Conveyor --- Reject 12 Dual Lane</v>
          </cell>
          <cell r="B527" t="str">
            <v>Transport reject</v>
          </cell>
        </row>
        <row r="528">
          <cell r="A528" t="str">
            <v>Conveyor --- Reject 13 Dual Lane</v>
          </cell>
          <cell r="B528" t="str">
            <v>Transport reject</v>
          </cell>
        </row>
        <row r="529">
          <cell r="A529" t="str">
            <v>Conveyor --- Reject 14 Dual Lane</v>
          </cell>
          <cell r="B529" t="str">
            <v>Transport reject</v>
          </cell>
        </row>
        <row r="530">
          <cell r="A530" t="str">
            <v>Conveyor --- Reject 15 Dual Lane</v>
          </cell>
          <cell r="B530" t="str">
            <v>Transport reject</v>
          </cell>
        </row>
        <row r="531">
          <cell r="A531" t="str">
            <v>Conveyor --- Reject 16 Dual Lane</v>
          </cell>
          <cell r="B531" t="str">
            <v>Transport reject</v>
          </cell>
        </row>
        <row r="532">
          <cell r="A532" t="str">
            <v>Conveyor --- Reject 17 Dual Lane</v>
          </cell>
          <cell r="B532" t="str">
            <v>Transport reject</v>
          </cell>
        </row>
        <row r="533">
          <cell r="A533" t="str">
            <v>Conveyor --- Reject 18 Dual Lane</v>
          </cell>
          <cell r="B533" t="str">
            <v>Transport reject</v>
          </cell>
        </row>
        <row r="534">
          <cell r="A534" t="str">
            <v>Conveyor --- Reject 19 Dual Lane</v>
          </cell>
          <cell r="B534" t="str">
            <v>Transport reject</v>
          </cell>
        </row>
        <row r="535">
          <cell r="A535" t="str">
            <v>Conveyor --- Reject 20 Dual Lane</v>
          </cell>
          <cell r="B535" t="str">
            <v>Transport reject</v>
          </cell>
        </row>
        <row r="536">
          <cell r="A536" t="str">
            <v>Conveyor --- Reject 21 Dual Lane</v>
          </cell>
          <cell r="B536" t="str">
            <v>Transport reject</v>
          </cell>
        </row>
        <row r="537">
          <cell r="A537" t="str">
            <v>Conveyor --- Reject 22 Dual Lane</v>
          </cell>
          <cell r="B537" t="str">
            <v>Transport reject</v>
          </cell>
        </row>
        <row r="538">
          <cell r="A538" t="str">
            <v>Conveyor --- Reject 23 Dual Lane</v>
          </cell>
          <cell r="B538" t="str">
            <v>Transport reject</v>
          </cell>
        </row>
        <row r="539">
          <cell r="A539" t="str">
            <v>Conveyor --- Reject 24 Dual Lane</v>
          </cell>
          <cell r="B539" t="str">
            <v>Transport reject</v>
          </cell>
        </row>
        <row r="540">
          <cell r="A540" t="str">
            <v>Conveyor --- Reject 25 Dual Lane</v>
          </cell>
          <cell r="B540" t="str">
            <v>Transport reject</v>
          </cell>
        </row>
        <row r="541">
          <cell r="A541" t="str">
            <v>Conveyor --- Reject 26 Dual Lane</v>
          </cell>
          <cell r="B541" t="str">
            <v>Transport reject</v>
          </cell>
        </row>
        <row r="542">
          <cell r="A542" t="str">
            <v>Conveyor --- Reject 27 Dual Lane</v>
          </cell>
          <cell r="B542" t="str">
            <v>Transport reject</v>
          </cell>
        </row>
        <row r="543">
          <cell r="A543" t="str">
            <v>Conveyor --- Reject 28 Dual Lane</v>
          </cell>
          <cell r="B543" t="str">
            <v>Transport reject</v>
          </cell>
        </row>
        <row r="544">
          <cell r="A544" t="str">
            <v>Conveyor --- Reject 29 Dual Lane</v>
          </cell>
          <cell r="B544" t="str">
            <v>Transport reject</v>
          </cell>
        </row>
        <row r="545">
          <cell r="A545" t="str">
            <v>Conveyor --- Reject 30 Dual Lane</v>
          </cell>
          <cell r="B545" t="str">
            <v>Transport reject</v>
          </cell>
        </row>
        <row r="546">
          <cell r="A546" t="str">
            <v>Conveyor --- Reject 31 Dual Lane</v>
          </cell>
          <cell r="B546" t="str">
            <v>Transport reject</v>
          </cell>
        </row>
        <row r="547">
          <cell r="A547" t="str">
            <v>Conveyor --- Reject 32 Dual Lane</v>
          </cell>
          <cell r="B547" t="str">
            <v>Transport reject</v>
          </cell>
        </row>
        <row r="548">
          <cell r="A548" t="str">
            <v>Conveyor --- Reject 33 Dual Lane</v>
          </cell>
          <cell r="B548" t="str">
            <v>Transport reject</v>
          </cell>
        </row>
        <row r="549">
          <cell r="A549" t="str">
            <v>Conveyor --- Reject 34 Dual Lane</v>
          </cell>
          <cell r="B549" t="str">
            <v>Transport reject</v>
          </cell>
        </row>
        <row r="550">
          <cell r="A550" t="str">
            <v>Conveyor --- Reject 35 Dual Lane</v>
          </cell>
          <cell r="B550" t="str">
            <v>Transport reject</v>
          </cell>
        </row>
        <row r="551">
          <cell r="A551" t="str">
            <v>Conveyor --- Reject 36 Dual Lane</v>
          </cell>
          <cell r="B551" t="str">
            <v>Transport reject</v>
          </cell>
        </row>
        <row r="552">
          <cell r="A552" t="str">
            <v>Conveyor --- Reject 37 Dual Lane</v>
          </cell>
          <cell r="B552" t="str">
            <v>Transport reject</v>
          </cell>
        </row>
        <row r="553">
          <cell r="A553" t="str">
            <v>Conveyor --- Reject 38 Dual Lane</v>
          </cell>
          <cell r="B553" t="str">
            <v>Transport reject</v>
          </cell>
        </row>
        <row r="554">
          <cell r="A554" t="str">
            <v>Conveyor --- Reject 39 Dual Lane</v>
          </cell>
          <cell r="B554" t="str">
            <v>Transport reject</v>
          </cell>
        </row>
        <row r="555">
          <cell r="A555" t="str">
            <v>Conveyor --- Reject 40 Dual Lane</v>
          </cell>
          <cell r="B555" t="str">
            <v>Transport reject</v>
          </cell>
        </row>
        <row r="556">
          <cell r="A556" t="str">
            <v>Conveyor --- Shuttle 1</v>
          </cell>
          <cell r="B556" t="str">
            <v>Transport Shuttle</v>
          </cell>
        </row>
        <row r="557">
          <cell r="A557" t="str">
            <v>Conveyor --- Shuttle 2</v>
          </cell>
          <cell r="B557" t="str">
            <v>Transport Shuttle</v>
          </cell>
        </row>
        <row r="558">
          <cell r="A558" t="str">
            <v>Conveyor --- Shuttle 3</v>
          </cell>
          <cell r="B558" t="str">
            <v>Transport Shuttle</v>
          </cell>
        </row>
        <row r="559">
          <cell r="A559" t="str">
            <v>Conveyor --- Shuttle 4</v>
          </cell>
          <cell r="B559" t="str">
            <v>Transport Shuttle</v>
          </cell>
        </row>
        <row r="560">
          <cell r="A560" t="str">
            <v>Conveyor --- Shuttle 5</v>
          </cell>
          <cell r="B560" t="str">
            <v>Transport Shuttle</v>
          </cell>
        </row>
        <row r="561">
          <cell r="A561" t="str">
            <v>Conveyor --- Shuttle 6</v>
          </cell>
          <cell r="B561" t="str">
            <v>Transport Shuttle</v>
          </cell>
        </row>
        <row r="562">
          <cell r="A562" t="str">
            <v>Conveyor --- Shuttle 7</v>
          </cell>
          <cell r="B562" t="str">
            <v>Transport Shuttle</v>
          </cell>
        </row>
        <row r="563">
          <cell r="A563" t="str">
            <v>Conveyor --- Shuttle 8</v>
          </cell>
          <cell r="B563" t="str">
            <v>Transport Shuttle</v>
          </cell>
        </row>
        <row r="564">
          <cell r="A564" t="str">
            <v>Conveyor --- Shuttle 9</v>
          </cell>
          <cell r="B564" t="str">
            <v>Transport Shuttle</v>
          </cell>
        </row>
        <row r="565">
          <cell r="A565" t="str">
            <v>Conveyor --- Shuttle 10</v>
          </cell>
          <cell r="B565" t="str">
            <v>Transport Shuttle</v>
          </cell>
        </row>
        <row r="566">
          <cell r="A566" t="str">
            <v>Conveyor --- Shuttle 11</v>
          </cell>
          <cell r="B566" t="str">
            <v>Transport Shuttle</v>
          </cell>
        </row>
        <row r="567">
          <cell r="A567" t="str">
            <v>Conveyor --- Shuttle 12</v>
          </cell>
          <cell r="B567" t="str">
            <v>Transport Shuttle</v>
          </cell>
        </row>
        <row r="568">
          <cell r="A568" t="str">
            <v>Conveyor --- Shuttle 13</v>
          </cell>
          <cell r="B568" t="str">
            <v>Transport Shuttle</v>
          </cell>
        </row>
        <row r="569">
          <cell r="A569" t="str">
            <v>Conveyor --- Shuttle 14</v>
          </cell>
          <cell r="B569" t="str">
            <v>Transport Shuttle</v>
          </cell>
        </row>
        <row r="570">
          <cell r="A570" t="str">
            <v>Conveyor --- Shuttle 15</v>
          </cell>
          <cell r="B570" t="str">
            <v>Transport Shuttle</v>
          </cell>
        </row>
        <row r="571">
          <cell r="A571" t="str">
            <v>Conveyor --- Shuttle 16</v>
          </cell>
          <cell r="B571" t="str">
            <v>Transport Shuttle</v>
          </cell>
        </row>
        <row r="572">
          <cell r="A572" t="str">
            <v>Conveyor --- Shuttle 17</v>
          </cell>
          <cell r="B572" t="str">
            <v>Transport Shuttle</v>
          </cell>
        </row>
        <row r="573">
          <cell r="A573" t="str">
            <v>Conveyor --- Shuttle 18</v>
          </cell>
          <cell r="B573" t="str">
            <v>Transport Shuttle</v>
          </cell>
        </row>
        <row r="574">
          <cell r="A574" t="str">
            <v>Conveyor --- Shuttle 19</v>
          </cell>
          <cell r="B574" t="str">
            <v>Transport Shuttle</v>
          </cell>
        </row>
        <row r="575">
          <cell r="A575" t="str">
            <v>Conveyor --- Shuttle 20</v>
          </cell>
          <cell r="B575" t="str">
            <v>Transport Shuttle</v>
          </cell>
        </row>
        <row r="576">
          <cell r="A576" t="str">
            <v>Conveyor --- Shuttle 21</v>
          </cell>
          <cell r="B576" t="str">
            <v>Transport Shuttle</v>
          </cell>
        </row>
        <row r="577">
          <cell r="A577" t="str">
            <v>Conveyor --- Shuttle 22</v>
          </cell>
          <cell r="B577" t="str">
            <v>Transport Shuttle</v>
          </cell>
        </row>
        <row r="578">
          <cell r="A578" t="str">
            <v>Conveyor --- Shuttle 23</v>
          </cell>
          <cell r="B578" t="str">
            <v>Transport Shuttle</v>
          </cell>
        </row>
        <row r="579">
          <cell r="A579" t="str">
            <v>Conveyor --- Shuttle 24</v>
          </cell>
          <cell r="B579" t="str">
            <v>Transport Shuttle</v>
          </cell>
        </row>
        <row r="580">
          <cell r="A580" t="str">
            <v>Conveyor --- Shuttle 25</v>
          </cell>
          <cell r="B580" t="str">
            <v>Transport Shuttle</v>
          </cell>
        </row>
        <row r="581">
          <cell r="A581" t="str">
            <v>Conveyor --- Shuttle 26</v>
          </cell>
          <cell r="B581" t="str">
            <v>Transport Shuttle</v>
          </cell>
        </row>
        <row r="582">
          <cell r="A582" t="str">
            <v>Conveyor --- Shuttle 27</v>
          </cell>
          <cell r="B582" t="str">
            <v>Transport Shuttle</v>
          </cell>
        </row>
        <row r="583">
          <cell r="A583" t="str">
            <v>Conveyor --- Shuttle 28</v>
          </cell>
          <cell r="B583" t="str">
            <v>Transport Shuttle</v>
          </cell>
        </row>
        <row r="584">
          <cell r="A584" t="str">
            <v>Conveyor --- Shuttle 29</v>
          </cell>
          <cell r="B584" t="str">
            <v>Transport Shuttle</v>
          </cell>
        </row>
        <row r="585">
          <cell r="A585" t="str">
            <v>Conveyor --- Shuttle 30</v>
          </cell>
          <cell r="B585" t="str">
            <v>Transport Shuttle</v>
          </cell>
        </row>
        <row r="586">
          <cell r="A586" t="str">
            <v>Conveyor --- Shuttle 31</v>
          </cell>
          <cell r="B586" t="str">
            <v>Transport Shuttle</v>
          </cell>
        </row>
        <row r="587">
          <cell r="A587" t="str">
            <v>Conveyor --- Shuttle 32</v>
          </cell>
          <cell r="B587" t="str">
            <v>Transport Shuttle</v>
          </cell>
        </row>
        <row r="588">
          <cell r="A588" t="str">
            <v>Conveyor --- Shuttle 33</v>
          </cell>
          <cell r="B588" t="str">
            <v>Transport Shuttle</v>
          </cell>
        </row>
        <row r="589">
          <cell r="A589" t="str">
            <v>Conveyor --- Shuttle 34</v>
          </cell>
          <cell r="B589" t="str">
            <v>Transport Shuttle</v>
          </cell>
        </row>
        <row r="590">
          <cell r="A590" t="str">
            <v>Conveyor --- Shuttle 35</v>
          </cell>
          <cell r="B590" t="str">
            <v>Transport Shuttle</v>
          </cell>
        </row>
        <row r="591">
          <cell r="A591" t="str">
            <v>Conveyor --- Shuttle 36</v>
          </cell>
          <cell r="B591" t="str">
            <v>Transport Shuttle</v>
          </cell>
        </row>
        <row r="592">
          <cell r="A592" t="str">
            <v>Conveyor --- Shuttle 37</v>
          </cell>
          <cell r="B592" t="str">
            <v>Transport Shuttle</v>
          </cell>
        </row>
        <row r="593">
          <cell r="A593" t="str">
            <v>Conveyor --- Shuttle 38</v>
          </cell>
          <cell r="B593" t="str">
            <v>Transport Shuttle</v>
          </cell>
        </row>
        <row r="594">
          <cell r="A594" t="str">
            <v>Conveyor --- Shuttle 39</v>
          </cell>
          <cell r="B594" t="str">
            <v>Transport Shuttle</v>
          </cell>
        </row>
        <row r="595">
          <cell r="A595" t="str">
            <v>Conveyor --- Shuttle 40</v>
          </cell>
          <cell r="B595" t="str">
            <v>Transport Shuttle</v>
          </cell>
        </row>
        <row r="596">
          <cell r="A596" t="str">
            <v>Conveyor --- Shuttle 1 Dual Lane</v>
          </cell>
          <cell r="B596" t="str">
            <v>Transport Shuttle</v>
          </cell>
        </row>
        <row r="597">
          <cell r="A597" t="str">
            <v>Conveyor --- Shuttle 2 Dual Lane</v>
          </cell>
          <cell r="B597" t="str">
            <v>Transport Shuttle</v>
          </cell>
        </row>
        <row r="598">
          <cell r="A598" t="str">
            <v>Conveyor --- Shuttle 3 Dual Lane</v>
          </cell>
          <cell r="B598" t="str">
            <v>Transport Shuttle</v>
          </cell>
        </row>
        <row r="599">
          <cell r="A599" t="str">
            <v>Conveyor --- Shuttle 4 Dual Lane</v>
          </cell>
          <cell r="B599" t="str">
            <v>Transport Shuttle</v>
          </cell>
        </row>
        <row r="600">
          <cell r="A600" t="str">
            <v>Conveyor --- Shuttle 5 Dual Lane</v>
          </cell>
          <cell r="B600" t="str">
            <v>Transport Shuttle</v>
          </cell>
        </row>
        <row r="601">
          <cell r="A601" t="str">
            <v>Conveyor --- Shuttle 6 Dual Lane</v>
          </cell>
          <cell r="B601" t="str">
            <v>Transport Shuttle</v>
          </cell>
        </row>
        <row r="602">
          <cell r="A602" t="str">
            <v>Conveyor --- Shuttle 7 Dual Lane</v>
          </cell>
          <cell r="B602" t="str">
            <v>Transport Shuttle</v>
          </cell>
        </row>
        <row r="603">
          <cell r="A603" t="str">
            <v>Conveyor --- Shuttle 8 Dual Lane</v>
          </cell>
          <cell r="B603" t="str">
            <v>Transport Shuttle</v>
          </cell>
        </row>
        <row r="604">
          <cell r="A604" t="str">
            <v>Conveyor --- Shuttle 9 Dual Lane</v>
          </cell>
          <cell r="B604" t="str">
            <v>Transport Shuttle</v>
          </cell>
        </row>
        <row r="605">
          <cell r="A605" t="str">
            <v>Conveyor --- Shuttle 10 Dual Lane</v>
          </cell>
          <cell r="B605" t="str">
            <v>Transport Shuttle</v>
          </cell>
        </row>
        <row r="606">
          <cell r="A606" t="str">
            <v>Conveyor --- Shuttle 11 Dual Lane</v>
          </cell>
          <cell r="B606" t="str">
            <v>Transport Shuttle</v>
          </cell>
        </row>
        <row r="607">
          <cell r="A607" t="str">
            <v>Conveyor --- Shuttle 12 Dual Lane</v>
          </cell>
          <cell r="B607" t="str">
            <v>Transport Shuttle</v>
          </cell>
        </row>
        <row r="608">
          <cell r="A608" t="str">
            <v>Conveyor --- Shuttle 13 Dual Lane</v>
          </cell>
          <cell r="B608" t="str">
            <v>Transport Shuttle</v>
          </cell>
        </row>
        <row r="609">
          <cell r="A609" t="str">
            <v>Conveyor --- Shuttle 14 Dual Lane</v>
          </cell>
          <cell r="B609" t="str">
            <v>Transport Shuttle</v>
          </cell>
        </row>
        <row r="610">
          <cell r="A610" t="str">
            <v>Conveyor --- Shuttle 15 Dual Lane</v>
          </cell>
          <cell r="B610" t="str">
            <v>Transport Shuttle</v>
          </cell>
        </row>
        <row r="611">
          <cell r="A611" t="str">
            <v>Conveyor --- Shuttle 16 Dual Lane</v>
          </cell>
          <cell r="B611" t="str">
            <v>Transport Shuttle</v>
          </cell>
        </row>
        <row r="612">
          <cell r="A612" t="str">
            <v>Conveyor --- Shuttle 17 Dual Lane</v>
          </cell>
          <cell r="B612" t="str">
            <v>Transport Shuttle</v>
          </cell>
        </row>
        <row r="613">
          <cell r="A613" t="str">
            <v>Conveyor --- Shuttle 18 Dual Lane</v>
          </cell>
          <cell r="B613" t="str">
            <v>Transport Shuttle</v>
          </cell>
        </row>
        <row r="614">
          <cell r="A614" t="str">
            <v>Conveyor --- Shuttle 19 Dual Lane</v>
          </cell>
          <cell r="B614" t="str">
            <v>Transport Shuttle</v>
          </cell>
        </row>
        <row r="615">
          <cell r="A615" t="str">
            <v>Conveyor --- Shuttle 20 Dual Lane</v>
          </cell>
          <cell r="B615" t="str">
            <v>Transport Shuttle</v>
          </cell>
        </row>
        <row r="616">
          <cell r="A616" t="str">
            <v>Conveyor --- Shuttle 21 Dual Lane</v>
          </cell>
          <cell r="B616" t="str">
            <v>Transport Shuttle</v>
          </cell>
        </row>
        <row r="617">
          <cell r="A617" t="str">
            <v>Conveyor --- Shuttle 22 Dual Lane</v>
          </cell>
          <cell r="B617" t="str">
            <v>Transport Shuttle</v>
          </cell>
        </row>
        <row r="618">
          <cell r="A618" t="str">
            <v>Conveyor --- Shuttle 23 Dual Lane</v>
          </cell>
          <cell r="B618" t="str">
            <v>Transport Shuttle</v>
          </cell>
        </row>
        <row r="619">
          <cell r="A619" t="str">
            <v>Conveyor --- Shuttle 24 Dual Lane</v>
          </cell>
          <cell r="B619" t="str">
            <v>Transport Shuttle</v>
          </cell>
        </row>
        <row r="620">
          <cell r="A620" t="str">
            <v>Conveyor --- Shuttle 25 Dual Lane</v>
          </cell>
          <cell r="B620" t="str">
            <v>Transport Shuttle</v>
          </cell>
        </row>
        <row r="621">
          <cell r="A621" t="str">
            <v>Conveyor --- Shuttle 26 Dual Lane</v>
          </cell>
          <cell r="B621" t="str">
            <v>Transport Shuttle</v>
          </cell>
        </row>
        <row r="622">
          <cell r="A622" t="str">
            <v>Conveyor --- Shuttle 27 Dual Lane</v>
          </cell>
          <cell r="B622" t="str">
            <v>Transport Shuttle</v>
          </cell>
        </row>
        <row r="623">
          <cell r="A623" t="str">
            <v>Conveyor --- Shuttle 28 Dual Lane</v>
          </cell>
          <cell r="B623" t="str">
            <v>Transport Shuttle</v>
          </cell>
        </row>
        <row r="624">
          <cell r="A624" t="str">
            <v>Conveyor --- Shuttle 29 Dual Lane</v>
          </cell>
          <cell r="B624" t="str">
            <v>Transport Shuttle</v>
          </cell>
        </row>
        <row r="625">
          <cell r="A625" t="str">
            <v>Conveyor --- Shuttle 30 Dual Lane</v>
          </cell>
          <cell r="B625" t="str">
            <v>Transport Shuttle</v>
          </cell>
        </row>
        <row r="626">
          <cell r="A626" t="str">
            <v>Conveyor --- Shuttle 31 Dual Lane</v>
          </cell>
          <cell r="B626" t="str">
            <v>Transport Shuttle</v>
          </cell>
        </row>
        <row r="627">
          <cell r="A627" t="str">
            <v>Conveyor --- Shuttle 32 Dual Lane</v>
          </cell>
          <cell r="B627" t="str">
            <v>Transport Shuttle</v>
          </cell>
        </row>
        <row r="628">
          <cell r="A628" t="str">
            <v>Conveyor --- Shuttle 33 Dual Lane</v>
          </cell>
          <cell r="B628" t="str">
            <v>Transport Shuttle</v>
          </cell>
        </row>
        <row r="629">
          <cell r="A629" t="str">
            <v>Conveyor --- Shuttle 34 Dual Lane</v>
          </cell>
          <cell r="B629" t="str">
            <v>Transport Shuttle</v>
          </cell>
        </row>
        <row r="630">
          <cell r="A630" t="str">
            <v>Conveyor --- Shuttle 35 Dual Lane</v>
          </cell>
          <cell r="B630" t="str">
            <v>Transport Shuttle</v>
          </cell>
        </row>
        <row r="631">
          <cell r="A631" t="str">
            <v>Conveyor --- Shuttle 36 Dual Lane</v>
          </cell>
          <cell r="B631" t="str">
            <v>Transport Shuttle</v>
          </cell>
        </row>
        <row r="632">
          <cell r="A632" t="str">
            <v>Conveyor --- Shuttle 37 Dual Lane</v>
          </cell>
          <cell r="B632" t="str">
            <v>Transport Shuttle</v>
          </cell>
        </row>
        <row r="633">
          <cell r="A633" t="str">
            <v>Conveyor --- Shuttle 38 Dual Lane</v>
          </cell>
          <cell r="B633" t="str">
            <v>Transport Shuttle</v>
          </cell>
        </row>
        <row r="634">
          <cell r="A634" t="str">
            <v>Conveyor --- Shuttle 39 Dual Lane</v>
          </cell>
          <cell r="B634" t="str">
            <v>Transport Shuttle</v>
          </cell>
        </row>
        <row r="635">
          <cell r="A635" t="str">
            <v>Conveyor --- Shuttle 40 Dual Lane</v>
          </cell>
          <cell r="B635" t="str">
            <v>Transport Shuttle</v>
          </cell>
        </row>
        <row r="636">
          <cell r="A636" t="str">
            <v>Conveyor --- Single 1</v>
          </cell>
          <cell r="B636" t="str">
            <v>Transport Conveyor</v>
          </cell>
        </row>
        <row r="637">
          <cell r="A637" t="str">
            <v>Conveyor --- Single 2</v>
          </cell>
          <cell r="B637" t="str">
            <v>Transport Conveyor</v>
          </cell>
        </row>
        <row r="638">
          <cell r="A638" t="str">
            <v>Conveyor --- Single 3</v>
          </cell>
          <cell r="B638" t="str">
            <v>Transport Conveyor</v>
          </cell>
        </row>
        <row r="639">
          <cell r="A639" t="str">
            <v>Conveyor --- Single 4</v>
          </cell>
          <cell r="B639" t="str">
            <v>Transport Conveyor</v>
          </cell>
        </row>
        <row r="640">
          <cell r="A640" t="str">
            <v>Conveyor --- Single 5</v>
          </cell>
          <cell r="B640" t="str">
            <v>Transport Conveyor</v>
          </cell>
        </row>
        <row r="641">
          <cell r="A641" t="str">
            <v>Conveyor --- Single 6</v>
          </cell>
          <cell r="B641" t="str">
            <v>Transport Conveyor</v>
          </cell>
        </row>
        <row r="642">
          <cell r="A642" t="str">
            <v>Conveyor --- Single 7</v>
          </cell>
          <cell r="B642" t="str">
            <v>Transport Conveyor</v>
          </cell>
        </row>
        <row r="643">
          <cell r="A643" t="str">
            <v>Conveyor --- Single 8</v>
          </cell>
          <cell r="B643" t="str">
            <v>Transport Conveyor</v>
          </cell>
        </row>
        <row r="644">
          <cell r="A644" t="str">
            <v>Conveyor --- Single 9</v>
          </cell>
          <cell r="B644" t="str">
            <v>Transport Conveyor</v>
          </cell>
        </row>
        <row r="645">
          <cell r="A645" t="str">
            <v>Conveyor --- Single 10</v>
          </cell>
          <cell r="B645" t="str">
            <v>Transport Conveyor</v>
          </cell>
        </row>
        <row r="646">
          <cell r="A646" t="str">
            <v>Conveyor --- Single 11</v>
          </cell>
          <cell r="B646" t="str">
            <v>Transport Conveyor</v>
          </cell>
        </row>
        <row r="647">
          <cell r="A647" t="str">
            <v>Conveyor --- Single 12</v>
          </cell>
          <cell r="B647" t="str">
            <v>Transport Conveyor</v>
          </cell>
        </row>
        <row r="648">
          <cell r="A648" t="str">
            <v>Conveyor --- Single 13</v>
          </cell>
          <cell r="B648" t="str">
            <v>Transport Conveyor</v>
          </cell>
        </row>
        <row r="649">
          <cell r="A649" t="str">
            <v>Conveyor --- Single 14</v>
          </cell>
          <cell r="B649" t="str">
            <v>Transport Conveyor</v>
          </cell>
        </row>
        <row r="650">
          <cell r="A650" t="str">
            <v>Conveyor --- Single 15</v>
          </cell>
          <cell r="B650" t="str">
            <v>Transport Conveyor</v>
          </cell>
        </row>
        <row r="651">
          <cell r="A651" t="str">
            <v>Conveyor --- Single 16</v>
          </cell>
          <cell r="B651" t="str">
            <v>Transport Conveyor</v>
          </cell>
        </row>
        <row r="652">
          <cell r="A652" t="str">
            <v>Conveyor --- Single 17</v>
          </cell>
          <cell r="B652" t="str">
            <v>Transport Conveyor</v>
          </cell>
        </row>
        <row r="653">
          <cell r="A653" t="str">
            <v>Conveyor --- Single 18</v>
          </cell>
          <cell r="B653" t="str">
            <v>Transport Conveyor</v>
          </cell>
        </row>
        <row r="654">
          <cell r="A654" t="str">
            <v>Conveyor --- Single 19</v>
          </cell>
          <cell r="B654" t="str">
            <v>Transport Conveyor</v>
          </cell>
        </row>
        <row r="655">
          <cell r="A655" t="str">
            <v>Conveyor --- Single 20</v>
          </cell>
          <cell r="B655" t="str">
            <v>Transport Conveyor</v>
          </cell>
        </row>
        <row r="656">
          <cell r="A656" t="str">
            <v>Conveyor --- Single 21</v>
          </cell>
          <cell r="B656" t="str">
            <v>Transport Conveyor</v>
          </cell>
        </row>
        <row r="657">
          <cell r="A657" t="str">
            <v>Conveyor --- Single 22</v>
          </cell>
          <cell r="B657" t="str">
            <v>Transport Conveyor</v>
          </cell>
        </row>
        <row r="658">
          <cell r="A658" t="str">
            <v>Conveyor --- Single 23</v>
          </cell>
          <cell r="B658" t="str">
            <v>Transport Conveyor</v>
          </cell>
        </row>
        <row r="659">
          <cell r="A659" t="str">
            <v>Conveyor --- Single 24</v>
          </cell>
          <cell r="B659" t="str">
            <v>Transport Conveyor</v>
          </cell>
        </row>
        <row r="660">
          <cell r="A660" t="str">
            <v>Conveyor --- Single 25</v>
          </cell>
          <cell r="B660" t="str">
            <v>Transport Conveyor</v>
          </cell>
        </row>
        <row r="661">
          <cell r="A661" t="str">
            <v>Conveyor --- Single 26</v>
          </cell>
          <cell r="B661" t="str">
            <v>Transport Conveyor</v>
          </cell>
        </row>
        <row r="662">
          <cell r="A662" t="str">
            <v>Conveyor --- Single 27</v>
          </cell>
          <cell r="B662" t="str">
            <v>Transport Conveyor</v>
          </cell>
        </row>
        <row r="663">
          <cell r="A663" t="str">
            <v>Conveyor --- Single 28</v>
          </cell>
          <cell r="B663" t="str">
            <v>Transport Conveyor</v>
          </cell>
        </row>
        <row r="664">
          <cell r="A664" t="str">
            <v>Conveyor --- Single 29</v>
          </cell>
          <cell r="B664" t="str">
            <v>Transport Conveyor</v>
          </cell>
        </row>
        <row r="665">
          <cell r="A665" t="str">
            <v>Conveyor --- Single 30</v>
          </cell>
          <cell r="B665" t="str">
            <v>Transport Conveyor</v>
          </cell>
        </row>
        <row r="666">
          <cell r="A666" t="str">
            <v>Conveyor --- Single 31</v>
          </cell>
          <cell r="B666" t="str">
            <v>Transport Conveyor</v>
          </cell>
        </row>
        <row r="667">
          <cell r="A667" t="str">
            <v>Conveyor --- Single 32</v>
          </cell>
          <cell r="B667" t="str">
            <v>Transport Conveyor</v>
          </cell>
        </row>
        <row r="668">
          <cell r="A668" t="str">
            <v>Conveyor --- Single 33</v>
          </cell>
          <cell r="B668" t="str">
            <v>Transport Conveyor</v>
          </cell>
        </row>
        <row r="669">
          <cell r="A669" t="str">
            <v>Conveyor --- Single 34</v>
          </cell>
          <cell r="B669" t="str">
            <v>Transport Conveyor</v>
          </cell>
        </row>
        <row r="670">
          <cell r="A670" t="str">
            <v>Conveyor --- Single 35</v>
          </cell>
          <cell r="B670" t="str">
            <v>Transport Conveyor</v>
          </cell>
        </row>
        <row r="671">
          <cell r="A671" t="str">
            <v>Conveyor --- Single 36</v>
          </cell>
          <cell r="B671" t="str">
            <v>Transport Conveyor</v>
          </cell>
        </row>
        <row r="672">
          <cell r="A672" t="str">
            <v>Conveyor --- Single 37</v>
          </cell>
          <cell r="B672" t="str">
            <v>Transport Conveyor</v>
          </cell>
        </row>
        <row r="673">
          <cell r="A673" t="str">
            <v>Conveyor --- Single 38</v>
          </cell>
          <cell r="B673" t="str">
            <v>Transport Conveyor</v>
          </cell>
        </row>
        <row r="674">
          <cell r="A674" t="str">
            <v>Conveyor --- Single 39</v>
          </cell>
          <cell r="B674" t="str">
            <v>Transport Conveyor</v>
          </cell>
        </row>
        <row r="675">
          <cell r="A675" t="str">
            <v>Conveyor --- Single 40</v>
          </cell>
          <cell r="B675" t="str">
            <v>Transport Conveyor</v>
          </cell>
        </row>
        <row r="676">
          <cell r="A676" t="str">
            <v>Conveyor --- Single 41</v>
          </cell>
          <cell r="B676" t="str">
            <v>Transport Conveyor</v>
          </cell>
        </row>
        <row r="677">
          <cell r="A677" t="str">
            <v>Conveyor --- Single 42</v>
          </cell>
          <cell r="B677" t="str">
            <v>Transport Conveyor</v>
          </cell>
        </row>
        <row r="678">
          <cell r="A678" t="str">
            <v>Conveyor --- Single 43</v>
          </cell>
          <cell r="B678" t="str">
            <v>Transport Conveyor</v>
          </cell>
        </row>
        <row r="679">
          <cell r="A679" t="str">
            <v>Conveyor --- Single 44</v>
          </cell>
          <cell r="B679" t="str">
            <v>Transport Conveyor</v>
          </cell>
        </row>
        <row r="680">
          <cell r="A680" t="str">
            <v>Conveyor --- Single 45</v>
          </cell>
          <cell r="B680" t="str">
            <v>Transport Conveyor</v>
          </cell>
        </row>
        <row r="681">
          <cell r="A681" t="str">
            <v>Conveyor --- Single 46</v>
          </cell>
          <cell r="B681" t="str">
            <v>Transport Conveyor</v>
          </cell>
        </row>
        <row r="682">
          <cell r="A682" t="str">
            <v>Conveyor --- Single 47</v>
          </cell>
          <cell r="B682" t="str">
            <v>Transport Conveyor</v>
          </cell>
        </row>
        <row r="683">
          <cell r="A683" t="str">
            <v>Conveyor --- Single 48</v>
          </cell>
          <cell r="B683" t="str">
            <v>Transport Conveyor</v>
          </cell>
        </row>
        <row r="684">
          <cell r="A684" t="str">
            <v>Conveyor --- Single 49</v>
          </cell>
          <cell r="B684" t="str">
            <v>Transport Conveyor</v>
          </cell>
        </row>
        <row r="685">
          <cell r="A685" t="str">
            <v>Conveyor --- Single 50</v>
          </cell>
          <cell r="B685" t="str">
            <v>Transport Conveyor</v>
          </cell>
        </row>
        <row r="686">
          <cell r="A686" t="str">
            <v>Conveyor --- Single 51</v>
          </cell>
          <cell r="B686" t="str">
            <v>Transport Conveyor</v>
          </cell>
        </row>
        <row r="687">
          <cell r="A687" t="str">
            <v>Conveyor --- Single 52</v>
          </cell>
          <cell r="B687" t="str">
            <v>Transport Conveyor</v>
          </cell>
        </row>
        <row r="688">
          <cell r="A688" t="str">
            <v>Conveyor --- Single 53</v>
          </cell>
          <cell r="B688" t="str">
            <v>Transport Conveyor</v>
          </cell>
        </row>
        <row r="689">
          <cell r="A689" t="str">
            <v>Conveyor --- Single 54</v>
          </cell>
          <cell r="B689" t="str">
            <v>Transport Conveyor</v>
          </cell>
        </row>
        <row r="690">
          <cell r="A690" t="str">
            <v>Conveyor --- Single 55</v>
          </cell>
          <cell r="B690" t="str">
            <v>Transport Conveyor</v>
          </cell>
        </row>
        <row r="691">
          <cell r="A691" t="str">
            <v>Conveyor --- Single 56</v>
          </cell>
          <cell r="B691" t="str">
            <v>Transport Conveyor</v>
          </cell>
        </row>
        <row r="692">
          <cell r="A692" t="str">
            <v>Conveyor --- Single 57</v>
          </cell>
          <cell r="B692" t="str">
            <v>Transport Conveyor</v>
          </cell>
        </row>
        <row r="693">
          <cell r="A693" t="str">
            <v>Conveyor --- Single 58</v>
          </cell>
          <cell r="B693" t="str">
            <v>Transport Conveyor</v>
          </cell>
        </row>
        <row r="694">
          <cell r="A694" t="str">
            <v>Conveyor --- Single 59</v>
          </cell>
          <cell r="B694" t="str">
            <v>Transport Conveyor</v>
          </cell>
        </row>
        <row r="695">
          <cell r="A695" t="str">
            <v>Conveyor --- Single 60</v>
          </cell>
          <cell r="B695" t="str">
            <v>Transport Conveyor</v>
          </cell>
        </row>
        <row r="696">
          <cell r="A696" t="str">
            <v>Conveyor --- Single 61</v>
          </cell>
          <cell r="B696" t="str">
            <v>Transport Conveyor</v>
          </cell>
        </row>
        <row r="697">
          <cell r="A697" t="str">
            <v>Conveyor --- Single 62</v>
          </cell>
          <cell r="B697" t="str">
            <v>Transport Conveyor</v>
          </cell>
        </row>
        <row r="698">
          <cell r="A698" t="str">
            <v>Conveyor --- Single 63</v>
          </cell>
          <cell r="B698" t="str">
            <v>Transport Conveyor</v>
          </cell>
        </row>
        <row r="699">
          <cell r="A699" t="str">
            <v>Conveyor --- Single 64</v>
          </cell>
          <cell r="B699" t="str">
            <v>Transport Conveyor</v>
          </cell>
        </row>
        <row r="700">
          <cell r="A700" t="str">
            <v>Conveyor --- Single 65</v>
          </cell>
          <cell r="B700" t="str">
            <v>Transport Conveyor</v>
          </cell>
        </row>
        <row r="701">
          <cell r="A701" t="str">
            <v>Conveyor --- Single 66</v>
          </cell>
          <cell r="B701" t="str">
            <v>Transport Conveyor</v>
          </cell>
        </row>
        <row r="702">
          <cell r="A702" t="str">
            <v>Conveyor --- Single 67</v>
          </cell>
          <cell r="B702" t="str">
            <v>Transport Conveyor</v>
          </cell>
        </row>
        <row r="703">
          <cell r="A703" t="str">
            <v>Conveyor --- Single 68</v>
          </cell>
          <cell r="B703" t="str">
            <v>Transport Conveyor</v>
          </cell>
        </row>
        <row r="704">
          <cell r="A704" t="str">
            <v>Conveyor --- Single 69</v>
          </cell>
          <cell r="B704" t="str">
            <v>Transport Conveyor</v>
          </cell>
        </row>
        <row r="705">
          <cell r="A705" t="str">
            <v>Conveyor --- Single 70</v>
          </cell>
          <cell r="B705" t="str">
            <v>Transport Conveyor</v>
          </cell>
        </row>
        <row r="706">
          <cell r="A706" t="str">
            <v>Conveyor --- Single 71</v>
          </cell>
          <cell r="B706" t="str">
            <v>Transport Conveyor</v>
          </cell>
        </row>
        <row r="707">
          <cell r="A707" t="str">
            <v>Conveyor --- Single 72</v>
          </cell>
          <cell r="B707" t="str">
            <v>Transport Conveyor</v>
          </cell>
        </row>
        <row r="708">
          <cell r="A708" t="str">
            <v>Conveyor --- Single 73</v>
          </cell>
          <cell r="B708" t="str">
            <v>Transport Conveyor</v>
          </cell>
        </row>
        <row r="709">
          <cell r="A709" t="str">
            <v>Conveyor --- Single 74</v>
          </cell>
          <cell r="B709" t="str">
            <v>Transport Conveyor</v>
          </cell>
        </row>
        <row r="710">
          <cell r="A710" t="str">
            <v>Conveyor --- Single 75</v>
          </cell>
          <cell r="B710" t="str">
            <v>Transport Conveyor</v>
          </cell>
        </row>
        <row r="711">
          <cell r="A711" t="str">
            <v>Conveyor --- Single 76</v>
          </cell>
          <cell r="B711" t="str">
            <v>Transport Conveyor</v>
          </cell>
        </row>
        <row r="712">
          <cell r="A712" t="str">
            <v>Conveyor --- Single 77</v>
          </cell>
          <cell r="B712" t="str">
            <v>Transport Conveyor</v>
          </cell>
        </row>
        <row r="713">
          <cell r="A713" t="str">
            <v>Conveyor --- Single 78</v>
          </cell>
          <cell r="B713" t="str">
            <v>Transport Conveyor</v>
          </cell>
        </row>
        <row r="714">
          <cell r="A714" t="str">
            <v>Conveyor --- Single 79</v>
          </cell>
          <cell r="B714" t="str">
            <v>Transport Conveyor</v>
          </cell>
        </row>
        <row r="715">
          <cell r="A715" t="str">
            <v>Conveyor --- Single 80</v>
          </cell>
          <cell r="B715" t="str">
            <v>Transport Conveyor</v>
          </cell>
        </row>
        <row r="716">
          <cell r="A716" t="str">
            <v>Conveyor --- Single 81</v>
          </cell>
          <cell r="B716" t="str">
            <v>Transport Conveyor</v>
          </cell>
        </row>
        <row r="717">
          <cell r="A717" t="str">
            <v>Conveyor --- Single 82</v>
          </cell>
          <cell r="B717" t="str">
            <v>Transport Conveyor</v>
          </cell>
        </row>
        <row r="718">
          <cell r="A718" t="str">
            <v>Conveyor --- Single 83</v>
          </cell>
          <cell r="B718" t="str">
            <v>Transport Conveyor</v>
          </cell>
        </row>
        <row r="719">
          <cell r="A719" t="str">
            <v>Conveyor --- Single 84</v>
          </cell>
          <cell r="B719" t="str">
            <v>Transport Conveyor</v>
          </cell>
        </row>
        <row r="720">
          <cell r="A720" t="str">
            <v>Conveyor --- Single 85</v>
          </cell>
          <cell r="B720" t="str">
            <v>Transport Conveyor</v>
          </cell>
        </row>
        <row r="721">
          <cell r="A721" t="str">
            <v>Conveyor --- Single 86</v>
          </cell>
          <cell r="B721" t="str">
            <v>Transport Conveyor</v>
          </cell>
        </row>
        <row r="722">
          <cell r="A722" t="str">
            <v>Conveyor --- Single 87</v>
          </cell>
          <cell r="B722" t="str">
            <v>Transport Conveyor</v>
          </cell>
        </row>
        <row r="723">
          <cell r="A723" t="str">
            <v>Conveyor --- Single 88</v>
          </cell>
          <cell r="B723" t="str">
            <v>Transport Conveyor</v>
          </cell>
        </row>
        <row r="724">
          <cell r="A724" t="str">
            <v>Conveyor --- Single 89</v>
          </cell>
          <cell r="B724" t="str">
            <v>Transport Conveyor</v>
          </cell>
        </row>
        <row r="725">
          <cell r="A725" t="str">
            <v>Conveyor --- Single 90</v>
          </cell>
          <cell r="B725" t="str">
            <v>Transport Conveyor</v>
          </cell>
        </row>
        <row r="726">
          <cell r="A726" t="str">
            <v>Conveyor --- Single 91</v>
          </cell>
          <cell r="B726" t="str">
            <v>Transport Conveyor</v>
          </cell>
        </row>
        <row r="727">
          <cell r="A727" t="str">
            <v>Conveyor --- Single 92</v>
          </cell>
          <cell r="B727" t="str">
            <v>Transport Conveyor</v>
          </cell>
        </row>
        <row r="728">
          <cell r="A728" t="str">
            <v>Conveyor --- Single 93</v>
          </cell>
          <cell r="B728" t="str">
            <v>Transport Conveyor</v>
          </cell>
        </row>
        <row r="729">
          <cell r="A729" t="str">
            <v>Conveyor --- Single 94</v>
          </cell>
          <cell r="B729" t="str">
            <v>Transport Conveyor</v>
          </cell>
        </row>
        <row r="730">
          <cell r="A730" t="str">
            <v>Conveyor --- Single 95</v>
          </cell>
          <cell r="B730" t="str">
            <v>Transport Conveyor</v>
          </cell>
        </row>
        <row r="731">
          <cell r="A731" t="str">
            <v>Conveyor --- Single 96</v>
          </cell>
          <cell r="B731" t="str">
            <v>Transport Conveyor</v>
          </cell>
        </row>
        <row r="732">
          <cell r="A732" t="str">
            <v>Conveyor --- Single 97</v>
          </cell>
          <cell r="B732" t="str">
            <v>Transport Conveyor</v>
          </cell>
        </row>
        <row r="733">
          <cell r="A733" t="str">
            <v>Conveyor --- Single 98</v>
          </cell>
          <cell r="B733" t="str">
            <v>Transport Conveyor</v>
          </cell>
        </row>
        <row r="734">
          <cell r="A734" t="str">
            <v>Conveyor --- Single 99</v>
          </cell>
          <cell r="B734" t="str">
            <v>Transport Conveyor</v>
          </cell>
        </row>
        <row r="735">
          <cell r="A735" t="str">
            <v>Conveyor --- Single 100</v>
          </cell>
          <cell r="B735" t="str">
            <v>Transport Conveyor</v>
          </cell>
        </row>
        <row r="736">
          <cell r="A736" t="str">
            <v>Conveyor --- Single 101</v>
          </cell>
          <cell r="B736" t="str">
            <v>Transport Conveyor</v>
          </cell>
        </row>
        <row r="737">
          <cell r="A737" t="str">
            <v>Conveyor --- Single 102</v>
          </cell>
          <cell r="B737" t="str">
            <v>Transport Conveyor</v>
          </cell>
        </row>
        <row r="738">
          <cell r="A738" t="str">
            <v>Conveyor --- Single 103</v>
          </cell>
          <cell r="B738" t="str">
            <v>Transport Conveyor</v>
          </cell>
        </row>
        <row r="739">
          <cell r="A739" t="str">
            <v>Conveyor --- Single 104</v>
          </cell>
          <cell r="B739" t="str">
            <v>Transport Conveyor</v>
          </cell>
        </row>
        <row r="740">
          <cell r="A740" t="str">
            <v>Conveyor --- Single 105</v>
          </cell>
          <cell r="B740" t="str">
            <v>Transport Conveyor</v>
          </cell>
        </row>
        <row r="741">
          <cell r="A741" t="str">
            <v>Conveyor --- Single 106</v>
          </cell>
          <cell r="B741" t="str">
            <v>Transport Conveyor</v>
          </cell>
        </row>
        <row r="742">
          <cell r="A742" t="str">
            <v>Conveyor --- Single 107</v>
          </cell>
          <cell r="B742" t="str">
            <v>Transport Conveyor</v>
          </cell>
        </row>
        <row r="743">
          <cell r="A743" t="str">
            <v>Conveyor --- Single 108</v>
          </cell>
          <cell r="B743" t="str">
            <v>Transport Conveyor</v>
          </cell>
        </row>
        <row r="744">
          <cell r="A744" t="str">
            <v>Conveyor --- Single 109</v>
          </cell>
          <cell r="B744" t="str">
            <v>Transport Conveyor</v>
          </cell>
        </row>
        <row r="745">
          <cell r="A745" t="str">
            <v>Conveyor --- Single 110</v>
          </cell>
          <cell r="B745" t="str">
            <v>Transport Conveyor</v>
          </cell>
        </row>
        <row r="746">
          <cell r="A746" t="str">
            <v>Conveyor --- Single 111</v>
          </cell>
          <cell r="B746" t="str">
            <v>Transport Conveyor</v>
          </cell>
        </row>
        <row r="747">
          <cell r="A747" t="str">
            <v>Conveyor --- Single 112</v>
          </cell>
          <cell r="B747" t="str">
            <v>Transport Conveyor</v>
          </cell>
        </row>
        <row r="748">
          <cell r="A748" t="str">
            <v>Conveyor --- Single 113</v>
          </cell>
          <cell r="B748" t="str">
            <v>Transport Conveyor</v>
          </cell>
        </row>
        <row r="749">
          <cell r="A749" t="str">
            <v>Conveyor --- Single 114</v>
          </cell>
          <cell r="B749" t="str">
            <v>Transport Conveyor</v>
          </cell>
        </row>
        <row r="750">
          <cell r="A750" t="str">
            <v>Conveyor --- Single 115</v>
          </cell>
          <cell r="B750" t="str">
            <v>Transport Conveyor</v>
          </cell>
        </row>
        <row r="751">
          <cell r="A751" t="str">
            <v>Conveyor --- Single 116</v>
          </cell>
          <cell r="B751" t="str">
            <v>Transport Conveyor</v>
          </cell>
        </row>
        <row r="752">
          <cell r="A752" t="str">
            <v>Conveyor --- Single 117</v>
          </cell>
          <cell r="B752" t="str">
            <v>Transport Conveyor</v>
          </cell>
        </row>
        <row r="753">
          <cell r="A753" t="str">
            <v>Conveyor --- Single 118</v>
          </cell>
          <cell r="B753" t="str">
            <v>Transport Conveyor</v>
          </cell>
        </row>
        <row r="754">
          <cell r="A754" t="str">
            <v>Conveyor --- Single 119</v>
          </cell>
          <cell r="B754" t="str">
            <v>Transport Conveyor</v>
          </cell>
        </row>
        <row r="755">
          <cell r="A755" t="str">
            <v>Conveyor --- Single 120</v>
          </cell>
          <cell r="B755" t="str">
            <v>Transport Conveyor</v>
          </cell>
        </row>
        <row r="756">
          <cell r="A756" t="str">
            <v>Conveyor --- Single 121</v>
          </cell>
          <cell r="B756" t="str">
            <v>Transport Conveyor</v>
          </cell>
        </row>
        <row r="757">
          <cell r="A757" t="str">
            <v>Conveyor --- Single 122</v>
          </cell>
          <cell r="B757" t="str">
            <v>Transport Conveyor</v>
          </cell>
        </row>
        <row r="758">
          <cell r="A758" t="str">
            <v>Conveyor --- Single 123</v>
          </cell>
          <cell r="B758" t="str">
            <v>Transport Conveyor</v>
          </cell>
        </row>
        <row r="759">
          <cell r="A759" t="str">
            <v>Conveyor --- Single 124</v>
          </cell>
          <cell r="B759" t="str">
            <v>Transport Conveyor</v>
          </cell>
        </row>
        <row r="760">
          <cell r="A760" t="str">
            <v>Conveyor --- Single 125</v>
          </cell>
          <cell r="B760" t="str">
            <v>Transport Conveyor</v>
          </cell>
        </row>
        <row r="761">
          <cell r="A761" t="str">
            <v>Conveyor --- Single 126</v>
          </cell>
          <cell r="B761" t="str">
            <v>Transport Conveyor</v>
          </cell>
        </row>
        <row r="762">
          <cell r="A762" t="str">
            <v>Conveyor --- Single 127</v>
          </cell>
          <cell r="B762" t="str">
            <v>Transport Conveyor</v>
          </cell>
        </row>
        <row r="763">
          <cell r="A763" t="str">
            <v>Conveyor --- Single 128</v>
          </cell>
          <cell r="B763" t="str">
            <v>Transport Conveyor</v>
          </cell>
        </row>
        <row r="764">
          <cell r="A764" t="str">
            <v>Conveyor --- Single 129</v>
          </cell>
          <cell r="B764" t="str">
            <v>Transport Conveyor</v>
          </cell>
        </row>
        <row r="765">
          <cell r="A765" t="str">
            <v>Conveyor --- Single 130</v>
          </cell>
          <cell r="B765" t="str">
            <v>Transport Conveyor</v>
          </cell>
        </row>
        <row r="766">
          <cell r="A766" t="str">
            <v>Conveyor --- Single 131</v>
          </cell>
          <cell r="B766" t="str">
            <v>Transport Conveyor</v>
          </cell>
        </row>
        <row r="767">
          <cell r="A767" t="str">
            <v>Conveyor --- Single 132</v>
          </cell>
          <cell r="B767" t="str">
            <v>Transport Conveyor</v>
          </cell>
        </row>
        <row r="768">
          <cell r="A768" t="str">
            <v>Conveyor --- Single 133</v>
          </cell>
          <cell r="B768" t="str">
            <v>Transport Conveyor</v>
          </cell>
        </row>
        <row r="769">
          <cell r="A769" t="str">
            <v>Conveyor --- Single 134</v>
          </cell>
          <cell r="B769" t="str">
            <v>Transport Conveyor</v>
          </cell>
        </row>
        <row r="770">
          <cell r="A770" t="str">
            <v>Conveyor --- Single 135</v>
          </cell>
          <cell r="B770" t="str">
            <v>Transport Conveyor</v>
          </cell>
        </row>
        <row r="771">
          <cell r="A771" t="str">
            <v>Conveyor --- Single 136</v>
          </cell>
          <cell r="B771" t="str">
            <v>Transport Conveyor</v>
          </cell>
        </row>
        <row r="772">
          <cell r="A772" t="str">
            <v>Conveyor --- Single 137</v>
          </cell>
          <cell r="B772" t="str">
            <v>Transport Conveyor</v>
          </cell>
        </row>
        <row r="773">
          <cell r="A773" t="str">
            <v>Conveyor --- Single 138</v>
          </cell>
          <cell r="B773" t="str">
            <v>Transport Conveyor</v>
          </cell>
        </row>
        <row r="774">
          <cell r="A774" t="str">
            <v>Conveyor --- Single 139</v>
          </cell>
          <cell r="B774" t="str">
            <v>Transport Conveyor</v>
          </cell>
        </row>
        <row r="775">
          <cell r="A775" t="str">
            <v>Conveyor --- Single 140</v>
          </cell>
          <cell r="B775" t="str">
            <v>Transport Conveyor</v>
          </cell>
        </row>
        <row r="776">
          <cell r="A776" t="str">
            <v>Conveyor --- Single 141</v>
          </cell>
          <cell r="B776" t="str">
            <v>Transport Conveyor</v>
          </cell>
        </row>
        <row r="777">
          <cell r="A777" t="str">
            <v>Conveyor --- Single 142</v>
          </cell>
          <cell r="B777" t="str">
            <v>Transport Conveyor</v>
          </cell>
        </row>
        <row r="778">
          <cell r="A778" t="str">
            <v>Conveyor --- Single 143</v>
          </cell>
          <cell r="B778" t="str">
            <v>Transport Conveyor</v>
          </cell>
        </row>
        <row r="779">
          <cell r="A779" t="str">
            <v>Conveyor --- Single 144</v>
          </cell>
          <cell r="B779" t="str">
            <v>Transport Conveyor</v>
          </cell>
        </row>
        <row r="780">
          <cell r="A780" t="str">
            <v>Conveyor --- Single 145</v>
          </cell>
          <cell r="B780" t="str">
            <v>Transport Conveyor</v>
          </cell>
        </row>
        <row r="781">
          <cell r="A781" t="str">
            <v>Conveyor --- Single 146</v>
          </cell>
          <cell r="B781" t="str">
            <v>Transport Conveyor</v>
          </cell>
        </row>
        <row r="782">
          <cell r="A782" t="str">
            <v>Conveyor --- Single 147</v>
          </cell>
          <cell r="B782" t="str">
            <v>Transport Conveyor</v>
          </cell>
        </row>
        <row r="783">
          <cell r="A783" t="str">
            <v>Conveyor --- Single 148</v>
          </cell>
          <cell r="B783" t="str">
            <v>Transport Conveyor</v>
          </cell>
        </row>
        <row r="784">
          <cell r="A784" t="str">
            <v>Conveyor --- Single 149</v>
          </cell>
          <cell r="B784" t="str">
            <v>Transport Conveyor</v>
          </cell>
        </row>
        <row r="785">
          <cell r="A785" t="str">
            <v>Conveyor --- Single 150</v>
          </cell>
          <cell r="B785" t="str">
            <v>Transport Conveyor</v>
          </cell>
        </row>
        <row r="786">
          <cell r="A786" t="str">
            <v>Conveyor --- Single 151</v>
          </cell>
          <cell r="B786" t="str">
            <v>Transport Conveyor</v>
          </cell>
        </row>
        <row r="787">
          <cell r="A787" t="str">
            <v>Conveyor --- Single 152</v>
          </cell>
          <cell r="B787" t="str">
            <v>Transport Conveyor</v>
          </cell>
        </row>
        <row r="788">
          <cell r="A788" t="str">
            <v>Conveyor --- Single 153</v>
          </cell>
          <cell r="B788" t="str">
            <v>Transport Conveyor</v>
          </cell>
        </row>
        <row r="789">
          <cell r="A789" t="str">
            <v>Conveyor --- Single 154</v>
          </cell>
          <cell r="B789" t="str">
            <v>Transport Conveyor</v>
          </cell>
        </row>
        <row r="790">
          <cell r="A790" t="str">
            <v>Conveyor --- Single 155</v>
          </cell>
          <cell r="B790" t="str">
            <v>Transport Conveyor</v>
          </cell>
        </row>
        <row r="791">
          <cell r="A791" t="str">
            <v>Conveyor --- Single 156</v>
          </cell>
          <cell r="B791" t="str">
            <v>Transport Conveyor</v>
          </cell>
        </row>
        <row r="792">
          <cell r="A792" t="str">
            <v>Conveyor --- Single 157</v>
          </cell>
          <cell r="B792" t="str">
            <v>Transport Conveyor</v>
          </cell>
        </row>
        <row r="793">
          <cell r="A793" t="str">
            <v>Conveyor --- Single 158</v>
          </cell>
          <cell r="B793" t="str">
            <v>Transport Conveyor</v>
          </cell>
        </row>
        <row r="794">
          <cell r="A794" t="str">
            <v>Conveyor --- Single 159</v>
          </cell>
          <cell r="B794" t="str">
            <v>Transport Conveyor</v>
          </cell>
        </row>
        <row r="795">
          <cell r="A795" t="str">
            <v>Conveyor --- Single 160</v>
          </cell>
          <cell r="B795" t="str">
            <v>Transport Conveyor</v>
          </cell>
        </row>
        <row r="796">
          <cell r="A796" t="str">
            <v>Conveyor --- Single 161</v>
          </cell>
          <cell r="B796" t="str">
            <v>Transport Conveyor</v>
          </cell>
        </row>
        <row r="797">
          <cell r="A797" t="str">
            <v>Conveyor --- Single 162</v>
          </cell>
          <cell r="B797" t="str">
            <v>Transport Conveyor</v>
          </cell>
        </row>
        <row r="798">
          <cell r="A798" t="str">
            <v>Conveyor --- Single 163</v>
          </cell>
          <cell r="B798" t="str">
            <v>Transport Conveyor</v>
          </cell>
        </row>
        <row r="799">
          <cell r="A799" t="str">
            <v>Conveyor --- Single 164</v>
          </cell>
          <cell r="B799" t="str">
            <v>Transport Conveyor</v>
          </cell>
        </row>
        <row r="800">
          <cell r="A800" t="str">
            <v>Conveyor --- Single 165</v>
          </cell>
          <cell r="B800" t="str">
            <v>Transport Conveyor</v>
          </cell>
        </row>
        <row r="801">
          <cell r="A801" t="str">
            <v>Conveyor --- Single 166</v>
          </cell>
          <cell r="B801" t="str">
            <v>Transport Conveyor</v>
          </cell>
        </row>
        <row r="802">
          <cell r="A802" t="str">
            <v>Conveyor --- Single 167</v>
          </cell>
          <cell r="B802" t="str">
            <v>Transport Conveyor</v>
          </cell>
        </row>
        <row r="803">
          <cell r="A803" t="str">
            <v>Conveyor --- Single 168</v>
          </cell>
          <cell r="B803" t="str">
            <v>Transport Conveyor</v>
          </cell>
        </row>
        <row r="804">
          <cell r="A804" t="str">
            <v>Conveyor --- Single 169</v>
          </cell>
          <cell r="B804" t="str">
            <v>Transport Conveyor</v>
          </cell>
        </row>
        <row r="805">
          <cell r="A805" t="str">
            <v>Conveyor --- Single 170</v>
          </cell>
          <cell r="B805" t="str">
            <v>Transport Conveyor</v>
          </cell>
        </row>
        <row r="806">
          <cell r="A806" t="str">
            <v>Conveyor --- Turn Table 90° 1</v>
          </cell>
          <cell r="B806" t="str">
            <v>Transport Turn Table</v>
          </cell>
        </row>
        <row r="807">
          <cell r="A807" t="str">
            <v>Conveyor --- Turn Table 90° 2</v>
          </cell>
          <cell r="B807" t="str">
            <v>Transport Turn Table</v>
          </cell>
        </row>
        <row r="808">
          <cell r="A808" t="str">
            <v>Conveyor --- Turn Table 90° 3</v>
          </cell>
          <cell r="B808" t="str">
            <v>Transport Turn Table</v>
          </cell>
        </row>
        <row r="809">
          <cell r="A809" t="str">
            <v>Conveyor --- Turn Table 90° 4</v>
          </cell>
          <cell r="B809" t="str">
            <v>Transport Turn Table</v>
          </cell>
        </row>
        <row r="810">
          <cell r="A810" t="str">
            <v>Conveyor --- Turn Table 90° 5</v>
          </cell>
          <cell r="B810" t="str">
            <v>Transport Turn Table</v>
          </cell>
        </row>
        <row r="811">
          <cell r="A811" t="str">
            <v>Conveyor --- Turn Table 90° 6</v>
          </cell>
          <cell r="B811" t="str">
            <v>Transport Turn Table</v>
          </cell>
        </row>
        <row r="812">
          <cell r="A812" t="str">
            <v>Conveyor --- Turn Table 90° 7</v>
          </cell>
          <cell r="B812" t="str">
            <v>Transport Turn Table</v>
          </cell>
        </row>
        <row r="813">
          <cell r="A813" t="str">
            <v>Conveyor --- Turn Table 90° 8</v>
          </cell>
          <cell r="B813" t="str">
            <v>Transport Turn Table</v>
          </cell>
        </row>
        <row r="814">
          <cell r="A814" t="str">
            <v>Conveyor --- Turn Table 90° 9</v>
          </cell>
          <cell r="B814" t="str">
            <v>Transport Turn Table</v>
          </cell>
        </row>
        <row r="815">
          <cell r="A815" t="str">
            <v>Conveyor --- Turn Table 90° 10</v>
          </cell>
          <cell r="B815" t="str">
            <v>Transport Turn Table</v>
          </cell>
        </row>
        <row r="816">
          <cell r="A816" t="str">
            <v>Conveyor --- Turn Table 90° 11</v>
          </cell>
          <cell r="B816" t="str">
            <v>Transport Turn Table</v>
          </cell>
        </row>
        <row r="817">
          <cell r="A817" t="str">
            <v>Conveyor --- Turn Table 90° 12</v>
          </cell>
          <cell r="B817" t="str">
            <v>Transport Turn Table</v>
          </cell>
        </row>
        <row r="818">
          <cell r="A818" t="str">
            <v>Conveyor --- Turn Table 90° 13</v>
          </cell>
          <cell r="B818" t="str">
            <v>Transport Turn Table</v>
          </cell>
        </row>
        <row r="819">
          <cell r="A819" t="str">
            <v>Conveyor --- Turn Table 90° 14</v>
          </cell>
          <cell r="B819" t="str">
            <v>Transport Turn Table</v>
          </cell>
        </row>
        <row r="820">
          <cell r="A820" t="str">
            <v>Conveyor --- Turn Table 90° 15</v>
          </cell>
          <cell r="B820" t="str">
            <v>Transport Turn Table</v>
          </cell>
        </row>
        <row r="821">
          <cell r="A821" t="str">
            <v>Conveyor --- Turn Table 90° 16</v>
          </cell>
          <cell r="B821" t="str">
            <v>Transport Turn Table</v>
          </cell>
        </row>
        <row r="822">
          <cell r="A822" t="str">
            <v>Conveyor --- Turn Table 90° 17</v>
          </cell>
          <cell r="B822" t="str">
            <v>Transport Turn Table</v>
          </cell>
        </row>
        <row r="823">
          <cell r="A823" t="str">
            <v>Conveyor --- Turn Table 90° 18</v>
          </cell>
          <cell r="B823" t="str">
            <v>Transport Turn Table</v>
          </cell>
        </row>
        <row r="824">
          <cell r="A824" t="str">
            <v>Conveyor --- Turn Table 90° 19</v>
          </cell>
          <cell r="B824" t="str">
            <v>Transport Turn Table</v>
          </cell>
        </row>
        <row r="825">
          <cell r="A825" t="str">
            <v>Conveyor --- Turn Table 90° 20</v>
          </cell>
          <cell r="B825" t="str">
            <v>Transport Turn Table</v>
          </cell>
        </row>
        <row r="826">
          <cell r="A826" t="str">
            <v>Conveyor --- Turn Table 90° 21</v>
          </cell>
          <cell r="B826" t="str">
            <v>Transport Turn Table</v>
          </cell>
        </row>
        <row r="827">
          <cell r="A827" t="str">
            <v>Conveyor --- Turn Table 90° 22</v>
          </cell>
          <cell r="B827" t="str">
            <v>Transport Turn Table</v>
          </cell>
        </row>
        <row r="828">
          <cell r="A828" t="str">
            <v>Conveyor --- Turn Table 90° 23</v>
          </cell>
          <cell r="B828" t="str">
            <v>Transport Turn Table</v>
          </cell>
        </row>
        <row r="829">
          <cell r="A829" t="str">
            <v>Conveyor --- Turn Table 90° 24</v>
          </cell>
          <cell r="B829" t="str">
            <v>Transport Turn Table</v>
          </cell>
        </row>
        <row r="830">
          <cell r="A830" t="str">
            <v>Conveyor --- Turn Table 90° 25</v>
          </cell>
          <cell r="B830" t="str">
            <v>Transport Turn Table</v>
          </cell>
        </row>
        <row r="831">
          <cell r="A831" t="str">
            <v>Conveyor --- Turn Table 90° 26</v>
          </cell>
          <cell r="B831" t="str">
            <v>Transport Turn Table</v>
          </cell>
        </row>
        <row r="832">
          <cell r="A832" t="str">
            <v>Conveyor --- Turn Table 90° 27</v>
          </cell>
          <cell r="B832" t="str">
            <v>Transport Turn Table</v>
          </cell>
        </row>
        <row r="833">
          <cell r="A833" t="str">
            <v>Conveyor --- Turn Table 90° 28</v>
          </cell>
          <cell r="B833" t="str">
            <v>Transport Turn Table</v>
          </cell>
        </row>
        <row r="834">
          <cell r="A834" t="str">
            <v>Conveyor --- Turn Table 90° 29</v>
          </cell>
          <cell r="B834" t="str">
            <v>Transport Turn Table</v>
          </cell>
        </row>
        <row r="835">
          <cell r="A835" t="str">
            <v>Conveyor --- Turn Table 90° 30</v>
          </cell>
          <cell r="B835" t="str">
            <v>Transport Turn Table</v>
          </cell>
        </row>
        <row r="836">
          <cell r="A836" t="str">
            <v>Conveyor --- Turn Table 90° 31</v>
          </cell>
          <cell r="B836" t="str">
            <v>Transport Turn Table</v>
          </cell>
        </row>
        <row r="837">
          <cell r="A837" t="str">
            <v>Conveyor --- Turn Table 90° 32</v>
          </cell>
          <cell r="B837" t="str">
            <v>Transport Turn Table</v>
          </cell>
        </row>
        <row r="838">
          <cell r="A838" t="str">
            <v>Conveyor --- Turn Table 90° 33</v>
          </cell>
          <cell r="B838" t="str">
            <v>Transport Turn Table</v>
          </cell>
        </row>
        <row r="839">
          <cell r="A839" t="str">
            <v>Conveyor --- Turn Table 90° 34</v>
          </cell>
          <cell r="B839" t="str">
            <v>Transport Turn Table</v>
          </cell>
        </row>
        <row r="840">
          <cell r="A840" t="str">
            <v>Conveyor --- Turn Table 90° 35</v>
          </cell>
          <cell r="B840" t="str">
            <v>Transport Turn Table</v>
          </cell>
        </row>
        <row r="841">
          <cell r="A841" t="str">
            <v>Conveyor --- Turn Table 90° 36</v>
          </cell>
          <cell r="B841" t="str">
            <v>Transport Turn Table</v>
          </cell>
        </row>
        <row r="842">
          <cell r="A842" t="str">
            <v>Conveyor --- Turn Table 90° 37</v>
          </cell>
          <cell r="B842" t="str">
            <v>Transport Turn Table</v>
          </cell>
        </row>
        <row r="843">
          <cell r="A843" t="str">
            <v>Conveyor --- Turn Table 90° 38</v>
          </cell>
          <cell r="B843" t="str">
            <v>Transport Turn Table</v>
          </cell>
        </row>
        <row r="844">
          <cell r="A844" t="str">
            <v>Conveyor --- Turn Table 90° 39</v>
          </cell>
          <cell r="B844" t="str">
            <v>Transport Turn Table</v>
          </cell>
        </row>
        <row r="845">
          <cell r="A845" t="str">
            <v>Conveyor --- Turn Table 90° 40</v>
          </cell>
          <cell r="B845" t="str">
            <v>Transport Turn Table</v>
          </cell>
        </row>
        <row r="846">
          <cell r="A846" t="str">
            <v>Conveyor --- Turn Table 90° 41</v>
          </cell>
          <cell r="B846" t="str">
            <v>Transport Turn Table</v>
          </cell>
        </row>
        <row r="847">
          <cell r="A847" t="str">
            <v>Conveyor --- Turn Table 90° 42</v>
          </cell>
          <cell r="B847" t="str">
            <v>Transport Turn Table</v>
          </cell>
        </row>
        <row r="848">
          <cell r="A848" t="str">
            <v>Conveyor --- Turn Table 90° 43</v>
          </cell>
          <cell r="B848" t="str">
            <v>Transport Turn Table</v>
          </cell>
        </row>
        <row r="849">
          <cell r="A849" t="str">
            <v>Conveyor --- Turn Table 90° 44</v>
          </cell>
          <cell r="B849" t="str">
            <v>Transport Turn Table</v>
          </cell>
        </row>
        <row r="850">
          <cell r="A850" t="str">
            <v>Conveyor --- Turn Table 90° 45</v>
          </cell>
          <cell r="B850" t="str">
            <v>Transport Turn Table</v>
          </cell>
        </row>
        <row r="851">
          <cell r="A851" t="str">
            <v>Conveyor --- Turn Table 90° 46</v>
          </cell>
          <cell r="B851" t="str">
            <v>Transport Turn Table</v>
          </cell>
        </row>
        <row r="852">
          <cell r="A852" t="str">
            <v>Conveyor --- Turn Table 90° 47</v>
          </cell>
          <cell r="B852" t="str">
            <v>Transport Turn Table</v>
          </cell>
        </row>
        <row r="853">
          <cell r="A853" t="str">
            <v>Conveyor --- Turn Table 90° 48</v>
          </cell>
          <cell r="B853" t="str">
            <v>Transport Turn Table</v>
          </cell>
        </row>
        <row r="854">
          <cell r="A854" t="str">
            <v>Conveyor --- Turn Table 90° 49</v>
          </cell>
          <cell r="B854" t="str">
            <v>Transport Turn Table</v>
          </cell>
        </row>
        <row r="855">
          <cell r="A855" t="str">
            <v>Conveyor --- Turn Table 90° 50</v>
          </cell>
          <cell r="B855" t="str">
            <v>Transport Turn Table</v>
          </cell>
        </row>
        <row r="856">
          <cell r="A856" t="str">
            <v>Conveyor --- Turn Table 90° 51</v>
          </cell>
          <cell r="B856" t="str">
            <v>Transport Turn Table</v>
          </cell>
        </row>
        <row r="857">
          <cell r="A857" t="str">
            <v>Conveyor --- Turn Table 90° 52</v>
          </cell>
          <cell r="B857" t="str">
            <v>Transport Turn Table</v>
          </cell>
        </row>
        <row r="858">
          <cell r="A858" t="str">
            <v>Conveyor --- Turn Table 90° 53</v>
          </cell>
          <cell r="B858" t="str">
            <v>Transport Turn Table</v>
          </cell>
        </row>
        <row r="859">
          <cell r="A859" t="str">
            <v>Conveyor --- Turn Table 90° 54</v>
          </cell>
          <cell r="B859" t="str">
            <v>Transport Turn Table</v>
          </cell>
        </row>
        <row r="860">
          <cell r="A860" t="str">
            <v>Conveyor --- Turn Table 90° 55</v>
          </cell>
          <cell r="B860" t="str">
            <v>Transport Turn Table</v>
          </cell>
        </row>
        <row r="861">
          <cell r="A861" t="str">
            <v>Conveyor --- Turn Table 90° 56</v>
          </cell>
          <cell r="B861" t="str">
            <v>Transport Turn Table</v>
          </cell>
        </row>
        <row r="862">
          <cell r="A862" t="str">
            <v>Conveyor --- Turn Table 90° 57</v>
          </cell>
          <cell r="B862" t="str">
            <v>Transport Turn Table</v>
          </cell>
        </row>
        <row r="863">
          <cell r="A863" t="str">
            <v>Conveyor --- Turn Table 90° 58</v>
          </cell>
          <cell r="B863" t="str">
            <v>Transport Turn Table</v>
          </cell>
        </row>
        <row r="864">
          <cell r="A864" t="str">
            <v>Conveyor --- Turn Table 90° 59</v>
          </cell>
          <cell r="B864" t="str">
            <v>Transport Turn Table</v>
          </cell>
        </row>
        <row r="865">
          <cell r="A865" t="str">
            <v>Conveyor --- Turn Table 90° 60</v>
          </cell>
          <cell r="B865" t="str">
            <v>Transport Turn Table</v>
          </cell>
        </row>
        <row r="866">
          <cell r="A866" t="str">
            <v>Conveyor --- Turn Table 90° 61</v>
          </cell>
          <cell r="B866" t="str">
            <v>Transport Turn Table</v>
          </cell>
        </row>
        <row r="867">
          <cell r="A867" t="str">
            <v>Conveyor --- Turn Table 90° 62</v>
          </cell>
          <cell r="B867" t="str">
            <v>Transport Turn Table</v>
          </cell>
        </row>
        <row r="868">
          <cell r="A868" t="str">
            <v>Conveyor --- Turn Table 90° 63</v>
          </cell>
          <cell r="B868" t="str">
            <v>Transport Turn Table</v>
          </cell>
        </row>
        <row r="869">
          <cell r="A869" t="str">
            <v>Conveyor --- Turn Table 90° 64</v>
          </cell>
          <cell r="B869" t="str">
            <v>Transport Turn Table</v>
          </cell>
        </row>
        <row r="870">
          <cell r="A870" t="str">
            <v>Cure Oven --- UV 1</v>
          </cell>
          <cell r="B870" t="str">
            <v>Curing UV</v>
          </cell>
        </row>
        <row r="871">
          <cell r="A871" t="str">
            <v>Cure Oven --- UV 2</v>
          </cell>
          <cell r="B871" t="str">
            <v>Curing UV</v>
          </cell>
        </row>
        <row r="872">
          <cell r="A872" t="str">
            <v>Cure Oven --- UV 3</v>
          </cell>
          <cell r="B872" t="str">
            <v>Curing UV</v>
          </cell>
        </row>
        <row r="873">
          <cell r="A873" t="str">
            <v>Cure Oven --- UV 4</v>
          </cell>
          <cell r="B873" t="str">
            <v>Curing UV</v>
          </cell>
        </row>
        <row r="874">
          <cell r="A874" t="str">
            <v>Cure Oven --- UV 5</v>
          </cell>
          <cell r="B874" t="str">
            <v>Curing UV</v>
          </cell>
        </row>
        <row r="875">
          <cell r="A875" t="str">
            <v>Cure Oven --- UV 6</v>
          </cell>
          <cell r="B875" t="str">
            <v>Curing UV</v>
          </cell>
        </row>
        <row r="876">
          <cell r="A876" t="str">
            <v>Cure Oven --- UV 7</v>
          </cell>
          <cell r="B876" t="str">
            <v>Curing UV</v>
          </cell>
        </row>
        <row r="877">
          <cell r="A877" t="str">
            <v>Cure Oven --- UV 8</v>
          </cell>
          <cell r="B877" t="str">
            <v>Curing UV</v>
          </cell>
        </row>
        <row r="878">
          <cell r="A878" t="str">
            <v>Cure Oven --- UV 9</v>
          </cell>
          <cell r="B878" t="str">
            <v>Curing UV</v>
          </cell>
        </row>
        <row r="879">
          <cell r="A879" t="str">
            <v>Cure Oven --- UV 10</v>
          </cell>
          <cell r="B879" t="str">
            <v>Curing UV</v>
          </cell>
        </row>
        <row r="880">
          <cell r="A880" t="str">
            <v>Curing Oven 1</v>
          </cell>
          <cell r="B880" t="str">
            <v>Curing</v>
          </cell>
        </row>
        <row r="881">
          <cell r="A881" t="str">
            <v>Curing Oven 2</v>
          </cell>
          <cell r="B881" t="str">
            <v>Curing</v>
          </cell>
        </row>
        <row r="882">
          <cell r="A882" t="str">
            <v>Curing Oven 3</v>
          </cell>
          <cell r="B882" t="str">
            <v>Curing</v>
          </cell>
        </row>
        <row r="883">
          <cell r="A883" t="str">
            <v>Curing Oven 4</v>
          </cell>
          <cell r="B883" t="str">
            <v>Curing</v>
          </cell>
        </row>
        <row r="884">
          <cell r="A884" t="str">
            <v>Curing Oven 5</v>
          </cell>
          <cell r="B884" t="str">
            <v>Curing</v>
          </cell>
        </row>
        <row r="885">
          <cell r="A885" t="str">
            <v>Curing Oven 6</v>
          </cell>
          <cell r="B885" t="str">
            <v>Curing</v>
          </cell>
        </row>
        <row r="886">
          <cell r="A886" t="str">
            <v>Curing Oven 7</v>
          </cell>
          <cell r="B886" t="str">
            <v>Curing</v>
          </cell>
        </row>
        <row r="887">
          <cell r="A887" t="str">
            <v>Curing Oven 8</v>
          </cell>
          <cell r="B887" t="str">
            <v>Curing</v>
          </cell>
        </row>
        <row r="888">
          <cell r="A888" t="str">
            <v>Curing Oven 9</v>
          </cell>
          <cell r="B888" t="str">
            <v>Curing</v>
          </cell>
        </row>
        <row r="889">
          <cell r="A889" t="str">
            <v>Curing Oven 10</v>
          </cell>
          <cell r="B889" t="str">
            <v>Curing</v>
          </cell>
        </row>
        <row r="890">
          <cell r="A890" t="str">
            <v>Die Attach 1</v>
          </cell>
          <cell r="B890" t="str">
            <v>Automatic Placement --- Die</v>
          </cell>
        </row>
        <row r="891">
          <cell r="A891" t="str">
            <v>Die Attach 2</v>
          </cell>
          <cell r="B891" t="str">
            <v>Automatic Placement --- Die</v>
          </cell>
        </row>
        <row r="892">
          <cell r="A892" t="str">
            <v>Die Attach 3</v>
          </cell>
          <cell r="B892" t="str">
            <v>Automatic Placement --- Die</v>
          </cell>
        </row>
        <row r="893">
          <cell r="A893" t="str">
            <v>Die Attach 4</v>
          </cell>
          <cell r="B893" t="str">
            <v>Automatic Placement --- Die</v>
          </cell>
        </row>
        <row r="894">
          <cell r="A894" t="str">
            <v>Die Attach 5</v>
          </cell>
          <cell r="B894" t="str">
            <v>Automatic Placement --- Die</v>
          </cell>
        </row>
        <row r="895">
          <cell r="A895" t="str">
            <v>Die Attach 6</v>
          </cell>
          <cell r="B895" t="str">
            <v>Automatic Placement --- Die</v>
          </cell>
        </row>
        <row r="896">
          <cell r="A896" t="str">
            <v>Die Attach 7</v>
          </cell>
          <cell r="B896" t="str">
            <v>Automatic Placement --- Die</v>
          </cell>
        </row>
        <row r="897">
          <cell r="A897" t="str">
            <v>Die Attach 8</v>
          </cell>
          <cell r="B897" t="str">
            <v>Automatic Placement --- Die</v>
          </cell>
        </row>
        <row r="898">
          <cell r="A898" t="str">
            <v>Die Attach 9</v>
          </cell>
          <cell r="B898" t="str">
            <v>Automatic Placement --- Die</v>
          </cell>
        </row>
        <row r="899">
          <cell r="A899" t="str">
            <v>Die Attach 10</v>
          </cell>
          <cell r="B899" t="str">
            <v>Automatic Placement --- Die</v>
          </cell>
        </row>
        <row r="900">
          <cell r="A900" t="str">
            <v>Dispensing --- TIM 1</v>
          </cell>
          <cell r="B900" t="str">
            <v>Dispensing TIM</v>
          </cell>
        </row>
        <row r="901">
          <cell r="A901" t="str">
            <v>Dispensing --- TIM 2</v>
          </cell>
          <cell r="B901" t="str">
            <v>Dispensing TIM</v>
          </cell>
        </row>
        <row r="902">
          <cell r="A902" t="str">
            <v>Dispensing --- TIM 3</v>
          </cell>
          <cell r="B902" t="str">
            <v>Dispensing TIM</v>
          </cell>
        </row>
        <row r="903">
          <cell r="A903" t="str">
            <v>Dispensing --- TIM 4</v>
          </cell>
          <cell r="B903" t="str">
            <v>Dispensing TIM</v>
          </cell>
        </row>
        <row r="904">
          <cell r="A904" t="str">
            <v>Dispensing --- TIM 5</v>
          </cell>
          <cell r="B904" t="str">
            <v>Dispensing TIM</v>
          </cell>
        </row>
        <row r="905">
          <cell r="A905" t="str">
            <v>Dispensing --- TIM 6</v>
          </cell>
          <cell r="B905" t="str">
            <v>Dispensing TIM</v>
          </cell>
        </row>
        <row r="906">
          <cell r="A906" t="str">
            <v>Dispensing --- TIM 7</v>
          </cell>
          <cell r="B906" t="str">
            <v>Dispensing TIM</v>
          </cell>
        </row>
        <row r="907">
          <cell r="A907" t="str">
            <v>Dispensing --- TIM 8</v>
          </cell>
          <cell r="B907" t="str">
            <v>Dispensing TIM</v>
          </cell>
        </row>
        <row r="908">
          <cell r="A908" t="str">
            <v>Dispensing --- TIM 9</v>
          </cell>
          <cell r="B908" t="str">
            <v>Dispensing TIM</v>
          </cell>
        </row>
        <row r="909">
          <cell r="A909" t="str">
            <v>Dispensing --- TIM 10</v>
          </cell>
          <cell r="B909" t="str">
            <v>Dispensing TIM</v>
          </cell>
        </row>
        <row r="910">
          <cell r="A910" t="str">
            <v>Dispensing Conformal Coating 1</v>
          </cell>
          <cell r="B910" t="str">
            <v>Dispensing Conformal Coating</v>
          </cell>
        </row>
        <row r="911">
          <cell r="A911" t="str">
            <v>Dispensing Conformal Coating 2</v>
          </cell>
          <cell r="B911" t="str">
            <v>Dispensing Conformal Coating</v>
          </cell>
        </row>
        <row r="912">
          <cell r="A912" t="str">
            <v>Dispensing Conformal Coating 3</v>
          </cell>
          <cell r="B912" t="str">
            <v>Dispensing Conformal Coating</v>
          </cell>
        </row>
        <row r="913">
          <cell r="A913" t="str">
            <v>Dispensing Conformal Coating 4</v>
          </cell>
          <cell r="B913" t="str">
            <v>Dispensing Conformal Coating</v>
          </cell>
        </row>
        <row r="914">
          <cell r="A914" t="str">
            <v>Dispensing Conformal Coating 5</v>
          </cell>
          <cell r="B914" t="str">
            <v>Dispensing Conformal Coating</v>
          </cell>
        </row>
        <row r="915">
          <cell r="A915" t="str">
            <v>Dispensing Conformal Coating 6</v>
          </cell>
          <cell r="B915" t="str">
            <v>Dispensing Conformal Coating</v>
          </cell>
        </row>
        <row r="916">
          <cell r="A916" t="str">
            <v>Dispensing Conformal Coating 7</v>
          </cell>
          <cell r="B916" t="str">
            <v>Dispensing Conformal Coating</v>
          </cell>
        </row>
        <row r="917">
          <cell r="A917" t="str">
            <v>Dispensing Conformal Coating 8</v>
          </cell>
          <cell r="B917" t="str">
            <v>Dispensing Conformal Coating</v>
          </cell>
        </row>
        <row r="918">
          <cell r="A918" t="str">
            <v>Dispensing Conformal Coating 9</v>
          </cell>
          <cell r="B918" t="str">
            <v>Dispensing Conformal Coating</v>
          </cell>
        </row>
        <row r="919">
          <cell r="A919" t="str">
            <v>Dispensing Conformal Coating 10</v>
          </cell>
          <cell r="B919" t="str">
            <v>Dispensing Conformal Coating</v>
          </cell>
        </row>
        <row r="920">
          <cell r="A920" t="str">
            <v>Dispensing Conformal Coating 11</v>
          </cell>
          <cell r="B920" t="str">
            <v>Dispensing Conformal Coating</v>
          </cell>
        </row>
        <row r="921">
          <cell r="A921" t="str">
            <v>Dispensing Conformal Coating 12</v>
          </cell>
          <cell r="B921" t="str">
            <v>Dispensing Conformal Coating</v>
          </cell>
        </row>
        <row r="922">
          <cell r="A922" t="str">
            <v>Dispensing Conformal Coating 13</v>
          </cell>
          <cell r="B922" t="str">
            <v>Dispensing Conformal Coating</v>
          </cell>
        </row>
        <row r="923">
          <cell r="A923" t="str">
            <v>Dispensing Conformal Coating 14</v>
          </cell>
          <cell r="B923" t="str">
            <v>Dispensing Conformal Coating</v>
          </cell>
        </row>
        <row r="924">
          <cell r="A924" t="str">
            <v>Dispensing Conformal Coating 15</v>
          </cell>
          <cell r="B924" t="str">
            <v>Dispensing Conformal Coating</v>
          </cell>
        </row>
        <row r="925">
          <cell r="A925" t="str">
            <v>Dispensing Conformal Coating 16</v>
          </cell>
          <cell r="B925" t="str">
            <v>Dispensing Conformal Coating</v>
          </cell>
        </row>
        <row r="926">
          <cell r="A926" t="str">
            <v>Dispensing Conformal Coating 17</v>
          </cell>
          <cell r="B926" t="str">
            <v>Dispensing Conformal Coating</v>
          </cell>
        </row>
        <row r="927">
          <cell r="A927" t="str">
            <v>Dispensing Conformal Coating 18</v>
          </cell>
          <cell r="B927" t="str">
            <v>Dispensing Conformal Coating</v>
          </cell>
        </row>
        <row r="928">
          <cell r="A928" t="str">
            <v>Dispensing Conformal Coating 19</v>
          </cell>
          <cell r="B928" t="str">
            <v>Dispensing Conformal Coating</v>
          </cell>
        </row>
        <row r="929">
          <cell r="A929" t="str">
            <v>Dispensing Conformal Coating 20</v>
          </cell>
          <cell r="B929" t="str">
            <v>Dispensing Conformal Coating</v>
          </cell>
        </row>
        <row r="930">
          <cell r="A930" t="str">
            <v>Dispensing Conformal Coating 21</v>
          </cell>
          <cell r="B930" t="str">
            <v>Dispensing Conformal Coating</v>
          </cell>
        </row>
        <row r="931">
          <cell r="A931" t="str">
            <v>Dispensing Conformal Coating 22</v>
          </cell>
          <cell r="B931" t="str">
            <v>Dispensing Conformal Coating</v>
          </cell>
        </row>
        <row r="932">
          <cell r="A932" t="str">
            <v>Dispensing Conformal Coating 23</v>
          </cell>
          <cell r="B932" t="str">
            <v>Dispensing Conformal Coating</v>
          </cell>
        </row>
        <row r="933">
          <cell r="A933" t="str">
            <v>Dispensing Conformal Coating 24</v>
          </cell>
          <cell r="B933" t="str">
            <v>Dispensing Conformal Coating</v>
          </cell>
        </row>
        <row r="934">
          <cell r="A934" t="str">
            <v>Dispensing Conformal Coating 25</v>
          </cell>
          <cell r="B934" t="str">
            <v>Dispensing Conformal Coating</v>
          </cell>
        </row>
        <row r="935">
          <cell r="A935" t="str">
            <v>Dispensing Conformal Coating 26</v>
          </cell>
          <cell r="B935" t="str">
            <v>Dispensing Conformal Coating</v>
          </cell>
        </row>
        <row r="936">
          <cell r="A936" t="str">
            <v>Dispensing Conformal Coating 27</v>
          </cell>
          <cell r="B936" t="str">
            <v>Dispensing Conformal Coating</v>
          </cell>
        </row>
        <row r="937">
          <cell r="A937" t="str">
            <v>Dispensing Conformal Coating 28</v>
          </cell>
          <cell r="B937" t="str">
            <v>Dispensing Conformal Coating</v>
          </cell>
        </row>
        <row r="938">
          <cell r="A938" t="str">
            <v>Dispensing Conformal Coating 29</v>
          </cell>
          <cell r="B938" t="str">
            <v>Dispensing Conformal Coating</v>
          </cell>
        </row>
        <row r="939">
          <cell r="A939" t="str">
            <v>Dispensing Conformal Coating 30</v>
          </cell>
          <cell r="B939" t="str">
            <v>Dispensing Conformal Coating</v>
          </cell>
        </row>
        <row r="940">
          <cell r="A940" t="str">
            <v>Dispensing Encapsulant 1</v>
          </cell>
          <cell r="B940" t="str">
            <v>Dispensing Encapsulant</v>
          </cell>
        </row>
        <row r="941">
          <cell r="A941" t="str">
            <v>Dispensing Encapsulant 2</v>
          </cell>
          <cell r="B941" t="str">
            <v>Dispensing Encapsulant</v>
          </cell>
        </row>
        <row r="942">
          <cell r="A942" t="str">
            <v>Dispensing Encapsulant 3</v>
          </cell>
          <cell r="B942" t="str">
            <v>Dispensing Encapsulant</v>
          </cell>
        </row>
        <row r="943">
          <cell r="A943" t="str">
            <v>Dispensing Encapsulant 4</v>
          </cell>
          <cell r="B943" t="str">
            <v>Dispensing Encapsulant</v>
          </cell>
        </row>
        <row r="944">
          <cell r="A944" t="str">
            <v>Dispensing Flux 1</v>
          </cell>
          <cell r="B944" t="str">
            <v>Dispensing Flux</v>
          </cell>
        </row>
        <row r="945">
          <cell r="A945" t="str">
            <v>Dispensing Flux 2</v>
          </cell>
          <cell r="B945" t="str">
            <v>Dispensing Flux</v>
          </cell>
        </row>
        <row r="946">
          <cell r="A946" t="str">
            <v>Dispensing Flux 3</v>
          </cell>
          <cell r="B946" t="str">
            <v>Dispensing Flux</v>
          </cell>
        </row>
        <row r="947">
          <cell r="A947" t="str">
            <v>Dispensing Flux 4</v>
          </cell>
          <cell r="B947" t="str">
            <v>Dispensing Flux</v>
          </cell>
        </row>
        <row r="948">
          <cell r="A948" t="str">
            <v>Dispensing Flux 5</v>
          </cell>
          <cell r="B948" t="str">
            <v>Dispensing Flux</v>
          </cell>
        </row>
        <row r="949">
          <cell r="A949" t="str">
            <v>Dispensing Flux 6</v>
          </cell>
          <cell r="B949" t="str">
            <v>Dispensing Flux</v>
          </cell>
        </row>
        <row r="950">
          <cell r="A950" t="str">
            <v>Dispensing Flux 7</v>
          </cell>
          <cell r="B950" t="str">
            <v>Dispensing Flux</v>
          </cell>
        </row>
        <row r="951">
          <cell r="A951" t="str">
            <v>Dispensing Flux 8</v>
          </cell>
          <cell r="B951" t="str">
            <v>Dispensing Flux</v>
          </cell>
        </row>
        <row r="952">
          <cell r="A952" t="str">
            <v>Dispensing Glue 1</v>
          </cell>
          <cell r="B952" t="str">
            <v>Dispensing Glue</v>
          </cell>
        </row>
        <row r="953">
          <cell r="A953" t="str">
            <v>Dispensing Glue 2</v>
          </cell>
          <cell r="B953" t="str">
            <v>Dispensing Glue</v>
          </cell>
        </row>
        <row r="954">
          <cell r="A954" t="str">
            <v>Dispensing Glue 3</v>
          </cell>
          <cell r="B954" t="str">
            <v>Dispensing Glue</v>
          </cell>
        </row>
        <row r="955">
          <cell r="A955" t="str">
            <v>Dispensing Glue 4</v>
          </cell>
          <cell r="B955" t="str">
            <v>Dispensing Glue</v>
          </cell>
        </row>
        <row r="956">
          <cell r="A956" t="str">
            <v>Dispensing Glue 5</v>
          </cell>
          <cell r="B956" t="str">
            <v>Dispensing Glue</v>
          </cell>
        </row>
        <row r="957">
          <cell r="A957" t="str">
            <v>Dispensing Glue 6</v>
          </cell>
          <cell r="B957" t="str">
            <v>Dispensing Glue</v>
          </cell>
        </row>
        <row r="958">
          <cell r="A958" t="str">
            <v>Dispensing Glue 7</v>
          </cell>
          <cell r="B958" t="str">
            <v>Dispensing Glue</v>
          </cell>
        </row>
        <row r="959">
          <cell r="A959" t="str">
            <v>Dispensing Glue 8</v>
          </cell>
          <cell r="B959" t="str">
            <v>Dispensing Glue</v>
          </cell>
        </row>
        <row r="960">
          <cell r="A960" t="str">
            <v>Dispensing Glue 9</v>
          </cell>
          <cell r="B960" t="str">
            <v>Dispensing Glue</v>
          </cell>
        </row>
        <row r="961">
          <cell r="A961" t="str">
            <v>Dispensing Glue 10</v>
          </cell>
          <cell r="B961" t="str">
            <v>Dispensing Glue</v>
          </cell>
        </row>
        <row r="962">
          <cell r="A962" t="str">
            <v>Dispensing Glue 11</v>
          </cell>
          <cell r="B962" t="str">
            <v>Dispensing Glue</v>
          </cell>
        </row>
        <row r="963">
          <cell r="A963" t="str">
            <v>Dispensing Glue 1 Dual Lane</v>
          </cell>
          <cell r="B963" t="str">
            <v>Dispensing Glue</v>
          </cell>
        </row>
        <row r="964">
          <cell r="A964" t="str">
            <v>Dispensing Glue 2 Dual Lane</v>
          </cell>
          <cell r="B964" t="str">
            <v>Dispensing Glue</v>
          </cell>
        </row>
        <row r="965">
          <cell r="A965" t="str">
            <v>Dispensing Glue 3 Dual Lane</v>
          </cell>
          <cell r="B965" t="str">
            <v>Dispensing Glue</v>
          </cell>
        </row>
        <row r="966">
          <cell r="A966" t="str">
            <v>Dispensing Glue 4 Dual Lane</v>
          </cell>
          <cell r="B966" t="str">
            <v>Dispensing Glue</v>
          </cell>
        </row>
        <row r="967">
          <cell r="A967" t="str">
            <v>Dispensing Glue 5 Dual Lane</v>
          </cell>
          <cell r="B967" t="str">
            <v>Dispensing Glue</v>
          </cell>
        </row>
        <row r="968">
          <cell r="A968" t="str">
            <v>Dispensing Glue 6 Dual Lane</v>
          </cell>
          <cell r="B968" t="str">
            <v>Dispensing Glue</v>
          </cell>
        </row>
        <row r="969">
          <cell r="A969" t="str">
            <v>Dispensing Glue 7 Dual Lane</v>
          </cell>
          <cell r="B969" t="str">
            <v>Dispensing Glue</v>
          </cell>
        </row>
        <row r="970">
          <cell r="A970" t="str">
            <v>Dispensing Glue 8 Dual Lane</v>
          </cell>
          <cell r="B970" t="str">
            <v>Dispensing Glue</v>
          </cell>
        </row>
        <row r="971">
          <cell r="A971" t="str">
            <v>Dispensing Glue 9 Dual Lane</v>
          </cell>
          <cell r="B971" t="str">
            <v>Dispensing Glue</v>
          </cell>
        </row>
        <row r="972">
          <cell r="A972" t="str">
            <v>Dispensing Glue 10 Dual Lane</v>
          </cell>
          <cell r="B972" t="str">
            <v>Dispensing Glue</v>
          </cell>
        </row>
        <row r="973">
          <cell r="A973" t="str">
            <v>Dispensing Glue 11 Dual Lane</v>
          </cell>
          <cell r="B973" t="str">
            <v>Dispensing Glue</v>
          </cell>
        </row>
        <row r="974">
          <cell r="A974" t="str">
            <v>Dispensing Nanocoating 1</v>
          </cell>
          <cell r="B974" t="str">
            <v>Dispensing Nanocoating</v>
          </cell>
        </row>
        <row r="975">
          <cell r="A975" t="str">
            <v>Dispensing Nanocoating 2</v>
          </cell>
          <cell r="B975" t="str">
            <v>Dispensing Nanocoating</v>
          </cell>
        </row>
        <row r="976">
          <cell r="A976" t="str">
            <v>Dispensing Nanocoating 3</v>
          </cell>
          <cell r="B976" t="str">
            <v>Dispensing Nanocoating</v>
          </cell>
        </row>
        <row r="977">
          <cell r="A977" t="str">
            <v>Dispensing Nanocoating 4</v>
          </cell>
          <cell r="B977" t="str">
            <v>Dispensing Nanocoating</v>
          </cell>
        </row>
        <row r="978">
          <cell r="A978" t="str">
            <v>Dispensing Nanocoating 5</v>
          </cell>
          <cell r="B978" t="str">
            <v>Dispensing Nanocoating</v>
          </cell>
        </row>
        <row r="979">
          <cell r="A979" t="str">
            <v>Dispensing Nanocoating 6</v>
          </cell>
          <cell r="B979" t="str">
            <v>Dispensing Nanocoating</v>
          </cell>
        </row>
        <row r="980">
          <cell r="A980" t="str">
            <v>Dispensing Nanocoating 7</v>
          </cell>
          <cell r="B980" t="str">
            <v>Dispensing Nanocoating</v>
          </cell>
        </row>
        <row r="981">
          <cell r="A981" t="str">
            <v>Dispensing Nanocoating 8</v>
          </cell>
          <cell r="B981" t="str">
            <v>Dispensing Nanocoating</v>
          </cell>
        </row>
        <row r="982">
          <cell r="A982" t="str">
            <v>Dispensing Nanocoating 9</v>
          </cell>
          <cell r="B982" t="str">
            <v>Dispensing Nanocoating</v>
          </cell>
        </row>
        <row r="983">
          <cell r="A983" t="str">
            <v>Dispensing Nanocoating 10</v>
          </cell>
          <cell r="B983" t="str">
            <v>Dispensing Nanocoating</v>
          </cell>
        </row>
        <row r="984">
          <cell r="A984" t="str">
            <v>Dispensing Potting 1</v>
          </cell>
          <cell r="B984" t="str">
            <v>Dispensing Potting</v>
          </cell>
        </row>
        <row r="985">
          <cell r="A985" t="str">
            <v>Dispensing Potting 2</v>
          </cell>
          <cell r="B985" t="str">
            <v>Dispensing Potting</v>
          </cell>
        </row>
        <row r="986">
          <cell r="A986" t="str">
            <v>Dispensing Potting 3</v>
          </cell>
          <cell r="B986" t="str">
            <v>Dispensing Potting</v>
          </cell>
        </row>
        <row r="987">
          <cell r="A987" t="str">
            <v>Dispensing Potting 4</v>
          </cell>
          <cell r="B987" t="str">
            <v>Dispensing Potting</v>
          </cell>
        </row>
        <row r="988">
          <cell r="A988" t="str">
            <v>Dispensing Potting 5</v>
          </cell>
          <cell r="B988" t="str">
            <v>Dispensing Potting</v>
          </cell>
        </row>
        <row r="989">
          <cell r="A989" t="str">
            <v>Dispensing Potting 6</v>
          </cell>
          <cell r="B989" t="str">
            <v>Dispensing Potting</v>
          </cell>
        </row>
        <row r="990">
          <cell r="A990" t="str">
            <v>Dispensing Potting 7</v>
          </cell>
          <cell r="B990" t="str">
            <v>Dispensing Potting</v>
          </cell>
        </row>
        <row r="991">
          <cell r="A991" t="str">
            <v>Dispensing Potting 8</v>
          </cell>
          <cell r="B991" t="str">
            <v>Dispensing Potting</v>
          </cell>
        </row>
        <row r="992">
          <cell r="A992" t="str">
            <v>Dispensing Potting 9</v>
          </cell>
          <cell r="B992" t="str">
            <v>Dispensing Potting</v>
          </cell>
        </row>
        <row r="993">
          <cell r="A993" t="str">
            <v>Dispensing Potting 10</v>
          </cell>
          <cell r="B993" t="str">
            <v>Dispensing Potting</v>
          </cell>
        </row>
        <row r="994">
          <cell r="A994" t="str">
            <v>Dispensing RTV 1</v>
          </cell>
          <cell r="B994" t="str">
            <v>Dispensing RTV</v>
          </cell>
        </row>
        <row r="995">
          <cell r="A995" t="str">
            <v>Dispensing RTV 2</v>
          </cell>
          <cell r="B995" t="str">
            <v>Dispensing RTV</v>
          </cell>
        </row>
        <row r="996">
          <cell r="A996" t="str">
            <v>Dispensing RTV 3</v>
          </cell>
          <cell r="B996" t="str">
            <v>Dispensing RTV</v>
          </cell>
        </row>
        <row r="997">
          <cell r="A997" t="str">
            <v>Dispensing RTV 4</v>
          </cell>
          <cell r="B997" t="str">
            <v>Dispensing RTV</v>
          </cell>
        </row>
        <row r="998">
          <cell r="A998" t="str">
            <v>Dispensing RTV 5</v>
          </cell>
          <cell r="B998" t="str">
            <v>Dispensing RTV</v>
          </cell>
        </row>
        <row r="999">
          <cell r="A999" t="str">
            <v>Dispensing RTV 6</v>
          </cell>
          <cell r="B999" t="str">
            <v>Dispensing RTV</v>
          </cell>
        </row>
        <row r="1000">
          <cell r="A1000" t="str">
            <v>Dispensing RTV 7</v>
          </cell>
          <cell r="B1000" t="str">
            <v>Dispensing RTV</v>
          </cell>
        </row>
        <row r="1001">
          <cell r="A1001" t="str">
            <v>Dispensing RTV 8</v>
          </cell>
          <cell r="B1001" t="str">
            <v>Dispensing RTV</v>
          </cell>
        </row>
        <row r="1002">
          <cell r="A1002" t="str">
            <v>Dispensing RTV 9</v>
          </cell>
          <cell r="B1002" t="str">
            <v>Dispensing RTV</v>
          </cell>
        </row>
        <row r="1003">
          <cell r="A1003" t="str">
            <v>Dispensing RTV 10</v>
          </cell>
          <cell r="B1003" t="str">
            <v>Dispensing RTV</v>
          </cell>
        </row>
        <row r="1004">
          <cell r="A1004" t="str">
            <v>Dispensing Solder Paste 1</v>
          </cell>
          <cell r="B1004" t="str">
            <v>Dispensing Solder Pate</v>
          </cell>
        </row>
        <row r="1005">
          <cell r="A1005" t="str">
            <v>Dispensing Solder Paste 2</v>
          </cell>
          <cell r="B1005" t="str">
            <v>Dispensing Solder Pate</v>
          </cell>
        </row>
        <row r="1006">
          <cell r="A1006" t="str">
            <v>Dispensing Solder Paste 3</v>
          </cell>
          <cell r="B1006" t="str">
            <v>Dispensing Solder Pate</v>
          </cell>
        </row>
        <row r="1007">
          <cell r="A1007" t="str">
            <v>Dispensing Solder Paste 4</v>
          </cell>
          <cell r="B1007" t="str">
            <v>Dispensing Solder Pate</v>
          </cell>
        </row>
        <row r="1008">
          <cell r="A1008" t="str">
            <v>Dispensing Solder Paste 5</v>
          </cell>
          <cell r="B1008" t="str">
            <v>Dispensing Solder Pate</v>
          </cell>
        </row>
        <row r="1009">
          <cell r="A1009" t="str">
            <v>Dispensing Solder Paste 6</v>
          </cell>
          <cell r="B1009" t="str">
            <v>Dispensing Solder Pate</v>
          </cell>
        </row>
        <row r="1010">
          <cell r="A1010" t="str">
            <v>Dispensing Solder Paste 7</v>
          </cell>
          <cell r="B1010" t="str">
            <v>Dispensing Solder Pate</v>
          </cell>
        </row>
        <row r="1011">
          <cell r="A1011" t="str">
            <v>Dispensing Solder Paste 8</v>
          </cell>
          <cell r="B1011" t="str">
            <v>Dispensing Solder Pate</v>
          </cell>
        </row>
        <row r="1012">
          <cell r="A1012" t="str">
            <v>Dispensing underfill 1</v>
          </cell>
          <cell r="B1012" t="str">
            <v>Dispensing Underfill</v>
          </cell>
        </row>
        <row r="1013">
          <cell r="A1013" t="str">
            <v>Dispensing underfill 2</v>
          </cell>
          <cell r="B1013" t="str">
            <v>Dispensing Underfill</v>
          </cell>
        </row>
        <row r="1014">
          <cell r="A1014" t="str">
            <v>Dispensing underfill 3</v>
          </cell>
          <cell r="B1014" t="str">
            <v>Dispensing Underfill</v>
          </cell>
        </row>
        <row r="1015">
          <cell r="A1015" t="str">
            <v>Dispensing underfill 4</v>
          </cell>
          <cell r="B1015" t="str">
            <v>Dispensing Underfill</v>
          </cell>
        </row>
        <row r="1016">
          <cell r="A1016" t="str">
            <v>Dispensing underfill 5</v>
          </cell>
          <cell r="B1016" t="str">
            <v>Dispensing Underfill</v>
          </cell>
        </row>
        <row r="1017">
          <cell r="A1017" t="str">
            <v>Dispensing underfill 6</v>
          </cell>
          <cell r="B1017" t="str">
            <v>Dispensing Underfill</v>
          </cell>
        </row>
        <row r="1018">
          <cell r="A1018" t="str">
            <v>Dispensing underfill 7</v>
          </cell>
          <cell r="B1018" t="str">
            <v>Dispensing Underfill</v>
          </cell>
        </row>
        <row r="1019">
          <cell r="A1019" t="str">
            <v>Dispensing underfill 8</v>
          </cell>
          <cell r="B1019" t="str">
            <v>Dispensing Underfill</v>
          </cell>
        </row>
        <row r="1020">
          <cell r="A1020" t="str">
            <v>Dispensing underfill 9</v>
          </cell>
          <cell r="B1020" t="str">
            <v>Dispensing Underfill</v>
          </cell>
        </row>
        <row r="1021">
          <cell r="A1021" t="str">
            <v>Dispensing underfill 10</v>
          </cell>
          <cell r="B1021" t="str">
            <v>Dispensing Underfill</v>
          </cell>
        </row>
        <row r="1022">
          <cell r="A1022" t="str">
            <v>Heat Stake 1</v>
          </cell>
          <cell r="B1022" t="str">
            <v>Mechanical Assembly</v>
          </cell>
        </row>
        <row r="1023">
          <cell r="A1023" t="str">
            <v>Heat Stake 2</v>
          </cell>
          <cell r="B1023" t="str">
            <v>Mechanical Assembly</v>
          </cell>
        </row>
        <row r="1024">
          <cell r="A1024" t="str">
            <v>Heat Stake 3</v>
          </cell>
          <cell r="B1024" t="str">
            <v>Mechanical Assembly</v>
          </cell>
        </row>
        <row r="1025">
          <cell r="A1025" t="str">
            <v>Heat Stake 4</v>
          </cell>
          <cell r="B1025" t="str">
            <v>Mechanical Assembly</v>
          </cell>
        </row>
        <row r="1026">
          <cell r="A1026" t="str">
            <v>Labeling Housing 1</v>
          </cell>
          <cell r="B1026" t="str">
            <v>Manual Labeling Housing</v>
          </cell>
        </row>
        <row r="1027">
          <cell r="A1027" t="str">
            <v>Laser Marker --- PCB 1</v>
          </cell>
          <cell r="B1027" t="str">
            <v>Labeling</v>
          </cell>
        </row>
        <row r="1028">
          <cell r="A1028" t="str">
            <v>Laser Marker --- PCB 2</v>
          </cell>
          <cell r="B1028" t="str">
            <v>Labeling</v>
          </cell>
        </row>
        <row r="1029">
          <cell r="A1029" t="str">
            <v>Laser Marker --- PCB 3</v>
          </cell>
          <cell r="B1029" t="str">
            <v>Labeling</v>
          </cell>
        </row>
        <row r="1030">
          <cell r="A1030" t="str">
            <v>Laser Marker --- PCB 4</v>
          </cell>
          <cell r="B1030" t="str">
            <v>Labeling</v>
          </cell>
        </row>
        <row r="1031">
          <cell r="A1031" t="str">
            <v>Laser Marker --- Plastics 1</v>
          </cell>
          <cell r="B1031" t="str">
            <v>Labeling</v>
          </cell>
        </row>
        <row r="1032">
          <cell r="A1032" t="str">
            <v>Laser Marker --- Plastics 2</v>
          </cell>
          <cell r="B1032" t="str">
            <v>Labeling</v>
          </cell>
        </row>
        <row r="1033">
          <cell r="A1033" t="str">
            <v>Laser Marker --- Plastics 3</v>
          </cell>
          <cell r="B1033" t="str">
            <v>Labeling</v>
          </cell>
        </row>
        <row r="1034">
          <cell r="A1034" t="str">
            <v>Laser Marker --- Plastics 4</v>
          </cell>
          <cell r="B1034" t="str">
            <v>Labeling</v>
          </cell>
        </row>
        <row r="1035">
          <cell r="A1035" t="str">
            <v>Lead Forming --- Axial/ Radial Component 1</v>
          </cell>
          <cell r="B1035" t="str">
            <v>Material Preparation</v>
          </cell>
        </row>
        <row r="1036">
          <cell r="A1036" t="str">
            <v>Lead Forming --- Axial/ Radial Component 2</v>
          </cell>
          <cell r="B1036" t="str">
            <v>Material Preparation</v>
          </cell>
        </row>
        <row r="1037">
          <cell r="A1037" t="str">
            <v>Lead Forming --- Axial/ Radial Component 3</v>
          </cell>
          <cell r="B1037" t="str">
            <v>Material Preparation</v>
          </cell>
        </row>
        <row r="1038">
          <cell r="A1038" t="str">
            <v>Lead Forming --- Axial/ Radial Component 4</v>
          </cell>
          <cell r="B1038" t="str">
            <v>Material Preparation</v>
          </cell>
        </row>
        <row r="1039">
          <cell r="A1039" t="str">
            <v>Lead Trimming --- Axial/ Radial Component 1</v>
          </cell>
          <cell r="B1039" t="str">
            <v>Material Preparation</v>
          </cell>
        </row>
        <row r="1040">
          <cell r="A1040" t="str">
            <v>Lead Trimming --- Axial/ Radial Component 2</v>
          </cell>
          <cell r="B1040" t="str">
            <v>Material Preparation</v>
          </cell>
        </row>
        <row r="1041">
          <cell r="A1041" t="str">
            <v>Lead Trimming --- Axial/ Radial Component 3</v>
          </cell>
          <cell r="B1041" t="str">
            <v>Material Preparation</v>
          </cell>
        </row>
        <row r="1042">
          <cell r="A1042" t="str">
            <v>Lead Trimming --- Axial/ Radial Component 4</v>
          </cell>
          <cell r="B1042" t="str">
            <v>Material Preparation</v>
          </cell>
        </row>
        <row r="1043">
          <cell r="A1043" t="str">
            <v>P&amp;P Plastic parts 1</v>
          </cell>
          <cell r="B1043" t="str">
            <v>Automatic Placement --- Plastics</v>
          </cell>
        </row>
        <row r="1044">
          <cell r="A1044" t="str">
            <v>P&amp;P Plastic parts 2</v>
          </cell>
          <cell r="B1044" t="str">
            <v>Automatic Placement --- Plastics</v>
          </cell>
        </row>
        <row r="1045">
          <cell r="A1045" t="str">
            <v>P&amp;P Plastic parts 3</v>
          </cell>
          <cell r="B1045" t="str">
            <v>Automatic Placement --- Plastics</v>
          </cell>
        </row>
        <row r="1046">
          <cell r="A1046" t="str">
            <v>P&amp;P Plastic parts 4</v>
          </cell>
          <cell r="B1046" t="str">
            <v>Automatic Placement --- Plastics</v>
          </cell>
        </row>
        <row r="1047">
          <cell r="A1047" t="str">
            <v>Packaging 1</v>
          </cell>
          <cell r="B1047" t="str">
            <v>Manual Process</v>
          </cell>
        </row>
        <row r="1048">
          <cell r="A1048" t="str">
            <v>Packaging 2</v>
          </cell>
          <cell r="B1048" t="str">
            <v>Manual Process</v>
          </cell>
        </row>
        <row r="1049">
          <cell r="A1049" t="str">
            <v>Packaging 3</v>
          </cell>
          <cell r="B1049" t="str">
            <v>Manual Process</v>
          </cell>
        </row>
        <row r="1050">
          <cell r="A1050" t="str">
            <v>Packaging 4</v>
          </cell>
          <cell r="B1050" t="str">
            <v>Manual Process</v>
          </cell>
        </row>
        <row r="1051">
          <cell r="A1051" t="str">
            <v>PCB Cleaning 1</v>
          </cell>
          <cell r="B1051" t="str">
            <v>Cleaning PCB</v>
          </cell>
        </row>
        <row r="1052">
          <cell r="A1052" t="str">
            <v>PCB Cleaning 2</v>
          </cell>
          <cell r="B1052" t="str">
            <v>Cleaning PCB</v>
          </cell>
        </row>
        <row r="1053">
          <cell r="A1053" t="str">
            <v>PCB Cleaning 3</v>
          </cell>
          <cell r="B1053" t="str">
            <v>Cleaning PCB</v>
          </cell>
        </row>
        <row r="1054">
          <cell r="A1054" t="str">
            <v>PCB Cleaning 4</v>
          </cell>
          <cell r="B1054" t="str">
            <v>Cleaning PCB</v>
          </cell>
        </row>
        <row r="1055">
          <cell r="A1055" t="str">
            <v>PCB Cleaning 5</v>
          </cell>
          <cell r="B1055" t="str">
            <v>Cleaning PCB</v>
          </cell>
        </row>
        <row r="1056">
          <cell r="A1056" t="str">
            <v>PCB Cleaning 6</v>
          </cell>
          <cell r="B1056" t="str">
            <v>Cleaning PCB</v>
          </cell>
        </row>
        <row r="1057">
          <cell r="A1057" t="str">
            <v>PCB Cleaning 7</v>
          </cell>
          <cell r="B1057" t="str">
            <v>Cleaning PCB</v>
          </cell>
        </row>
        <row r="1058">
          <cell r="A1058" t="str">
            <v>PCB Cleaning 8</v>
          </cell>
          <cell r="B1058" t="str">
            <v>Cleaning PCB</v>
          </cell>
        </row>
        <row r="1059">
          <cell r="A1059" t="str">
            <v>PCB Cleaning 1 Dual Lane</v>
          </cell>
          <cell r="B1059" t="str">
            <v>Cleaning PCB</v>
          </cell>
        </row>
        <row r="1060">
          <cell r="A1060" t="str">
            <v>PCB Cleaning 2 Dual Lane</v>
          </cell>
          <cell r="B1060" t="str">
            <v>Cleaning PCB</v>
          </cell>
        </row>
        <row r="1061">
          <cell r="A1061" t="str">
            <v>PCB Cleaning 3 Dual Lane</v>
          </cell>
          <cell r="B1061" t="str">
            <v>Cleaning PCB</v>
          </cell>
        </row>
        <row r="1062">
          <cell r="A1062" t="str">
            <v>PCB Cleaning 4 Dual Lane</v>
          </cell>
          <cell r="B1062" t="str">
            <v>Cleaning PCB</v>
          </cell>
        </row>
        <row r="1063">
          <cell r="A1063" t="str">
            <v>PCB Cleaning 5 Dual Lane</v>
          </cell>
          <cell r="B1063" t="str">
            <v>Cleaning PCB</v>
          </cell>
        </row>
        <row r="1064">
          <cell r="A1064" t="str">
            <v>PCB Cleaning 6 Dual Lane</v>
          </cell>
          <cell r="B1064" t="str">
            <v>Cleaning PCB</v>
          </cell>
        </row>
        <row r="1065">
          <cell r="A1065" t="str">
            <v>PCB Cleaning 7 Dual Lane</v>
          </cell>
          <cell r="B1065" t="str">
            <v>Cleaning PCB</v>
          </cell>
        </row>
        <row r="1066">
          <cell r="A1066" t="str">
            <v>PCB Cleaning 8 Dual Lane</v>
          </cell>
          <cell r="B1066" t="str">
            <v>Cleaning PCB</v>
          </cell>
        </row>
        <row r="1067">
          <cell r="A1067" t="str">
            <v>PCB Destacker 1</v>
          </cell>
          <cell r="B1067" t="str">
            <v>Transport Destacker</v>
          </cell>
        </row>
        <row r="1068">
          <cell r="A1068" t="str">
            <v>PCB Destacker 2</v>
          </cell>
          <cell r="B1068" t="str">
            <v>Transport Destacker</v>
          </cell>
        </row>
        <row r="1069">
          <cell r="A1069" t="str">
            <v>PCB Destacker 3</v>
          </cell>
          <cell r="B1069" t="str">
            <v>Transport Destacker</v>
          </cell>
        </row>
        <row r="1070">
          <cell r="A1070" t="str">
            <v>PCB Destacker 4</v>
          </cell>
          <cell r="B1070" t="str">
            <v>Transport Destacker</v>
          </cell>
        </row>
        <row r="1071">
          <cell r="A1071" t="str">
            <v>PCB Destacker 5</v>
          </cell>
          <cell r="B1071" t="str">
            <v>Transport Destacker</v>
          </cell>
        </row>
        <row r="1072">
          <cell r="A1072" t="str">
            <v>PCB Destacker 6</v>
          </cell>
          <cell r="B1072" t="str">
            <v>Transport Destacker</v>
          </cell>
        </row>
        <row r="1073">
          <cell r="A1073" t="str">
            <v>PCB Destacker 7</v>
          </cell>
          <cell r="B1073" t="str">
            <v>Transport Destacker</v>
          </cell>
        </row>
        <row r="1074">
          <cell r="A1074" t="str">
            <v>PCB Destacker 8</v>
          </cell>
          <cell r="B1074" t="str">
            <v>Transport Destacker</v>
          </cell>
        </row>
        <row r="1075">
          <cell r="A1075" t="str">
            <v>PCB Destacker 9</v>
          </cell>
          <cell r="B1075" t="str">
            <v>Transport Destacker</v>
          </cell>
        </row>
        <row r="1076">
          <cell r="A1076" t="str">
            <v>PCB Destacker 10</v>
          </cell>
          <cell r="B1076" t="str">
            <v>Transport Destacker</v>
          </cell>
        </row>
        <row r="1077">
          <cell r="A1077" t="str">
            <v>PCB Stacker 1</v>
          </cell>
          <cell r="B1077" t="str">
            <v>Transport Stacker</v>
          </cell>
        </row>
        <row r="1078">
          <cell r="A1078" t="str">
            <v>PCB Stacker 2</v>
          </cell>
          <cell r="B1078" t="str">
            <v>Transport Stacker</v>
          </cell>
        </row>
        <row r="1079">
          <cell r="A1079" t="str">
            <v>PCB Stacker 3</v>
          </cell>
          <cell r="B1079" t="str">
            <v>Transport Stacker</v>
          </cell>
        </row>
        <row r="1080">
          <cell r="A1080" t="str">
            <v>PCB Stacker 4</v>
          </cell>
          <cell r="B1080" t="str">
            <v>Transport Stacker</v>
          </cell>
        </row>
        <row r="1081">
          <cell r="A1081" t="str">
            <v>PCB Stacker 5</v>
          </cell>
          <cell r="B1081" t="str">
            <v>Transport Stacker</v>
          </cell>
        </row>
        <row r="1082">
          <cell r="A1082" t="str">
            <v>PCB Stacker 6</v>
          </cell>
          <cell r="B1082" t="str">
            <v>Transport Stacker</v>
          </cell>
        </row>
        <row r="1083">
          <cell r="A1083" t="str">
            <v>PCB Stacker 7</v>
          </cell>
          <cell r="B1083" t="str">
            <v>Transport Stacker</v>
          </cell>
        </row>
        <row r="1084">
          <cell r="A1084" t="str">
            <v>PCB Stacker 8</v>
          </cell>
          <cell r="B1084" t="str">
            <v>Transport Stacker</v>
          </cell>
        </row>
        <row r="1085">
          <cell r="A1085" t="str">
            <v>PCB Stacker 9</v>
          </cell>
          <cell r="B1085" t="str">
            <v>Transport Stacker</v>
          </cell>
        </row>
        <row r="1086">
          <cell r="A1086" t="str">
            <v>PCB Stacker 10</v>
          </cell>
          <cell r="B1086" t="str">
            <v>Transport Stacker</v>
          </cell>
        </row>
        <row r="1087">
          <cell r="A1087" t="str">
            <v>PCBA Buffer FIFO 1</v>
          </cell>
          <cell r="B1087" t="str">
            <v>Transport Buffer</v>
          </cell>
        </row>
        <row r="1088">
          <cell r="A1088" t="str">
            <v>PCBA Buffer FIFO 2</v>
          </cell>
          <cell r="B1088" t="str">
            <v>Transport Buffer</v>
          </cell>
        </row>
        <row r="1089">
          <cell r="A1089" t="str">
            <v>PCBA Buffer FIFO 3</v>
          </cell>
          <cell r="B1089" t="str">
            <v>Transport Buffer</v>
          </cell>
        </row>
        <row r="1090">
          <cell r="A1090" t="str">
            <v>PCBA Buffer FIFO 4</v>
          </cell>
          <cell r="B1090" t="str">
            <v>Transport Buffer</v>
          </cell>
        </row>
        <row r="1091">
          <cell r="A1091" t="str">
            <v>PCBA Buffer FIFO 5</v>
          </cell>
          <cell r="B1091" t="str">
            <v>Transport Buffer</v>
          </cell>
        </row>
        <row r="1092">
          <cell r="A1092" t="str">
            <v>PCBA Buffer FIFO 6</v>
          </cell>
          <cell r="B1092" t="str">
            <v>Transport Buffer</v>
          </cell>
        </row>
        <row r="1093">
          <cell r="A1093" t="str">
            <v>PCBA Buffer FIFO 7</v>
          </cell>
          <cell r="B1093" t="str">
            <v>Transport Buffer</v>
          </cell>
        </row>
        <row r="1094">
          <cell r="A1094" t="str">
            <v>PCBA Buffer FIFO 8</v>
          </cell>
          <cell r="B1094" t="str">
            <v>Transport Buffer</v>
          </cell>
        </row>
        <row r="1095">
          <cell r="A1095" t="str">
            <v>PCBA Buffer FIFO 9</v>
          </cell>
          <cell r="B1095" t="str">
            <v>Transport Buffer</v>
          </cell>
        </row>
        <row r="1096">
          <cell r="A1096" t="str">
            <v>PCBA Buffer FIFO 10</v>
          </cell>
          <cell r="B1096" t="str">
            <v>Transport Buffer</v>
          </cell>
        </row>
        <row r="1097">
          <cell r="A1097" t="str">
            <v>PCBA Buffer FIFO 11</v>
          </cell>
          <cell r="B1097" t="str">
            <v>Transport Buffer</v>
          </cell>
        </row>
        <row r="1098">
          <cell r="A1098" t="str">
            <v>PCBA Buffer FIFO 12</v>
          </cell>
          <cell r="B1098" t="str">
            <v>Transport Buffer</v>
          </cell>
        </row>
        <row r="1099">
          <cell r="A1099" t="str">
            <v>PCBA Buffer FIFO 13</v>
          </cell>
          <cell r="B1099" t="str">
            <v>Transport Buffer</v>
          </cell>
        </row>
        <row r="1100">
          <cell r="A1100" t="str">
            <v>PCBA Buffer FIFO 14</v>
          </cell>
          <cell r="B1100" t="str">
            <v>Transport Buffer</v>
          </cell>
        </row>
        <row r="1101">
          <cell r="A1101" t="str">
            <v>PCBA Buffer FIFO 15</v>
          </cell>
          <cell r="B1101" t="str">
            <v>Transport Buffer</v>
          </cell>
        </row>
        <row r="1102">
          <cell r="A1102" t="str">
            <v>PCBA Buffer FIFO 1 Dual Lane</v>
          </cell>
          <cell r="B1102" t="str">
            <v>Transport Buffer</v>
          </cell>
        </row>
        <row r="1103">
          <cell r="A1103" t="str">
            <v>PCBA Buffer FIFO 2 Dual Lane</v>
          </cell>
          <cell r="B1103" t="str">
            <v>Transport Buffer</v>
          </cell>
        </row>
        <row r="1104">
          <cell r="A1104" t="str">
            <v>PCBA Buffer FIFO 3 Dual Lane</v>
          </cell>
          <cell r="B1104" t="str">
            <v>Transport Buffer</v>
          </cell>
        </row>
        <row r="1105">
          <cell r="A1105" t="str">
            <v>PCBA Buffer FIFO 4 Dual Lane</v>
          </cell>
          <cell r="B1105" t="str">
            <v>Transport Buffer</v>
          </cell>
        </row>
        <row r="1106">
          <cell r="A1106" t="str">
            <v>PCBA Buffer FIFO 5 Dual Lane</v>
          </cell>
          <cell r="B1106" t="str">
            <v>Transport Buffer</v>
          </cell>
        </row>
        <row r="1107">
          <cell r="A1107" t="str">
            <v>PCBA Buffer FIFO 6 Dual Lane</v>
          </cell>
          <cell r="B1107" t="str">
            <v>Transport Buffer</v>
          </cell>
        </row>
        <row r="1108">
          <cell r="A1108" t="str">
            <v>PCBA Buffer FIFO 7 Dual Lane</v>
          </cell>
          <cell r="B1108" t="str">
            <v>Transport Buffer</v>
          </cell>
        </row>
        <row r="1109">
          <cell r="A1109" t="str">
            <v>PCBA Buffer FIFO 8 Dual Lane</v>
          </cell>
          <cell r="B1109" t="str">
            <v>Transport Buffer</v>
          </cell>
        </row>
        <row r="1110">
          <cell r="A1110" t="str">
            <v>PCBA Buffer FIFO 9 Dual Lane</v>
          </cell>
          <cell r="B1110" t="str">
            <v>Transport Buffer</v>
          </cell>
        </row>
        <row r="1111">
          <cell r="A1111" t="str">
            <v>PCBA Buffer FIFO 10 Dual Lane</v>
          </cell>
          <cell r="B1111" t="str">
            <v>Transport Buffer</v>
          </cell>
        </row>
        <row r="1112">
          <cell r="A1112" t="str">
            <v>PCBA Buffer FIFO 11 Dual Lane</v>
          </cell>
          <cell r="B1112" t="str">
            <v>Transport Buffer</v>
          </cell>
        </row>
        <row r="1113">
          <cell r="A1113" t="str">
            <v>PCBA Buffer FIFO 12 Dual Lane</v>
          </cell>
          <cell r="B1113" t="str">
            <v>Transport Buffer</v>
          </cell>
        </row>
        <row r="1114">
          <cell r="A1114" t="str">
            <v>PCBA Buffer FIFO 13 Dual Lane</v>
          </cell>
          <cell r="B1114" t="str">
            <v>Transport Buffer</v>
          </cell>
        </row>
        <row r="1115">
          <cell r="A1115" t="str">
            <v>PCBA Buffer FIFO 14 Dual Lane</v>
          </cell>
          <cell r="B1115" t="str">
            <v>Transport Buffer</v>
          </cell>
        </row>
        <row r="1116">
          <cell r="A1116" t="str">
            <v>PCBA Buffer FIFO 15 Dual Lane</v>
          </cell>
          <cell r="B1116" t="str">
            <v>Transport Buffer</v>
          </cell>
        </row>
        <row r="1117">
          <cell r="A1117" t="str">
            <v>Pin Stitching 1</v>
          </cell>
          <cell r="B1117" t="str">
            <v>Pin Stitching</v>
          </cell>
        </row>
        <row r="1118">
          <cell r="A1118" t="str">
            <v>Pin Stitching 2</v>
          </cell>
          <cell r="B1118" t="str">
            <v>Pin Stitching</v>
          </cell>
        </row>
        <row r="1119">
          <cell r="A1119" t="str">
            <v>Pin Stitching 3</v>
          </cell>
          <cell r="B1119" t="str">
            <v>Pin Stitching</v>
          </cell>
        </row>
        <row r="1120">
          <cell r="A1120" t="str">
            <v>Pin Stitching 4</v>
          </cell>
          <cell r="B1120" t="str">
            <v>Pin Stitching</v>
          </cell>
        </row>
        <row r="1121">
          <cell r="A1121" t="str">
            <v>Pin Stitching 5</v>
          </cell>
          <cell r="B1121" t="str">
            <v>Pin Stitching</v>
          </cell>
        </row>
        <row r="1122">
          <cell r="A1122" t="str">
            <v>Pin Stitching 6</v>
          </cell>
          <cell r="B1122" t="str">
            <v>Pin Stitching</v>
          </cell>
        </row>
        <row r="1123">
          <cell r="A1123" t="str">
            <v>Pin Stitching 7</v>
          </cell>
          <cell r="B1123" t="str">
            <v>Pin Stitching</v>
          </cell>
        </row>
        <row r="1124">
          <cell r="A1124" t="str">
            <v>Pin Stitching 8</v>
          </cell>
          <cell r="B1124" t="str">
            <v>Pin Stitching</v>
          </cell>
        </row>
        <row r="1125">
          <cell r="A1125" t="str">
            <v>Pin Stitching 9</v>
          </cell>
          <cell r="B1125" t="str">
            <v>Pin Stitching</v>
          </cell>
        </row>
        <row r="1126">
          <cell r="A1126" t="str">
            <v>Pin Stitching 10</v>
          </cell>
          <cell r="B1126" t="str">
            <v>Pin Stitching</v>
          </cell>
        </row>
        <row r="1127">
          <cell r="A1127" t="str">
            <v>Plasma Treatment 1</v>
          </cell>
          <cell r="B1127" t="str">
            <v>Surface Energy</v>
          </cell>
        </row>
        <row r="1128">
          <cell r="A1128" t="str">
            <v>Plasma Treatment 2</v>
          </cell>
          <cell r="B1128" t="str">
            <v>Surface Energy</v>
          </cell>
        </row>
        <row r="1129">
          <cell r="A1129" t="str">
            <v>Plasma Treatment 3</v>
          </cell>
          <cell r="B1129" t="str">
            <v>Surface Energy</v>
          </cell>
        </row>
        <row r="1130">
          <cell r="A1130" t="str">
            <v>Plasma Treatment 4</v>
          </cell>
          <cell r="B1130" t="str">
            <v>Surface Energy</v>
          </cell>
        </row>
        <row r="1131">
          <cell r="A1131" t="str">
            <v>Pre-heating 1</v>
          </cell>
          <cell r="B1131" t="str">
            <v>Pre-heat</v>
          </cell>
        </row>
        <row r="1132">
          <cell r="A1132" t="str">
            <v>Pre-heating 2</v>
          </cell>
          <cell r="B1132" t="str">
            <v>Pre-heat</v>
          </cell>
        </row>
        <row r="1133">
          <cell r="A1133" t="str">
            <v>Pre-heating 3</v>
          </cell>
          <cell r="B1133" t="str">
            <v>Pre-heat</v>
          </cell>
        </row>
        <row r="1134">
          <cell r="A1134" t="str">
            <v>Pre-heating 4</v>
          </cell>
          <cell r="B1134" t="str">
            <v>Pre-heat</v>
          </cell>
        </row>
        <row r="1135">
          <cell r="A1135" t="str">
            <v>Pre-heating 5</v>
          </cell>
          <cell r="B1135" t="str">
            <v>Pre-heat</v>
          </cell>
        </row>
        <row r="1136">
          <cell r="A1136" t="str">
            <v>Pre-heating 6</v>
          </cell>
          <cell r="B1136" t="str">
            <v>Pre-heat</v>
          </cell>
        </row>
        <row r="1137">
          <cell r="A1137" t="str">
            <v>Pre-heating 7</v>
          </cell>
          <cell r="B1137" t="str">
            <v>Pre-heat</v>
          </cell>
        </row>
        <row r="1138">
          <cell r="A1138" t="str">
            <v>Pre-heating 8</v>
          </cell>
          <cell r="B1138" t="str">
            <v>Pre-heat</v>
          </cell>
        </row>
        <row r="1139">
          <cell r="A1139" t="str">
            <v>Pre-heating 9</v>
          </cell>
          <cell r="B1139" t="str">
            <v>Pre-heat</v>
          </cell>
        </row>
        <row r="1140">
          <cell r="A1140" t="str">
            <v>Pre-heating 10</v>
          </cell>
          <cell r="B1140" t="str">
            <v>Pre-heat</v>
          </cell>
        </row>
        <row r="1141">
          <cell r="A1141" t="str">
            <v>Press Fit Machine 1</v>
          </cell>
          <cell r="B1141" t="str">
            <v>Press Fit</v>
          </cell>
        </row>
        <row r="1142">
          <cell r="A1142" t="str">
            <v>Press Fit Machine 2</v>
          </cell>
          <cell r="B1142" t="str">
            <v>Press Fit</v>
          </cell>
        </row>
        <row r="1143">
          <cell r="A1143" t="str">
            <v>Press Fit Machine 3</v>
          </cell>
          <cell r="B1143" t="str">
            <v>Press Fit</v>
          </cell>
        </row>
        <row r="1144">
          <cell r="A1144" t="str">
            <v>Press Fit Machine 4</v>
          </cell>
          <cell r="B1144" t="str">
            <v>Press Fit</v>
          </cell>
        </row>
        <row r="1145">
          <cell r="A1145" t="str">
            <v>Press Fit Machine 5</v>
          </cell>
          <cell r="B1145" t="str">
            <v>Press Fit</v>
          </cell>
        </row>
        <row r="1146">
          <cell r="A1146" t="str">
            <v>Press Fit Machine 6</v>
          </cell>
          <cell r="B1146" t="str">
            <v>Press Fit</v>
          </cell>
        </row>
        <row r="1147">
          <cell r="A1147" t="str">
            <v>Press Fit Machine 7</v>
          </cell>
          <cell r="B1147" t="str">
            <v>Press Fit</v>
          </cell>
        </row>
        <row r="1148">
          <cell r="A1148" t="str">
            <v>Press Fit Machine 8</v>
          </cell>
          <cell r="B1148" t="str">
            <v>Press Fit</v>
          </cell>
        </row>
        <row r="1149">
          <cell r="A1149" t="str">
            <v>Press Fit Machine 9</v>
          </cell>
          <cell r="B1149" t="str">
            <v>Press Fit</v>
          </cell>
        </row>
        <row r="1150">
          <cell r="A1150" t="str">
            <v>Press Fit Machine 10</v>
          </cell>
          <cell r="B1150" t="str">
            <v>Press Fit</v>
          </cell>
        </row>
        <row r="1151">
          <cell r="A1151" t="str">
            <v>Press Fit Machine 11</v>
          </cell>
          <cell r="B1151" t="str">
            <v>Press Fit</v>
          </cell>
        </row>
        <row r="1152">
          <cell r="A1152" t="str">
            <v>Press Fit Machine 12</v>
          </cell>
          <cell r="B1152" t="str">
            <v>Press Fit</v>
          </cell>
        </row>
        <row r="1153">
          <cell r="A1153" t="str">
            <v>Reflow Oven w/ Vacuum 1</v>
          </cell>
          <cell r="B1153" t="str">
            <v>SMT Reflow Vacuum</v>
          </cell>
        </row>
        <row r="1154">
          <cell r="A1154" t="str">
            <v>Reflow Oven w/ Vacuum 2</v>
          </cell>
          <cell r="B1154" t="str">
            <v>SMT Reflow Vacuum</v>
          </cell>
        </row>
        <row r="1155">
          <cell r="A1155" t="str">
            <v>Reflow Oven w/ Vacuum 3</v>
          </cell>
          <cell r="B1155" t="str">
            <v>SMT Reflow Vacuum</v>
          </cell>
        </row>
        <row r="1156">
          <cell r="A1156" t="str">
            <v>Reflow Oven w/ Vacuum 4</v>
          </cell>
          <cell r="B1156" t="str">
            <v>SMT Reflow Vacuum</v>
          </cell>
        </row>
        <row r="1157">
          <cell r="A1157" t="str">
            <v>Reflow Oven w/ Vacuum 1 Dual Lane</v>
          </cell>
          <cell r="B1157" t="str">
            <v>SMT Reflow Vacuum</v>
          </cell>
        </row>
        <row r="1158">
          <cell r="A1158" t="str">
            <v>Reflow Oven w/ Vacuum 2 Dual Lane</v>
          </cell>
          <cell r="B1158" t="str">
            <v>SMT Reflow Vacuum</v>
          </cell>
        </row>
        <row r="1159">
          <cell r="A1159" t="str">
            <v>Reflow Oven w/ Vacuum 3 Dual Lane</v>
          </cell>
          <cell r="B1159" t="str">
            <v>SMT Reflow Vacuum</v>
          </cell>
        </row>
        <row r="1160">
          <cell r="A1160" t="str">
            <v>Reflow Oven w/ Vacuum 4 Dual Lane</v>
          </cell>
          <cell r="B1160" t="str">
            <v>SMT Reflow Vacuum</v>
          </cell>
        </row>
        <row r="1161">
          <cell r="A1161" t="str">
            <v>Reflow Oven w/o Vacuum 1</v>
          </cell>
          <cell r="B1161" t="str">
            <v>SMT Reflow</v>
          </cell>
        </row>
        <row r="1162">
          <cell r="A1162" t="str">
            <v>Reflow Oven w/o Vacuum 2</v>
          </cell>
          <cell r="B1162" t="str">
            <v>SMT Reflow</v>
          </cell>
        </row>
        <row r="1163">
          <cell r="A1163" t="str">
            <v>Reflow Oven w/o Vacuum 3</v>
          </cell>
          <cell r="B1163" t="str">
            <v>SMT Reflow</v>
          </cell>
        </row>
        <row r="1164">
          <cell r="A1164" t="str">
            <v>Reflow Oven w/o Vacuum 4</v>
          </cell>
          <cell r="B1164" t="str">
            <v>SMT Reflow</v>
          </cell>
        </row>
        <row r="1165">
          <cell r="A1165" t="str">
            <v>Reflow Oven w/o Vacuum 1 Dual Lane</v>
          </cell>
          <cell r="B1165" t="str">
            <v>SMT Reflow</v>
          </cell>
        </row>
        <row r="1166">
          <cell r="A1166" t="str">
            <v>Reflow Oven w/o Vacuum 2 Dual Lane</v>
          </cell>
          <cell r="B1166" t="str">
            <v>SMT Reflow</v>
          </cell>
        </row>
        <row r="1167">
          <cell r="A1167" t="str">
            <v>Reflow Oven w/o Vacuum 3 Dual Lane</v>
          </cell>
          <cell r="B1167" t="str">
            <v>SMT Reflow</v>
          </cell>
        </row>
        <row r="1168">
          <cell r="A1168" t="str">
            <v>Reflow Oven w/o Vacuum 4 Dual Lane</v>
          </cell>
          <cell r="B1168" t="str">
            <v>SMT Reflow</v>
          </cell>
        </row>
        <row r="1169">
          <cell r="A1169" t="str">
            <v>Robot Soldering 1</v>
          </cell>
          <cell r="B1169" t="str">
            <v>Automatic Soldering</v>
          </cell>
        </row>
        <row r="1170">
          <cell r="A1170" t="str">
            <v>Robot Soldering 2</v>
          </cell>
          <cell r="B1170" t="str">
            <v>Automatic Soldering</v>
          </cell>
        </row>
        <row r="1171">
          <cell r="A1171" t="str">
            <v>Robot Soldering 3</v>
          </cell>
          <cell r="B1171" t="str">
            <v>Automatic Soldering</v>
          </cell>
        </row>
        <row r="1172">
          <cell r="A1172" t="str">
            <v>Robot Soldering 4</v>
          </cell>
          <cell r="B1172" t="str">
            <v>Automatic Soldering</v>
          </cell>
        </row>
        <row r="1173">
          <cell r="A1173" t="str">
            <v>Robot Soldering 5</v>
          </cell>
          <cell r="B1173" t="str">
            <v>Automatic Soldering</v>
          </cell>
        </row>
        <row r="1174">
          <cell r="A1174" t="str">
            <v>Robot Soldering 6</v>
          </cell>
          <cell r="B1174" t="str">
            <v>Automatic Soldering</v>
          </cell>
        </row>
        <row r="1175">
          <cell r="A1175" t="str">
            <v>Robot Soldering 7</v>
          </cell>
          <cell r="B1175" t="str">
            <v>Automatic Soldering</v>
          </cell>
        </row>
        <row r="1176">
          <cell r="A1176" t="str">
            <v>Robot Soldering 8</v>
          </cell>
          <cell r="B1176" t="str">
            <v>Automatic Soldering</v>
          </cell>
        </row>
        <row r="1177">
          <cell r="A1177" t="str">
            <v>Robot Soldering 9</v>
          </cell>
          <cell r="B1177" t="str">
            <v>Automatic Soldering</v>
          </cell>
        </row>
        <row r="1178">
          <cell r="A1178" t="str">
            <v>Router 1</v>
          </cell>
          <cell r="B1178" t="str">
            <v>Depaneling</v>
          </cell>
        </row>
        <row r="1179">
          <cell r="A1179" t="str">
            <v>Router 2</v>
          </cell>
          <cell r="B1179" t="str">
            <v>Depaneling</v>
          </cell>
        </row>
        <row r="1180">
          <cell r="A1180" t="str">
            <v>Router 3</v>
          </cell>
          <cell r="B1180" t="str">
            <v>Depaneling</v>
          </cell>
        </row>
        <row r="1181">
          <cell r="A1181" t="str">
            <v>Router 4</v>
          </cell>
          <cell r="B1181" t="str">
            <v>Depaneling</v>
          </cell>
        </row>
        <row r="1182">
          <cell r="A1182" t="str">
            <v>Screwing Station 1</v>
          </cell>
          <cell r="B1182" t="str">
            <v>Screwing</v>
          </cell>
        </row>
        <row r="1183">
          <cell r="A1183" t="str">
            <v>Screwing Station 2</v>
          </cell>
          <cell r="B1183" t="str">
            <v>Screwing</v>
          </cell>
        </row>
        <row r="1184">
          <cell r="A1184" t="str">
            <v>Screwing Station 3</v>
          </cell>
          <cell r="B1184" t="str">
            <v>Screwing</v>
          </cell>
        </row>
        <row r="1185">
          <cell r="A1185" t="str">
            <v>Screwing Station 4</v>
          </cell>
          <cell r="B1185" t="str">
            <v>Screwing</v>
          </cell>
        </row>
        <row r="1186">
          <cell r="A1186" t="str">
            <v>Screwing Station 5</v>
          </cell>
          <cell r="B1186" t="str">
            <v>Screwing</v>
          </cell>
        </row>
        <row r="1187">
          <cell r="A1187" t="str">
            <v>Screwing Station 6</v>
          </cell>
          <cell r="B1187" t="str">
            <v>Screwing</v>
          </cell>
        </row>
        <row r="1188">
          <cell r="A1188" t="str">
            <v>Screwing Station 7</v>
          </cell>
          <cell r="B1188" t="str">
            <v>Screwing</v>
          </cell>
        </row>
        <row r="1189">
          <cell r="A1189" t="str">
            <v>Screwing Station 8</v>
          </cell>
          <cell r="B1189" t="str">
            <v>Screwing</v>
          </cell>
        </row>
        <row r="1190">
          <cell r="A1190" t="str">
            <v>Screwing Station 9</v>
          </cell>
          <cell r="B1190" t="str">
            <v>Screwing</v>
          </cell>
        </row>
        <row r="1191">
          <cell r="A1191" t="str">
            <v>Screwing Station 10</v>
          </cell>
          <cell r="B1191" t="str">
            <v>Screwing</v>
          </cell>
        </row>
        <row r="1192">
          <cell r="A1192" t="str">
            <v>Screwing Station 11</v>
          </cell>
          <cell r="B1192" t="str">
            <v>Screwing</v>
          </cell>
        </row>
        <row r="1193">
          <cell r="A1193" t="str">
            <v>Screwing Station 12</v>
          </cell>
          <cell r="B1193" t="str">
            <v>Screwing</v>
          </cell>
        </row>
        <row r="1194">
          <cell r="A1194" t="str">
            <v>Screwing Station 13</v>
          </cell>
          <cell r="B1194" t="str">
            <v>Screwing</v>
          </cell>
        </row>
        <row r="1195">
          <cell r="A1195" t="str">
            <v>Screwing Station 14</v>
          </cell>
          <cell r="B1195" t="str">
            <v>Screwing</v>
          </cell>
        </row>
        <row r="1196">
          <cell r="A1196" t="str">
            <v>Selective Solder 1</v>
          </cell>
          <cell r="B1196" t="str">
            <v>THT soldering</v>
          </cell>
        </row>
        <row r="1197">
          <cell r="A1197" t="str">
            <v>Selective Solder 2</v>
          </cell>
          <cell r="B1197" t="str">
            <v>THT soldering</v>
          </cell>
        </row>
        <row r="1198">
          <cell r="A1198" t="str">
            <v>Selective Solder 3</v>
          </cell>
          <cell r="B1198" t="str">
            <v>THT soldering</v>
          </cell>
        </row>
        <row r="1199">
          <cell r="A1199" t="str">
            <v>Selective Solder 4</v>
          </cell>
          <cell r="B1199" t="str">
            <v>THT soldering</v>
          </cell>
        </row>
        <row r="1200">
          <cell r="A1200" t="str">
            <v>SMT P&amp;P 1</v>
          </cell>
          <cell r="B1200" t="str">
            <v>Automatic Placement --- SMT</v>
          </cell>
        </row>
        <row r="1201">
          <cell r="A1201" t="str">
            <v>SMT P&amp;P 2</v>
          </cell>
          <cell r="B1201" t="str">
            <v>Automatic Placement --- SMT</v>
          </cell>
        </row>
        <row r="1202">
          <cell r="A1202" t="str">
            <v>SMT P&amp;P 3</v>
          </cell>
          <cell r="B1202" t="str">
            <v>Automatic Placement --- SMT</v>
          </cell>
        </row>
        <row r="1203">
          <cell r="A1203" t="str">
            <v>SMT P&amp;P 4</v>
          </cell>
          <cell r="B1203" t="str">
            <v>Automatic Placement --- SMT</v>
          </cell>
        </row>
        <row r="1204">
          <cell r="A1204" t="str">
            <v>SMT P&amp;P 5</v>
          </cell>
          <cell r="B1204" t="str">
            <v>Automatic Placement --- SMT</v>
          </cell>
        </row>
        <row r="1205">
          <cell r="A1205" t="str">
            <v>SMT P&amp;P 6</v>
          </cell>
          <cell r="B1205" t="str">
            <v>Automatic Placement --- SMT</v>
          </cell>
        </row>
        <row r="1206">
          <cell r="A1206" t="str">
            <v>SMT P&amp;P 7</v>
          </cell>
          <cell r="B1206" t="str">
            <v>Automatic Placement --- SMT</v>
          </cell>
        </row>
        <row r="1207">
          <cell r="A1207" t="str">
            <v>SMT P&amp;P 8</v>
          </cell>
          <cell r="B1207" t="str">
            <v>Automatic Placement --- SMT</v>
          </cell>
        </row>
        <row r="1208">
          <cell r="A1208" t="str">
            <v>SMT P&amp;P 9</v>
          </cell>
          <cell r="B1208" t="str">
            <v>Automatic Placement --- SMT</v>
          </cell>
        </row>
        <row r="1209">
          <cell r="A1209" t="str">
            <v>SMT P&amp;P 10</v>
          </cell>
          <cell r="B1209" t="str">
            <v>Automatic Placement --- SMT</v>
          </cell>
        </row>
        <row r="1210">
          <cell r="A1210" t="str">
            <v>SMT P&amp;P 11</v>
          </cell>
          <cell r="B1210" t="str">
            <v>Automatic Placement --- SMT</v>
          </cell>
        </row>
        <row r="1211">
          <cell r="A1211" t="str">
            <v>SMT P&amp;P 12</v>
          </cell>
          <cell r="B1211" t="str">
            <v>Automatic Placement --- SMT</v>
          </cell>
        </row>
        <row r="1212">
          <cell r="A1212" t="str">
            <v>SMT P&amp;P 13</v>
          </cell>
          <cell r="B1212" t="str">
            <v>Automatic Placement --- SMT</v>
          </cell>
        </row>
        <row r="1213">
          <cell r="A1213" t="str">
            <v>SMT P&amp;P 14</v>
          </cell>
          <cell r="B1213" t="str">
            <v>Automatic Placement --- SMT</v>
          </cell>
        </row>
        <row r="1214">
          <cell r="A1214" t="str">
            <v>SMT P&amp;P 15</v>
          </cell>
          <cell r="B1214" t="str">
            <v>Automatic Placement --- SMT</v>
          </cell>
        </row>
        <row r="1215">
          <cell r="A1215" t="str">
            <v>SMT P&amp;P 16</v>
          </cell>
          <cell r="B1215" t="str">
            <v>Automatic Placement --- SMT</v>
          </cell>
        </row>
        <row r="1216">
          <cell r="A1216" t="str">
            <v>SMT P&amp;P 17</v>
          </cell>
          <cell r="B1216" t="str">
            <v>Automatic Placement --- SMT</v>
          </cell>
        </row>
        <row r="1217">
          <cell r="A1217" t="str">
            <v>SMT P&amp;P 18</v>
          </cell>
          <cell r="B1217" t="str">
            <v>Automatic Placement --- SMT</v>
          </cell>
        </row>
        <row r="1218">
          <cell r="A1218" t="str">
            <v>SMT P&amp;P 19</v>
          </cell>
          <cell r="B1218" t="str">
            <v>Automatic Placement --- SMT</v>
          </cell>
        </row>
        <row r="1219">
          <cell r="A1219" t="str">
            <v>SMT P&amp;P 20</v>
          </cell>
          <cell r="B1219" t="str">
            <v>Automatic Placement --- SMT</v>
          </cell>
        </row>
        <row r="1220">
          <cell r="A1220" t="str">
            <v>SMT P&amp;P 21</v>
          </cell>
          <cell r="B1220" t="str">
            <v>Automatic Placement --- SMT</v>
          </cell>
        </row>
        <row r="1221">
          <cell r="A1221" t="str">
            <v>SMT P&amp;P 22</v>
          </cell>
          <cell r="B1221" t="str">
            <v>Automatic Placement --- SMT</v>
          </cell>
        </row>
        <row r="1222">
          <cell r="A1222" t="str">
            <v>SMT P&amp;P 23</v>
          </cell>
          <cell r="B1222" t="str">
            <v>Automatic Placement --- SMT</v>
          </cell>
        </row>
        <row r="1223">
          <cell r="A1223" t="str">
            <v>SMT P&amp;P 24</v>
          </cell>
          <cell r="B1223" t="str">
            <v>Automatic Placement --- SMT</v>
          </cell>
        </row>
        <row r="1224">
          <cell r="A1224" t="str">
            <v>SMT P&amp;P 25</v>
          </cell>
          <cell r="B1224" t="str">
            <v>Automatic Placement --- SMT</v>
          </cell>
        </row>
        <row r="1225">
          <cell r="A1225" t="str">
            <v>SMT P&amp;P 26</v>
          </cell>
          <cell r="B1225" t="str">
            <v>Automatic Placement --- SMT</v>
          </cell>
        </row>
        <row r="1226">
          <cell r="A1226" t="str">
            <v>SMT P&amp;P 27</v>
          </cell>
          <cell r="B1226" t="str">
            <v>Automatic Placement --- SMT</v>
          </cell>
        </row>
        <row r="1227">
          <cell r="A1227" t="str">
            <v>SMT P&amp;P 28</v>
          </cell>
          <cell r="B1227" t="str">
            <v>Automatic Placement --- SMT</v>
          </cell>
        </row>
        <row r="1228">
          <cell r="A1228" t="str">
            <v>SMT P&amp;P 29</v>
          </cell>
          <cell r="B1228" t="str">
            <v>Automatic Placement --- SMT</v>
          </cell>
        </row>
        <row r="1229">
          <cell r="A1229" t="str">
            <v>SMT P&amp;P 30</v>
          </cell>
          <cell r="B1229" t="str">
            <v>Automatic Placement --- SMT</v>
          </cell>
        </row>
        <row r="1230">
          <cell r="A1230" t="str">
            <v>SMT P&amp;P 31</v>
          </cell>
          <cell r="B1230" t="str">
            <v>Automatic Placement --- SMT</v>
          </cell>
        </row>
        <row r="1231">
          <cell r="A1231" t="str">
            <v>SMT P&amp;P 32</v>
          </cell>
          <cell r="B1231" t="str">
            <v>Automatic Placement --- SMT</v>
          </cell>
        </row>
        <row r="1232">
          <cell r="A1232" t="str">
            <v>SMT P&amp;P 33</v>
          </cell>
          <cell r="B1232" t="str">
            <v>Automatic Placement --- SMT</v>
          </cell>
        </row>
        <row r="1233">
          <cell r="A1233" t="str">
            <v>SMT P&amp;P 34</v>
          </cell>
          <cell r="B1233" t="str">
            <v>Automatic Placement --- SMT</v>
          </cell>
        </row>
        <row r="1234">
          <cell r="A1234" t="str">
            <v>SMT P&amp;P 35</v>
          </cell>
          <cell r="B1234" t="str">
            <v>Automatic Placement --- SMT</v>
          </cell>
        </row>
        <row r="1235">
          <cell r="A1235" t="str">
            <v>SMT P&amp;P 36</v>
          </cell>
          <cell r="B1235" t="str">
            <v>Automatic Placement --- SMT</v>
          </cell>
        </row>
        <row r="1236">
          <cell r="A1236" t="str">
            <v>SMT P&amp;P 37</v>
          </cell>
          <cell r="B1236" t="str">
            <v>Automatic Placement --- SMT</v>
          </cell>
        </row>
        <row r="1237">
          <cell r="A1237" t="str">
            <v>SMT P&amp;P 38</v>
          </cell>
          <cell r="B1237" t="str">
            <v>Automatic Placement --- SMT</v>
          </cell>
        </row>
        <row r="1238">
          <cell r="A1238" t="str">
            <v>SMT P&amp;P 39</v>
          </cell>
          <cell r="B1238" t="str">
            <v>Automatic Placement --- SMT</v>
          </cell>
        </row>
        <row r="1239">
          <cell r="A1239" t="str">
            <v>SMT P&amp;P 40</v>
          </cell>
          <cell r="B1239" t="str">
            <v>Automatic Placement --- SMT</v>
          </cell>
        </row>
        <row r="1240">
          <cell r="A1240" t="str">
            <v>SMT P&amp;P 41</v>
          </cell>
          <cell r="B1240" t="str">
            <v>Automatic Placement --- SMT</v>
          </cell>
        </row>
        <row r="1241">
          <cell r="A1241" t="str">
            <v>SMT P&amp;P 42</v>
          </cell>
          <cell r="B1241" t="str">
            <v>Automatic Placement --- SMT</v>
          </cell>
        </row>
        <row r="1242">
          <cell r="A1242" t="str">
            <v>SMT P&amp;P 43</v>
          </cell>
          <cell r="B1242" t="str">
            <v>Automatic Placement --- SMT</v>
          </cell>
        </row>
        <row r="1243">
          <cell r="A1243" t="str">
            <v>SMT P&amp;P 44</v>
          </cell>
          <cell r="B1243" t="str">
            <v>Automatic Placement --- SMT</v>
          </cell>
        </row>
        <row r="1244">
          <cell r="A1244" t="str">
            <v>SMT P&amp;P 45</v>
          </cell>
          <cell r="B1244" t="str">
            <v>Automatic Placement --- SMT</v>
          </cell>
        </row>
        <row r="1245">
          <cell r="A1245" t="str">
            <v>SMT P&amp;P 46</v>
          </cell>
          <cell r="B1245" t="str">
            <v>Automatic Placement --- SMT</v>
          </cell>
        </row>
        <row r="1246">
          <cell r="A1246" t="str">
            <v>SMT P&amp;P 47</v>
          </cell>
          <cell r="B1246" t="str">
            <v>Automatic Placement --- SMT</v>
          </cell>
        </row>
        <row r="1247">
          <cell r="A1247" t="str">
            <v>SMT P&amp;P 48</v>
          </cell>
          <cell r="B1247" t="str">
            <v>Automatic Placement --- SMT</v>
          </cell>
        </row>
        <row r="1248">
          <cell r="A1248" t="str">
            <v>SMT P&amp;P 49</v>
          </cell>
          <cell r="B1248" t="str">
            <v>Automatic Placement --- SMT</v>
          </cell>
        </row>
        <row r="1249">
          <cell r="A1249" t="str">
            <v>SMT P&amp;P 50</v>
          </cell>
          <cell r="B1249" t="str">
            <v>Automatic Placement --- SMT</v>
          </cell>
        </row>
        <row r="1250">
          <cell r="A1250" t="str">
            <v>SMT P&amp;P 51</v>
          </cell>
          <cell r="B1250" t="str">
            <v>Automatic Placement --- SMT</v>
          </cell>
        </row>
        <row r="1251">
          <cell r="A1251" t="str">
            <v>SMT P&amp;P 52</v>
          </cell>
          <cell r="B1251" t="str">
            <v>Automatic Placement --- SMT</v>
          </cell>
        </row>
        <row r="1252">
          <cell r="A1252" t="str">
            <v>SMT P&amp;P 53</v>
          </cell>
          <cell r="B1252" t="str">
            <v>Automatic Placement --- SMT</v>
          </cell>
        </row>
        <row r="1253">
          <cell r="A1253" t="str">
            <v>SMT P&amp;P 54</v>
          </cell>
          <cell r="B1253" t="str">
            <v>Automatic Placement --- SMT</v>
          </cell>
        </row>
        <row r="1254">
          <cell r="A1254" t="str">
            <v>SMT P&amp;P 55</v>
          </cell>
          <cell r="B1254" t="str">
            <v>Automatic Placement --- SMT</v>
          </cell>
        </row>
        <row r="1255">
          <cell r="A1255" t="str">
            <v>SMT P&amp;P 56</v>
          </cell>
          <cell r="B1255" t="str">
            <v>Automatic Placement --- SMT</v>
          </cell>
        </row>
        <row r="1256">
          <cell r="A1256" t="str">
            <v>SMT P&amp;P 57</v>
          </cell>
          <cell r="B1256" t="str">
            <v>Automatic Placement --- SMT</v>
          </cell>
        </row>
        <row r="1257">
          <cell r="A1257" t="str">
            <v>SMT P&amp;P 58</v>
          </cell>
          <cell r="B1257" t="str">
            <v>Automatic Placement --- SMT</v>
          </cell>
        </row>
        <row r="1258">
          <cell r="A1258" t="str">
            <v>SMT P&amp;P 59</v>
          </cell>
          <cell r="B1258" t="str">
            <v>Automatic Placement --- SMT</v>
          </cell>
        </row>
        <row r="1259">
          <cell r="A1259" t="str">
            <v>SMT P&amp;P 60</v>
          </cell>
          <cell r="B1259" t="str">
            <v>Automatic Placement --- SMT</v>
          </cell>
        </row>
        <row r="1260">
          <cell r="A1260" t="str">
            <v>SMT P&amp;P 1 Dual Lane</v>
          </cell>
          <cell r="B1260" t="str">
            <v>Automatic Placement --- SMT</v>
          </cell>
        </row>
        <row r="1261">
          <cell r="A1261" t="str">
            <v>SMT P&amp;P 2 Dual Lane</v>
          </cell>
          <cell r="B1261" t="str">
            <v>Automatic Placement --- SMT</v>
          </cell>
        </row>
        <row r="1262">
          <cell r="A1262" t="str">
            <v>SMT P&amp;P 3 Dual Lane</v>
          </cell>
          <cell r="B1262" t="str">
            <v>Automatic Placement --- SMT</v>
          </cell>
        </row>
        <row r="1263">
          <cell r="A1263" t="str">
            <v>SMT P&amp;P 4 Dual Lane</v>
          </cell>
          <cell r="B1263" t="str">
            <v>Automatic Placement --- SMT</v>
          </cell>
        </row>
        <row r="1264">
          <cell r="A1264" t="str">
            <v>SMT P&amp;P 5 Dual Lane</v>
          </cell>
          <cell r="B1264" t="str">
            <v>Automatic Placement --- SMT</v>
          </cell>
        </row>
        <row r="1265">
          <cell r="A1265" t="str">
            <v>SMT P&amp;P 6 Dual Lane</v>
          </cell>
          <cell r="B1265" t="str">
            <v>Automatic Placement --- SMT</v>
          </cell>
        </row>
        <row r="1266">
          <cell r="A1266" t="str">
            <v>SMT P&amp;P 7 Dual Lane</v>
          </cell>
          <cell r="B1266" t="str">
            <v>Automatic Placement --- SMT</v>
          </cell>
        </row>
        <row r="1267">
          <cell r="A1267" t="str">
            <v>SMT P&amp;P 8 Dual Lane</v>
          </cell>
          <cell r="B1267" t="str">
            <v>Automatic Placement --- SMT</v>
          </cell>
        </row>
        <row r="1268">
          <cell r="A1268" t="str">
            <v>SMT P&amp;P 9 Dual Lane</v>
          </cell>
          <cell r="B1268" t="str">
            <v>Automatic Placement --- SMT</v>
          </cell>
        </row>
        <row r="1269">
          <cell r="A1269" t="str">
            <v>SMT P&amp;P 10 Dual Lane</v>
          </cell>
          <cell r="B1269" t="str">
            <v>Automatic Placement --- SMT</v>
          </cell>
        </row>
        <row r="1270">
          <cell r="A1270" t="str">
            <v>SMT P&amp;P 11 Dual Lane</v>
          </cell>
          <cell r="B1270" t="str">
            <v>Automatic Placement --- SMT</v>
          </cell>
        </row>
        <row r="1271">
          <cell r="A1271" t="str">
            <v>SMT P&amp;P 12 Dual Lane</v>
          </cell>
          <cell r="B1271" t="str">
            <v>Automatic Placement --- SMT</v>
          </cell>
        </row>
        <row r="1272">
          <cell r="A1272" t="str">
            <v>SMT P&amp;P 13 Dual Lane</v>
          </cell>
          <cell r="B1272" t="str">
            <v>Automatic Placement --- SMT</v>
          </cell>
        </row>
        <row r="1273">
          <cell r="A1273" t="str">
            <v>SMT P&amp;P 14 Dual Lane</v>
          </cell>
          <cell r="B1273" t="str">
            <v>Automatic Placement --- SMT</v>
          </cell>
        </row>
        <row r="1274">
          <cell r="A1274" t="str">
            <v>SMT P&amp;P 15 Dual Lane</v>
          </cell>
          <cell r="B1274" t="str">
            <v>Automatic Placement --- SMT</v>
          </cell>
        </row>
        <row r="1275">
          <cell r="A1275" t="str">
            <v>SMT P&amp;P 16 Dual Lane</v>
          </cell>
          <cell r="B1275" t="str">
            <v>Automatic Placement --- SMT</v>
          </cell>
        </row>
        <row r="1276">
          <cell r="A1276" t="str">
            <v>SMT P&amp;P 17 Dual Lane</v>
          </cell>
          <cell r="B1276" t="str">
            <v>Automatic Placement --- SMT</v>
          </cell>
        </row>
        <row r="1277">
          <cell r="A1277" t="str">
            <v>SMT P&amp;P 18 Dual Lane</v>
          </cell>
          <cell r="B1277" t="str">
            <v>Automatic Placement --- SMT</v>
          </cell>
        </row>
        <row r="1278">
          <cell r="A1278" t="str">
            <v>SMT P&amp;P 19 Dual Lane</v>
          </cell>
          <cell r="B1278" t="str">
            <v>Automatic Placement --- SMT</v>
          </cell>
        </row>
        <row r="1279">
          <cell r="A1279" t="str">
            <v>SMT P&amp;P 20 Dual Lane</v>
          </cell>
          <cell r="B1279" t="str">
            <v>Automatic Placement --- SMT</v>
          </cell>
        </row>
        <row r="1280">
          <cell r="A1280" t="str">
            <v>SMT P&amp;P 21 Dual Lane</v>
          </cell>
          <cell r="B1280" t="str">
            <v>Automatic Placement --- SMT</v>
          </cell>
        </row>
        <row r="1281">
          <cell r="A1281" t="str">
            <v>SMT P&amp;P 22 Dual Lane</v>
          </cell>
          <cell r="B1281" t="str">
            <v>Automatic Placement --- SMT</v>
          </cell>
        </row>
        <row r="1282">
          <cell r="A1282" t="str">
            <v>SMT P&amp;P 23 Dual Lane</v>
          </cell>
          <cell r="B1282" t="str">
            <v>Automatic Placement --- SMT</v>
          </cell>
        </row>
        <row r="1283">
          <cell r="A1283" t="str">
            <v>SMT P&amp;P 24 Dual Lane</v>
          </cell>
          <cell r="B1283" t="str">
            <v>Automatic Placement --- SMT</v>
          </cell>
        </row>
        <row r="1284">
          <cell r="A1284" t="str">
            <v>SMT P&amp;P 25 Dual Lane</v>
          </cell>
          <cell r="B1284" t="str">
            <v>Automatic Placement --- SMT</v>
          </cell>
        </row>
        <row r="1285">
          <cell r="A1285" t="str">
            <v>SMT P&amp;P 26 Dual Lane</v>
          </cell>
          <cell r="B1285" t="str">
            <v>Automatic Placement --- SMT</v>
          </cell>
        </row>
        <row r="1286">
          <cell r="A1286" t="str">
            <v>SMT P&amp;P 27 Dual Lane</v>
          </cell>
          <cell r="B1286" t="str">
            <v>Automatic Placement --- SMT</v>
          </cell>
        </row>
        <row r="1287">
          <cell r="A1287" t="str">
            <v>SMT P&amp;P 28 Dual Lane</v>
          </cell>
          <cell r="B1287" t="str">
            <v>Automatic Placement --- SMT</v>
          </cell>
        </row>
        <row r="1288">
          <cell r="A1288" t="str">
            <v>SMT P&amp;P 29 Dual Lane</v>
          </cell>
          <cell r="B1288" t="str">
            <v>Automatic Placement --- SMT</v>
          </cell>
        </row>
        <row r="1289">
          <cell r="A1289" t="str">
            <v>SMT P&amp;P 30 Dual Lane</v>
          </cell>
          <cell r="B1289" t="str">
            <v>Automatic Placement --- SMT</v>
          </cell>
        </row>
        <row r="1290">
          <cell r="A1290" t="str">
            <v>SMT P&amp;P 31 Dual Lane</v>
          </cell>
          <cell r="B1290" t="str">
            <v>Automatic Placement --- SMT</v>
          </cell>
        </row>
        <row r="1291">
          <cell r="A1291" t="str">
            <v>SMT P&amp;P 32 Dual Lane</v>
          </cell>
          <cell r="B1291" t="str">
            <v>Automatic Placement --- SMT</v>
          </cell>
        </row>
        <row r="1292">
          <cell r="A1292" t="str">
            <v>SMT P&amp;P 33 Dual Lane</v>
          </cell>
          <cell r="B1292" t="str">
            <v>Automatic Placement --- SMT</v>
          </cell>
        </row>
        <row r="1293">
          <cell r="A1293" t="str">
            <v>SMT P&amp;P 34 Dual Lane</v>
          </cell>
          <cell r="B1293" t="str">
            <v>Automatic Placement --- SMT</v>
          </cell>
        </row>
        <row r="1294">
          <cell r="A1294" t="str">
            <v>SMT P&amp;P 35 Dual Lane</v>
          </cell>
          <cell r="B1294" t="str">
            <v>Automatic Placement --- SMT</v>
          </cell>
        </row>
        <row r="1295">
          <cell r="A1295" t="str">
            <v>SMT P&amp;P 36 Dual Lane</v>
          </cell>
          <cell r="B1295" t="str">
            <v>Automatic Placement --- SMT</v>
          </cell>
        </row>
        <row r="1296">
          <cell r="A1296" t="str">
            <v>SMT P&amp;P 37 Dual Lane</v>
          </cell>
          <cell r="B1296" t="str">
            <v>Automatic Placement --- SMT</v>
          </cell>
        </row>
        <row r="1297">
          <cell r="A1297" t="str">
            <v>SMT P&amp;P 38 Dual Lane</v>
          </cell>
          <cell r="B1297" t="str">
            <v>Automatic Placement --- SMT</v>
          </cell>
        </row>
        <row r="1298">
          <cell r="A1298" t="str">
            <v>SMT P&amp;P 39 Dual Lane</v>
          </cell>
          <cell r="B1298" t="str">
            <v>Automatic Placement --- SMT</v>
          </cell>
        </row>
        <row r="1299">
          <cell r="A1299" t="str">
            <v>SMT P&amp;P 40 Dual Lane</v>
          </cell>
          <cell r="B1299" t="str">
            <v>Automatic Placement --- SMT</v>
          </cell>
        </row>
        <row r="1300">
          <cell r="A1300" t="str">
            <v>SMT P&amp;P 41 Dual Lane</v>
          </cell>
          <cell r="B1300" t="str">
            <v>Automatic Placement --- SMT</v>
          </cell>
        </row>
        <row r="1301">
          <cell r="A1301" t="str">
            <v>SMT P&amp;P 42 Dual Lane</v>
          </cell>
          <cell r="B1301" t="str">
            <v>Automatic Placement --- SMT</v>
          </cell>
        </row>
        <row r="1302">
          <cell r="A1302" t="str">
            <v>SMT P&amp;P 43 Dual Lane</v>
          </cell>
          <cell r="B1302" t="str">
            <v>Automatic Placement --- SMT</v>
          </cell>
        </row>
        <row r="1303">
          <cell r="A1303" t="str">
            <v>SMT P&amp;P 44 Dual Lane</v>
          </cell>
          <cell r="B1303" t="str">
            <v>Automatic Placement --- SMT</v>
          </cell>
        </row>
        <row r="1304">
          <cell r="A1304" t="str">
            <v>SMT P&amp;P 45 Dual Lane</v>
          </cell>
          <cell r="B1304" t="str">
            <v>Automatic Placement --- SMT</v>
          </cell>
        </row>
        <row r="1305">
          <cell r="A1305" t="str">
            <v>SMT P&amp;P 46 Dual Lane</v>
          </cell>
          <cell r="B1305" t="str">
            <v>Automatic Placement --- SMT</v>
          </cell>
        </row>
        <row r="1306">
          <cell r="A1306" t="str">
            <v>SMT P&amp;P 47 Dual Lane</v>
          </cell>
          <cell r="B1306" t="str">
            <v>Automatic Placement --- SMT</v>
          </cell>
        </row>
        <row r="1307">
          <cell r="A1307" t="str">
            <v>SMT P&amp;P 48 Dual Lane</v>
          </cell>
          <cell r="B1307" t="str">
            <v>Automatic Placement --- SMT</v>
          </cell>
        </row>
        <row r="1308">
          <cell r="A1308" t="str">
            <v>SMT P&amp;P 49 Dual Lane</v>
          </cell>
          <cell r="B1308" t="str">
            <v>Automatic Placement --- SMT</v>
          </cell>
        </row>
        <row r="1309">
          <cell r="A1309" t="str">
            <v>SMT P&amp;P 50 Dual Lane</v>
          </cell>
          <cell r="B1309" t="str">
            <v>Automatic Placement --- SMT</v>
          </cell>
        </row>
        <row r="1310">
          <cell r="A1310" t="str">
            <v>SMT P&amp;P 51 Dual Lane</v>
          </cell>
          <cell r="B1310" t="str">
            <v>Automatic Placement --- SMT</v>
          </cell>
        </row>
        <row r="1311">
          <cell r="A1311" t="str">
            <v>SMT P&amp;P 52 Dual Lane</v>
          </cell>
          <cell r="B1311" t="str">
            <v>Automatic Placement --- SMT</v>
          </cell>
        </row>
        <row r="1312">
          <cell r="A1312" t="str">
            <v>SMT P&amp;P 53 Dual Lane</v>
          </cell>
          <cell r="B1312" t="str">
            <v>Automatic Placement --- SMT</v>
          </cell>
        </row>
        <row r="1313">
          <cell r="A1313" t="str">
            <v>SMT P&amp;P 54 Dual Lane</v>
          </cell>
          <cell r="B1313" t="str">
            <v>Automatic Placement --- SMT</v>
          </cell>
        </row>
        <row r="1314">
          <cell r="A1314" t="str">
            <v>SMT P&amp;P 55 Dual Lane</v>
          </cell>
          <cell r="B1314" t="str">
            <v>Automatic Placement --- SMT</v>
          </cell>
        </row>
        <row r="1315">
          <cell r="A1315" t="str">
            <v>SMT P&amp;P 56 Dual Lane</v>
          </cell>
          <cell r="B1315" t="str">
            <v>Automatic Placement --- SMT</v>
          </cell>
        </row>
        <row r="1316">
          <cell r="A1316" t="str">
            <v>SMT P&amp;P 57 Dual Lane</v>
          </cell>
          <cell r="B1316" t="str">
            <v>Automatic Placement --- SMT</v>
          </cell>
        </row>
        <row r="1317">
          <cell r="A1317" t="str">
            <v>SMT P&amp;P 58 Dual Lane</v>
          </cell>
          <cell r="B1317" t="str">
            <v>Automatic Placement --- SMT</v>
          </cell>
        </row>
        <row r="1318">
          <cell r="A1318" t="str">
            <v>SMT P&amp;P 59 Dual Lane</v>
          </cell>
          <cell r="B1318" t="str">
            <v>Automatic Placement --- SMT</v>
          </cell>
        </row>
        <row r="1319">
          <cell r="A1319" t="str">
            <v>SMT P&amp;P 60 Dual Lane</v>
          </cell>
          <cell r="B1319" t="str">
            <v>Automatic Placement --- SMT</v>
          </cell>
        </row>
        <row r="1320">
          <cell r="A1320" t="str">
            <v>Solder Paste Printer 1</v>
          </cell>
          <cell r="B1320" t="str">
            <v>Solder Paste Printing</v>
          </cell>
        </row>
        <row r="1321">
          <cell r="A1321" t="str">
            <v>Solder Paste Printer 2</v>
          </cell>
          <cell r="B1321" t="str">
            <v>Solder Paste Printing</v>
          </cell>
        </row>
        <row r="1322">
          <cell r="A1322" t="str">
            <v>Solder Paste Printer 3</v>
          </cell>
          <cell r="B1322" t="str">
            <v>Solder Paste Printing</v>
          </cell>
        </row>
        <row r="1323">
          <cell r="A1323" t="str">
            <v>Solder Paste Printer 4</v>
          </cell>
          <cell r="B1323" t="str">
            <v>Solder Paste Printing</v>
          </cell>
        </row>
        <row r="1324">
          <cell r="A1324" t="str">
            <v>Solder Paste Printer 5</v>
          </cell>
          <cell r="B1324" t="str">
            <v>Solder Paste Printing</v>
          </cell>
        </row>
        <row r="1325">
          <cell r="A1325" t="str">
            <v>Solder Paste Printer 6</v>
          </cell>
          <cell r="B1325" t="str">
            <v>Solder Paste Printing</v>
          </cell>
        </row>
        <row r="1326">
          <cell r="A1326" t="str">
            <v>Solder Paste Printer 7</v>
          </cell>
          <cell r="B1326" t="str">
            <v>Solder Paste Printing</v>
          </cell>
        </row>
        <row r="1327">
          <cell r="A1327" t="str">
            <v>Solder Paste Printer 8</v>
          </cell>
          <cell r="B1327" t="str">
            <v>Solder Paste Printing</v>
          </cell>
        </row>
        <row r="1328">
          <cell r="A1328" t="str">
            <v>Solder Paste Printer 1 Dual Lane</v>
          </cell>
          <cell r="B1328" t="str">
            <v>Solder Paste Printing</v>
          </cell>
        </row>
        <row r="1329">
          <cell r="A1329" t="str">
            <v>Solder Paste Printer 2 Dual Lane</v>
          </cell>
          <cell r="B1329" t="str">
            <v>Solder Paste Printing</v>
          </cell>
        </row>
        <row r="1330">
          <cell r="A1330" t="str">
            <v>Solder Paste Printer 3 Dual Lane</v>
          </cell>
          <cell r="B1330" t="str">
            <v>Solder Paste Printing</v>
          </cell>
        </row>
        <row r="1331">
          <cell r="A1331" t="str">
            <v>Solder Paste Printer 4 Dual Lane</v>
          </cell>
          <cell r="B1331" t="str">
            <v>Solder Paste Printing</v>
          </cell>
        </row>
        <row r="1332">
          <cell r="A1332" t="str">
            <v>Solder Paste Printer 5 Dual Lane</v>
          </cell>
          <cell r="B1332" t="str">
            <v>Solder Paste Printing</v>
          </cell>
        </row>
        <row r="1333">
          <cell r="A1333" t="str">
            <v>Solder Paste Printer 6 Dual Lane</v>
          </cell>
          <cell r="B1333" t="str">
            <v>Solder Paste Printing</v>
          </cell>
        </row>
        <row r="1334">
          <cell r="A1334" t="str">
            <v>Solder Paste Printer 7 Dual Lane</v>
          </cell>
          <cell r="B1334" t="str">
            <v>Solder Paste Printing</v>
          </cell>
        </row>
        <row r="1335">
          <cell r="A1335" t="str">
            <v>Solder Paste Printer 8 Dual Lane</v>
          </cell>
          <cell r="B1335" t="str">
            <v>Solder Paste Printing</v>
          </cell>
        </row>
        <row r="1336">
          <cell r="A1336" t="str">
            <v>SPI 3D 1</v>
          </cell>
          <cell r="B1336" t="str">
            <v>Automatic Solder Paste Inspection</v>
          </cell>
        </row>
        <row r="1337">
          <cell r="A1337" t="str">
            <v>SPI 3D 2</v>
          </cell>
          <cell r="B1337" t="str">
            <v>Automatic Solder Paste Inspection</v>
          </cell>
        </row>
        <row r="1338">
          <cell r="A1338" t="str">
            <v>SPI 3D 3</v>
          </cell>
          <cell r="B1338" t="str">
            <v>Automatic Solder Paste Inspection</v>
          </cell>
        </row>
        <row r="1339">
          <cell r="A1339" t="str">
            <v>SPI 3D 4</v>
          </cell>
          <cell r="B1339" t="str">
            <v>Automatic Solder Paste Inspection</v>
          </cell>
        </row>
        <row r="1340">
          <cell r="A1340" t="str">
            <v>SPI 3D 5</v>
          </cell>
          <cell r="B1340" t="str">
            <v>Automatic Solder Paste Inspection</v>
          </cell>
        </row>
        <row r="1341">
          <cell r="A1341" t="str">
            <v>SPI 3D 6</v>
          </cell>
          <cell r="B1341" t="str">
            <v>Automatic Solder Paste Inspection</v>
          </cell>
        </row>
        <row r="1342">
          <cell r="A1342" t="str">
            <v>SPI 3D 7</v>
          </cell>
          <cell r="B1342" t="str">
            <v>Automatic Solder Paste Inspection</v>
          </cell>
        </row>
        <row r="1343">
          <cell r="A1343" t="str">
            <v>SPI 3D 8</v>
          </cell>
          <cell r="B1343" t="str">
            <v>Automatic Solder Paste Inspection</v>
          </cell>
        </row>
        <row r="1344">
          <cell r="A1344" t="str">
            <v>SPI 3D 1 Dual Lane</v>
          </cell>
          <cell r="B1344" t="str">
            <v>Automatic Solder Paste Inspection</v>
          </cell>
        </row>
        <row r="1345">
          <cell r="A1345" t="str">
            <v>SPI 3D 2 Dual Lane</v>
          </cell>
          <cell r="B1345" t="str">
            <v>Automatic Solder Paste Inspection</v>
          </cell>
        </row>
        <row r="1346">
          <cell r="A1346" t="str">
            <v>SPI 3D 3 Dual Lane</v>
          </cell>
          <cell r="B1346" t="str">
            <v>Automatic Solder Paste Inspection</v>
          </cell>
        </row>
        <row r="1347">
          <cell r="A1347" t="str">
            <v>SPI 3D 4 Dual Lane</v>
          </cell>
          <cell r="B1347" t="str">
            <v>Automatic Solder Paste Inspection</v>
          </cell>
        </row>
        <row r="1348">
          <cell r="A1348" t="str">
            <v>SPI 3D 5 Dual Lane</v>
          </cell>
          <cell r="B1348" t="str">
            <v>Automatic Solder Paste Inspection</v>
          </cell>
        </row>
        <row r="1349">
          <cell r="A1349" t="str">
            <v>SPI 3D 6 Dual Lane</v>
          </cell>
          <cell r="B1349" t="str">
            <v>Automatic Solder Paste Inspection</v>
          </cell>
        </row>
        <row r="1350">
          <cell r="A1350" t="str">
            <v>SPI 3D 7 Dual Lane</v>
          </cell>
          <cell r="B1350" t="str">
            <v>Automatic Solder Paste Inspection</v>
          </cell>
        </row>
        <row r="1351">
          <cell r="A1351" t="str">
            <v>SPI 3D 8 Dual Lane</v>
          </cell>
          <cell r="B1351" t="str">
            <v>Automatic Solder Paste Inspection</v>
          </cell>
        </row>
        <row r="1352">
          <cell r="A1352" t="str">
            <v>Tester --- Calibration w/auto loading/unloading 1</v>
          </cell>
          <cell r="B1352" t="str">
            <v>Calibration in-line</v>
          </cell>
        </row>
        <row r="1353">
          <cell r="A1353" t="str">
            <v>Tester --- Calibration w/auto loading/unloading 2</v>
          </cell>
          <cell r="B1353" t="str">
            <v>Calibration in-line</v>
          </cell>
        </row>
        <row r="1354">
          <cell r="A1354" t="str">
            <v>Tester --- Calibration w/auto loading/unloading 3</v>
          </cell>
          <cell r="B1354" t="str">
            <v>Calibration in-line</v>
          </cell>
        </row>
        <row r="1355">
          <cell r="A1355" t="str">
            <v>Tester --- Calibration w/auto loading/unloading 4</v>
          </cell>
          <cell r="B1355" t="str">
            <v>Calibration in-line</v>
          </cell>
        </row>
        <row r="1356">
          <cell r="A1356" t="str">
            <v>Tester --- Calibration w/auto loading/unloading 5</v>
          </cell>
          <cell r="B1356" t="str">
            <v>Calibration in-line</v>
          </cell>
        </row>
        <row r="1357">
          <cell r="A1357" t="str">
            <v>Tester --- Calibration w/auto loading/unloading 6</v>
          </cell>
          <cell r="B1357" t="str">
            <v>Calibration in-line</v>
          </cell>
        </row>
        <row r="1358">
          <cell r="A1358" t="str">
            <v>Tester --- Calibration w/auto loading/unloading 7</v>
          </cell>
          <cell r="B1358" t="str">
            <v>Calibration in-line</v>
          </cell>
        </row>
        <row r="1359">
          <cell r="A1359" t="str">
            <v>Tester --- Calibration w/auto loading/unloading 8</v>
          </cell>
          <cell r="B1359" t="str">
            <v>Calibration in-line</v>
          </cell>
        </row>
        <row r="1360">
          <cell r="A1360" t="str">
            <v>Tester --- Calibration w/auto loading/unloading 9</v>
          </cell>
          <cell r="B1360" t="str">
            <v>Calibration in-line</v>
          </cell>
        </row>
        <row r="1361">
          <cell r="A1361" t="str">
            <v>Tester --- Calibration w/auto loading/unloading 10</v>
          </cell>
          <cell r="B1361" t="str">
            <v>Calibration in-line</v>
          </cell>
        </row>
        <row r="1362">
          <cell r="A1362" t="str">
            <v>Tester --- Calibration w/manual loading/unloading 1</v>
          </cell>
          <cell r="B1362" t="str">
            <v>Calibration off-line</v>
          </cell>
        </row>
        <row r="1363">
          <cell r="A1363" t="str">
            <v>Tester --- Calibration w/manual loading/unloading 2</v>
          </cell>
          <cell r="B1363" t="str">
            <v>Calibration off-line</v>
          </cell>
        </row>
        <row r="1364">
          <cell r="A1364" t="str">
            <v>Tester --- Calibration w/manual loading/unloading 3</v>
          </cell>
          <cell r="B1364" t="str">
            <v>Calibration off-line</v>
          </cell>
        </row>
        <row r="1365">
          <cell r="A1365" t="str">
            <v>Tester --- Calibration w/manual loading/unloading 4</v>
          </cell>
          <cell r="B1365" t="str">
            <v>Calibration off-line</v>
          </cell>
        </row>
        <row r="1366">
          <cell r="A1366" t="str">
            <v>Tester --- Calibration w/manual loading/unloading 5</v>
          </cell>
          <cell r="B1366" t="str">
            <v>Calibration off-line</v>
          </cell>
        </row>
        <row r="1367">
          <cell r="A1367" t="str">
            <v>Tester --- Calibration w/manual loading/unloading 6</v>
          </cell>
          <cell r="B1367" t="str">
            <v>Calibration off-line</v>
          </cell>
        </row>
        <row r="1368">
          <cell r="A1368" t="str">
            <v>Tester --- Calibration w/manual loading/unloading 7</v>
          </cell>
          <cell r="B1368" t="str">
            <v>Calibration off-line</v>
          </cell>
        </row>
        <row r="1369">
          <cell r="A1369" t="str">
            <v>Tester --- Calibration w/manual loading/unloading 8</v>
          </cell>
          <cell r="B1369" t="str">
            <v>Calibration off-line</v>
          </cell>
        </row>
        <row r="1370">
          <cell r="A1370" t="str">
            <v>Tester --- Calibration w/manual loading/unloading 9</v>
          </cell>
          <cell r="B1370" t="str">
            <v>Calibration off-line</v>
          </cell>
        </row>
        <row r="1371">
          <cell r="A1371" t="str">
            <v>Tester --- Calibration w/manual loading/unloading 10</v>
          </cell>
          <cell r="B1371" t="str">
            <v>Calibration off-line</v>
          </cell>
        </row>
        <row r="1372">
          <cell r="A1372" t="str">
            <v>Tester --- End Of Line w/auto loading/unloading 1</v>
          </cell>
          <cell r="B1372" t="str">
            <v>EOL in-line</v>
          </cell>
        </row>
        <row r="1373">
          <cell r="A1373" t="str">
            <v>Tester --- End Of Line w/auto loading/unloading 2</v>
          </cell>
          <cell r="B1373" t="str">
            <v>EOL in-line</v>
          </cell>
        </row>
        <row r="1374">
          <cell r="A1374" t="str">
            <v>Tester --- End Of Line w/auto loading/unloading 3</v>
          </cell>
          <cell r="B1374" t="str">
            <v>EOL in-line</v>
          </cell>
        </row>
        <row r="1375">
          <cell r="A1375" t="str">
            <v>Tester --- End Of Line w/auto loading/unloading 4</v>
          </cell>
          <cell r="B1375" t="str">
            <v>EOL in-line</v>
          </cell>
        </row>
        <row r="1376">
          <cell r="A1376" t="str">
            <v>Tester --- End Of Line w/auto loading/unloading 5</v>
          </cell>
          <cell r="B1376" t="str">
            <v>EOL in-line</v>
          </cell>
        </row>
        <row r="1377">
          <cell r="A1377" t="str">
            <v>Tester --- End Of Line w/auto loading/unloading 6</v>
          </cell>
          <cell r="B1377" t="str">
            <v>EOL in-line</v>
          </cell>
        </row>
        <row r="1378">
          <cell r="A1378" t="str">
            <v>Tester --- End Of Line w/auto loading/unloading 7</v>
          </cell>
          <cell r="B1378" t="str">
            <v>EOL in-line</v>
          </cell>
        </row>
        <row r="1379">
          <cell r="A1379" t="str">
            <v>Tester --- End Of Line w/auto loading/unloading 8</v>
          </cell>
          <cell r="B1379" t="str">
            <v>EOL in-line</v>
          </cell>
        </row>
        <row r="1380">
          <cell r="A1380" t="str">
            <v>Tester --- End Of Line w/auto loading/unloading 9</v>
          </cell>
          <cell r="B1380" t="str">
            <v>EOL in-line</v>
          </cell>
        </row>
        <row r="1381">
          <cell r="A1381" t="str">
            <v>Tester --- End Of Line w/auto loading/unloading 10</v>
          </cell>
          <cell r="B1381" t="str">
            <v>EOL in-line</v>
          </cell>
        </row>
        <row r="1382">
          <cell r="A1382" t="str">
            <v>Tester --- End Of Line w/manual loading/unloading 1</v>
          </cell>
          <cell r="B1382" t="str">
            <v>EOL off-line</v>
          </cell>
        </row>
        <row r="1383">
          <cell r="A1383" t="str">
            <v>Tester --- End Of Line w/manual loading/unloading 2</v>
          </cell>
          <cell r="B1383" t="str">
            <v>EOL off-line</v>
          </cell>
        </row>
        <row r="1384">
          <cell r="A1384" t="str">
            <v>Tester --- End Of Line w/manual loading/unloading 3</v>
          </cell>
          <cell r="B1384" t="str">
            <v>EOL off-line</v>
          </cell>
        </row>
        <row r="1385">
          <cell r="A1385" t="str">
            <v>Tester --- End Of Line w/manual loading/unloading 4</v>
          </cell>
          <cell r="B1385" t="str">
            <v>EOL off-line</v>
          </cell>
        </row>
        <row r="1386">
          <cell r="A1386" t="str">
            <v>Tester --- End Of Line w/manual loading/unloading 5</v>
          </cell>
          <cell r="B1386" t="str">
            <v>EOL off-line</v>
          </cell>
        </row>
        <row r="1387">
          <cell r="A1387" t="str">
            <v>Tester --- End Of Line w/manual loading/unloading 6</v>
          </cell>
          <cell r="B1387" t="str">
            <v>EOL off-line</v>
          </cell>
        </row>
        <row r="1388">
          <cell r="A1388" t="str">
            <v>Tester --- End Of Line w/manual loading/unloading 7</v>
          </cell>
          <cell r="B1388" t="str">
            <v>EOL off-line</v>
          </cell>
        </row>
        <row r="1389">
          <cell r="A1389" t="str">
            <v>Tester --- End Of Line w/manual loading/unloading 8</v>
          </cell>
          <cell r="B1389" t="str">
            <v>EOL off-line</v>
          </cell>
        </row>
        <row r="1390">
          <cell r="A1390" t="str">
            <v>Tester --- End Of Line w/manual loading/unloading 9</v>
          </cell>
          <cell r="B1390" t="str">
            <v>EOL off-line</v>
          </cell>
        </row>
        <row r="1391">
          <cell r="A1391" t="str">
            <v>Tester --- End Of Line w/manual loading/unloading 10</v>
          </cell>
          <cell r="B1391" t="str">
            <v>EOL off-line</v>
          </cell>
        </row>
        <row r="1392">
          <cell r="A1392" t="str">
            <v>Tester --- Flying Probe 1</v>
          </cell>
          <cell r="B1392" t="str">
            <v>Flying Probe</v>
          </cell>
        </row>
        <row r="1393">
          <cell r="A1393" t="str">
            <v>Tester --- Functional Verification w/auto loading/unloading 1</v>
          </cell>
          <cell r="B1393" t="str">
            <v>FVT in-line</v>
          </cell>
        </row>
        <row r="1394">
          <cell r="A1394" t="str">
            <v>Tester --- Functional Verification w/auto loading/unloading 2</v>
          </cell>
          <cell r="B1394" t="str">
            <v>FVT in-line</v>
          </cell>
        </row>
        <row r="1395">
          <cell r="A1395" t="str">
            <v>Tester --- Functional Verification w/auto loading/unloading 3</v>
          </cell>
          <cell r="B1395" t="str">
            <v>FVT in-line</v>
          </cell>
        </row>
        <row r="1396">
          <cell r="A1396" t="str">
            <v>Tester --- Functional Verification w/auto loading/unloading 4</v>
          </cell>
          <cell r="B1396" t="str">
            <v>FVT in-line</v>
          </cell>
        </row>
        <row r="1397">
          <cell r="A1397" t="str">
            <v>Tester --- Functional Verification w/auto loading/unloading 5</v>
          </cell>
          <cell r="B1397" t="str">
            <v>FVT in-line</v>
          </cell>
        </row>
        <row r="1398">
          <cell r="A1398" t="str">
            <v>Tester --- Functional Verification w/auto loading/unloading 6</v>
          </cell>
          <cell r="B1398" t="str">
            <v>FVT in-line</v>
          </cell>
        </row>
        <row r="1399">
          <cell r="A1399" t="str">
            <v>Tester --- Functional Verification w/auto loading/unloading 7</v>
          </cell>
          <cell r="B1399" t="str">
            <v>FVT in-line</v>
          </cell>
        </row>
        <row r="1400">
          <cell r="A1400" t="str">
            <v>Tester --- Functional Verification w/auto loading/unloading 8</v>
          </cell>
          <cell r="B1400" t="str">
            <v>FVT in-line</v>
          </cell>
        </row>
        <row r="1401">
          <cell r="A1401" t="str">
            <v>Tester --- Functional Verification w/auto loading/unloading 9</v>
          </cell>
          <cell r="B1401" t="str">
            <v>FVT in-line</v>
          </cell>
        </row>
        <row r="1402">
          <cell r="A1402" t="str">
            <v>Tester --- Functional Verification w/auto loading/unloading 10</v>
          </cell>
          <cell r="B1402" t="str">
            <v>FVT in-line</v>
          </cell>
        </row>
        <row r="1403">
          <cell r="A1403" t="str">
            <v>Tester --- Functional Verification w/auto loading/unloading 11</v>
          </cell>
          <cell r="B1403" t="str">
            <v>FVT in-line</v>
          </cell>
        </row>
        <row r="1404">
          <cell r="A1404" t="str">
            <v>Tester --- Functional Verification w/auto loading/unloading 12</v>
          </cell>
          <cell r="B1404" t="str">
            <v>FVT in-line</v>
          </cell>
        </row>
        <row r="1405">
          <cell r="A1405" t="str">
            <v>Tester --- Functional Verification w/auto loading/unloading 13</v>
          </cell>
          <cell r="B1405" t="str">
            <v>FVT in-line</v>
          </cell>
        </row>
        <row r="1406">
          <cell r="A1406" t="str">
            <v>Tester --- Functional Verification w/auto loading/unloading 14</v>
          </cell>
          <cell r="B1406" t="str">
            <v>FVT in-line</v>
          </cell>
        </row>
        <row r="1407">
          <cell r="A1407" t="str">
            <v>Tester --- Functional Verification w/auto loading/unloading 15</v>
          </cell>
          <cell r="B1407" t="str">
            <v>FVT in-line</v>
          </cell>
        </row>
        <row r="1408">
          <cell r="A1408" t="str">
            <v>Tester --- Functional Verification w/manual loading/unloading 1</v>
          </cell>
          <cell r="B1408" t="str">
            <v>FVT off-line</v>
          </cell>
        </row>
        <row r="1409">
          <cell r="A1409" t="str">
            <v>Tester --- Functional Verification w/manual loading/unloading 2</v>
          </cell>
          <cell r="B1409" t="str">
            <v>FVT off-line</v>
          </cell>
        </row>
        <row r="1410">
          <cell r="A1410" t="str">
            <v>Tester --- Functional Verification w/manual loading/unloading 3</v>
          </cell>
          <cell r="B1410" t="str">
            <v>FVT off-line</v>
          </cell>
        </row>
        <row r="1411">
          <cell r="A1411" t="str">
            <v>Tester --- Functional Verification w/manual loading/unloading 4</v>
          </cell>
          <cell r="B1411" t="str">
            <v>FVT off-line</v>
          </cell>
        </row>
        <row r="1412">
          <cell r="A1412" t="str">
            <v>Tester --- Functional Verification w/manual loading/unloading 5</v>
          </cell>
          <cell r="B1412" t="str">
            <v>FVT off-line</v>
          </cell>
        </row>
        <row r="1413">
          <cell r="A1413" t="str">
            <v>Tester --- Functional Verification w/manual loading/unloading 6</v>
          </cell>
          <cell r="B1413" t="str">
            <v>FVT off-line</v>
          </cell>
        </row>
        <row r="1414">
          <cell r="A1414" t="str">
            <v>Tester --- Functional Verification w/manual loading/unloading 7</v>
          </cell>
          <cell r="B1414" t="str">
            <v>FVT off-line</v>
          </cell>
        </row>
        <row r="1415">
          <cell r="A1415" t="str">
            <v>Tester --- Functional Verification w/manual loading/unloading 8</v>
          </cell>
          <cell r="B1415" t="str">
            <v>FVT off-line</v>
          </cell>
        </row>
        <row r="1416">
          <cell r="A1416" t="str">
            <v>Tester --- Functional Verification w/manual loading/unloading 9</v>
          </cell>
          <cell r="B1416" t="str">
            <v>FVT off-line</v>
          </cell>
        </row>
        <row r="1417">
          <cell r="A1417" t="str">
            <v>Tester --- Functional Verification w/manual loading/unloading 10</v>
          </cell>
          <cell r="B1417" t="str">
            <v>FVT off-line</v>
          </cell>
        </row>
        <row r="1418">
          <cell r="A1418" t="str">
            <v>Tester --- Height Measurement w/auto loading/unloading 1</v>
          </cell>
          <cell r="B1418" t="str">
            <v>Height measurement in-line</v>
          </cell>
        </row>
        <row r="1419">
          <cell r="A1419" t="str">
            <v>Tester --- Height Measurement w/auto loading/unloading 2</v>
          </cell>
          <cell r="B1419" t="str">
            <v>Height measurement in-line</v>
          </cell>
        </row>
        <row r="1420">
          <cell r="A1420" t="str">
            <v>Tester --- Height Measurement w/auto loading/unloading 3</v>
          </cell>
          <cell r="B1420" t="str">
            <v>Height measurement in-line</v>
          </cell>
        </row>
        <row r="1421">
          <cell r="A1421" t="str">
            <v>Tester --- Height Measurement w/auto loading/unloading 4</v>
          </cell>
          <cell r="B1421" t="str">
            <v>Height measurement in-line</v>
          </cell>
        </row>
        <row r="1422">
          <cell r="A1422" t="str">
            <v>Tester --- Height Measurement w/manual loading/unloading 1</v>
          </cell>
          <cell r="B1422" t="str">
            <v>Height measurement off-line</v>
          </cell>
        </row>
        <row r="1423">
          <cell r="A1423" t="str">
            <v>Tester --- Height Measurement w/manual loading/unloading 2</v>
          </cell>
          <cell r="B1423" t="str">
            <v>Height measurement off-line</v>
          </cell>
        </row>
        <row r="1424">
          <cell r="A1424" t="str">
            <v>Tester --- Height Measurement w/manual loading/unloading 3</v>
          </cell>
          <cell r="B1424" t="str">
            <v>Height measurement off-line</v>
          </cell>
        </row>
        <row r="1425">
          <cell r="A1425" t="str">
            <v>Tester --- Height Measurement w/manual loading/unloading 4</v>
          </cell>
          <cell r="B1425" t="str">
            <v>Height measurement off-line</v>
          </cell>
        </row>
        <row r="1426">
          <cell r="A1426" t="str">
            <v>Tester --- Hi Pot w/auto loading/unloading 1</v>
          </cell>
          <cell r="B1426" t="str">
            <v>Hi-Pot in-line</v>
          </cell>
        </row>
        <row r="1427">
          <cell r="A1427" t="str">
            <v>Tester --- Hi Pot w/auto loading/unloading 2</v>
          </cell>
          <cell r="B1427" t="str">
            <v>Hi-Pot in-line</v>
          </cell>
        </row>
        <row r="1428">
          <cell r="A1428" t="str">
            <v>Tester --- Hi Pot w/auto loading/unloading 3</v>
          </cell>
          <cell r="B1428" t="str">
            <v>Hi-Pot in-line</v>
          </cell>
        </row>
        <row r="1429">
          <cell r="A1429" t="str">
            <v>Tester --- Hi Pot w/auto loading/unloading 4</v>
          </cell>
          <cell r="B1429" t="str">
            <v>Hi-Pot in-line</v>
          </cell>
        </row>
        <row r="1430">
          <cell r="A1430" t="str">
            <v>Tester --- Hi Pot w/auto loading/unloading 5</v>
          </cell>
          <cell r="B1430" t="str">
            <v>Hi-Pot in-line</v>
          </cell>
        </row>
        <row r="1431">
          <cell r="A1431" t="str">
            <v>Tester --- Hi Pot w/auto loading/unloading 6</v>
          </cell>
          <cell r="B1431" t="str">
            <v>Hi-Pot in-line</v>
          </cell>
        </row>
        <row r="1432">
          <cell r="A1432" t="str">
            <v>Tester --- Hi Pot w/auto loading/unloading 7</v>
          </cell>
          <cell r="B1432" t="str">
            <v>Hi-Pot in-line</v>
          </cell>
        </row>
        <row r="1433">
          <cell r="A1433" t="str">
            <v>Tester --- Hi Pot w/auto loading/unloading 8</v>
          </cell>
          <cell r="B1433" t="str">
            <v>Hi-Pot in-line</v>
          </cell>
        </row>
        <row r="1434">
          <cell r="A1434" t="str">
            <v>Tester --- Hi Pot w/auto loading/unloading 9</v>
          </cell>
          <cell r="B1434" t="str">
            <v>Hi-Pot in-line</v>
          </cell>
        </row>
        <row r="1435">
          <cell r="A1435" t="str">
            <v>Tester --- Hi Pot w/auto loading/unloading 10</v>
          </cell>
          <cell r="B1435" t="str">
            <v>Hi-Pot in-line</v>
          </cell>
        </row>
        <row r="1436">
          <cell r="A1436" t="str">
            <v>Tester --- Hi Pot w/manual loading/unloading 1</v>
          </cell>
          <cell r="B1436" t="str">
            <v>Hi-Pot off-line</v>
          </cell>
        </row>
        <row r="1437">
          <cell r="A1437" t="str">
            <v>Tester --- Hi Pot w/manual loading/unloading 2</v>
          </cell>
          <cell r="B1437" t="str">
            <v>Hi-Pot off-line</v>
          </cell>
        </row>
        <row r="1438">
          <cell r="A1438" t="str">
            <v>Tester --- Hi Pot w/manual loading/unloading 3</v>
          </cell>
          <cell r="B1438" t="str">
            <v>Hi-Pot off-line</v>
          </cell>
        </row>
        <row r="1439">
          <cell r="A1439" t="str">
            <v>Tester --- Hi Pot w/manual loading/unloading 4</v>
          </cell>
          <cell r="B1439" t="str">
            <v>Hi-Pot off-line</v>
          </cell>
        </row>
        <row r="1440">
          <cell r="A1440" t="str">
            <v>Tester --- Hi Pot w/manual loading/unloading 5</v>
          </cell>
          <cell r="B1440" t="str">
            <v>Hi-Pot off-line</v>
          </cell>
        </row>
        <row r="1441">
          <cell r="A1441" t="str">
            <v>Tester --- Hi Pot w/manual loading/unloading 6</v>
          </cell>
          <cell r="B1441" t="str">
            <v>Hi-Pot off-line</v>
          </cell>
        </row>
        <row r="1442">
          <cell r="A1442" t="str">
            <v>Tester --- Hi Pot w/manual loading/unloading 7</v>
          </cell>
          <cell r="B1442" t="str">
            <v>Hi-Pot off-line</v>
          </cell>
        </row>
        <row r="1443">
          <cell r="A1443" t="str">
            <v>Tester --- Hi Pot w/manual loading/unloading 8</v>
          </cell>
          <cell r="B1443" t="str">
            <v>Hi-Pot off-line</v>
          </cell>
        </row>
        <row r="1444">
          <cell r="A1444" t="str">
            <v>Tester --- Hi Pot w/manual loading/unloading 9</v>
          </cell>
          <cell r="B1444" t="str">
            <v>Hi-Pot off-line</v>
          </cell>
        </row>
        <row r="1445">
          <cell r="A1445" t="str">
            <v>Tester --- Hi Pot w/manual loading/unloading 10</v>
          </cell>
          <cell r="B1445" t="str">
            <v>Hi-Pot off-line</v>
          </cell>
        </row>
        <row r="1446">
          <cell r="A1446" t="str">
            <v>Tester --- In Circuit Test w/auto loading/unloading 1</v>
          </cell>
          <cell r="B1446" t="str">
            <v>ICT in-line</v>
          </cell>
        </row>
        <row r="1447">
          <cell r="A1447" t="str">
            <v>Tester --- In Circuit Test w/auto loading/unloading 2</v>
          </cell>
          <cell r="B1447" t="str">
            <v>ICT in-line</v>
          </cell>
        </row>
        <row r="1448">
          <cell r="A1448" t="str">
            <v>Tester --- In Circuit Test w/auto loading/unloading 3</v>
          </cell>
          <cell r="B1448" t="str">
            <v>ICT in-line</v>
          </cell>
        </row>
        <row r="1449">
          <cell r="A1449" t="str">
            <v>Tester --- In Circuit Test w/auto loading/unloading 4</v>
          </cell>
          <cell r="B1449" t="str">
            <v>ICT in-line</v>
          </cell>
        </row>
        <row r="1450">
          <cell r="A1450" t="str">
            <v>Tester --- In Circuit Test w/auto loading/unloading 5</v>
          </cell>
          <cell r="B1450" t="str">
            <v>ICT in-line</v>
          </cell>
        </row>
        <row r="1451">
          <cell r="A1451" t="str">
            <v>Tester --- In Circuit Test w/auto loading/unloading 6</v>
          </cell>
          <cell r="B1451" t="str">
            <v>ICT in-line</v>
          </cell>
        </row>
        <row r="1452">
          <cell r="A1452" t="str">
            <v>Tester --- In Circuit Test w/auto loading/unloading 7</v>
          </cell>
          <cell r="B1452" t="str">
            <v>ICT in-line</v>
          </cell>
        </row>
        <row r="1453">
          <cell r="A1453" t="str">
            <v>Tester --- In Circuit Test w/auto loading/unloading 8</v>
          </cell>
          <cell r="B1453" t="str">
            <v>ICT in-line</v>
          </cell>
        </row>
        <row r="1454">
          <cell r="A1454" t="str">
            <v>Tester --- In Circuit Test w/auto loading/unloading 9</v>
          </cell>
          <cell r="B1454" t="str">
            <v>ICT in-line</v>
          </cell>
        </row>
        <row r="1455">
          <cell r="A1455" t="str">
            <v>Tester --- In Circuit Test w/auto loading/unloading 10</v>
          </cell>
          <cell r="B1455" t="str">
            <v>ICT in-line</v>
          </cell>
        </row>
        <row r="1456">
          <cell r="A1456" t="str">
            <v>Tester --- In Circuit Test w/auto loading/unloading 11</v>
          </cell>
          <cell r="B1456" t="str">
            <v>ICT in-line</v>
          </cell>
        </row>
        <row r="1457">
          <cell r="A1457" t="str">
            <v>Tester --- In Circuit Test w/auto loading/unloading 12</v>
          </cell>
          <cell r="B1457" t="str">
            <v>ICT in-line</v>
          </cell>
        </row>
        <row r="1458">
          <cell r="A1458" t="str">
            <v>Tester --- In Circuit Test w/auto loading/unloading 13</v>
          </cell>
          <cell r="B1458" t="str">
            <v>ICT in-line</v>
          </cell>
        </row>
        <row r="1459">
          <cell r="A1459" t="str">
            <v>Tester --- In Circuit Test w/auto loading/unloading 14</v>
          </cell>
          <cell r="B1459" t="str">
            <v>ICT in-line</v>
          </cell>
        </row>
        <row r="1460">
          <cell r="A1460" t="str">
            <v>Tester --- In Circuit Test w/auto loading/unloading 15</v>
          </cell>
          <cell r="B1460" t="str">
            <v>ICT in-line</v>
          </cell>
        </row>
        <row r="1461">
          <cell r="A1461" t="str">
            <v>Tester --- In Circuit Test w/auto loading/unloading 16</v>
          </cell>
          <cell r="B1461" t="str">
            <v>ICT in-line</v>
          </cell>
        </row>
        <row r="1462">
          <cell r="A1462" t="str">
            <v>Tester --- In Circuit Test w/auto loading/unloading 17</v>
          </cell>
          <cell r="B1462" t="str">
            <v>ICT in-line</v>
          </cell>
        </row>
        <row r="1463">
          <cell r="A1463" t="str">
            <v>Tester --- In Circuit Test w/auto loading/unloading 18</v>
          </cell>
          <cell r="B1463" t="str">
            <v>ICT in-line</v>
          </cell>
        </row>
        <row r="1464">
          <cell r="A1464" t="str">
            <v>Tester --- In Circuit Test w/auto loading/unloading 19</v>
          </cell>
          <cell r="B1464" t="str">
            <v>ICT in-line</v>
          </cell>
        </row>
        <row r="1465">
          <cell r="A1465" t="str">
            <v>Tester --- In Circuit Test w/auto loading/unloading 20</v>
          </cell>
          <cell r="B1465" t="str">
            <v>ICT in-line</v>
          </cell>
        </row>
        <row r="1466">
          <cell r="A1466" t="str">
            <v>Tester --- In Circuit Test w/manual loading/unloading 1</v>
          </cell>
          <cell r="B1466" t="str">
            <v>ICT off-line</v>
          </cell>
        </row>
        <row r="1467">
          <cell r="A1467" t="str">
            <v>Tester --- In Circuit Test w/manual loading/unloading 2</v>
          </cell>
          <cell r="B1467" t="str">
            <v>ICT off-line</v>
          </cell>
        </row>
        <row r="1468">
          <cell r="A1468" t="str">
            <v>Tester --- In Circuit Test w/manual loading/unloading 3</v>
          </cell>
          <cell r="B1468" t="str">
            <v>ICT off-line</v>
          </cell>
        </row>
        <row r="1469">
          <cell r="A1469" t="str">
            <v>Tester --- In Circuit Test w/manual loading/unloading 4</v>
          </cell>
          <cell r="B1469" t="str">
            <v>ICT off-line</v>
          </cell>
        </row>
        <row r="1470">
          <cell r="A1470" t="str">
            <v>Tester --- In Circuit Test w/manual loading/unloading 5</v>
          </cell>
          <cell r="B1470" t="str">
            <v>ICT off-line</v>
          </cell>
        </row>
        <row r="1471">
          <cell r="A1471" t="str">
            <v>Tester --- In Circuit Test w/manual loading/unloading 6</v>
          </cell>
          <cell r="B1471" t="str">
            <v>ICT off-line</v>
          </cell>
        </row>
        <row r="1472">
          <cell r="A1472" t="str">
            <v>Tester --- In Circuit Test w/manual loading/unloading 7</v>
          </cell>
          <cell r="B1472" t="str">
            <v>ICT off-line</v>
          </cell>
        </row>
        <row r="1473">
          <cell r="A1473" t="str">
            <v>Tester --- In Circuit Test w/manual loading/unloading 8</v>
          </cell>
          <cell r="B1473" t="str">
            <v>ICT off-line</v>
          </cell>
        </row>
        <row r="1474">
          <cell r="A1474" t="str">
            <v>Tester --- In Circuit Test w/manual loading/unloading 9</v>
          </cell>
          <cell r="B1474" t="str">
            <v>ICT off-line</v>
          </cell>
        </row>
        <row r="1475">
          <cell r="A1475" t="str">
            <v>Tester --- In Circuit Test w/manual loading/unloading 10</v>
          </cell>
          <cell r="B1475" t="str">
            <v>ICT off-line</v>
          </cell>
        </row>
        <row r="1476">
          <cell r="A1476" t="str">
            <v>Tester --- In Circuit Test w/manual loading/unloading 11</v>
          </cell>
          <cell r="B1476" t="str">
            <v>ICT off-line</v>
          </cell>
        </row>
        <row r="1477">
          <cell r="A1477" t="str">
            <v>Tester --- In Circuit Test w/manual loading/unloading 12</v>
          </cell>
          <cell r="B1477" t="str">
            <v>ICT off-line</v>
          </cell>
        </row>
        <row r="1478">
          <cell r="A1478" t="str">
            <v>Tester --- In Circuit Test w/manual loading/unloading 13</v>
          </cell>
          <cell r="B1478" t="str">
            <v>ICT off-line</v>
          </cell>
        </row>
        <row r="1479">
          <cell r="A1479" t="str">
            <v>Tester --- In Circuit Test w/manual loading/unloading 14</v>
          </cell>
          <cell r="B1479" t="str">
            <v>ICT off-line</v>
          </cell>
        </row>
        <row r="1480">
          <cell r="A1480" t="str">
            <v>Tester --- In Circuit Test w/manual loading/unloading 15</v>
          </cell>
          <cell r="B1480" t="str">
            <v>ICT off-line</v>
          </cell>
        </row>
        <row r="1481">
          <cell r="A1481" t="str">
            <v>Tester --- In Circuit Test w/manual loading/unloading 16</v>
          </cell>
          <cell r="B1481" t="str">
            <v>ICT off-line</v>
          </cell>
        </row>
        <row r="1482">
          <cell r="A1482" t="str">
            <v>Tester --- In Circuit Test w/manual loading/unloading 17</v>
          </cell>
          <cell r="B1482" t="str">
            <v>ICT off-line</v>
          </cell>
        </row>
        <row r="1483">
          <cell r="A1483" t="str">
            <v>Tester --- In Circuit Test w/manual loading/unloading 18</v>
          </cell>
          <cell r="B1483" t="str">
            <v>ICT off-line</v>
          </cell>
        </row>
        <row r="1484">
          <cell r="A1484" t="str">
            <v>Tester --- In Circuit Test w/manual loading/unloading 19</v>
          </cell>
          <cell r="B1484" t="str">
            <v>ICT off-line</v>
          </cell>
        </row>
        <row r="1485">
          <cell r="A1485" t="str">
            <v>Tester --- In Circuit Test w/manual loading/unloading 20</v>
          </cell>
          <cell r="B1485" t="str">
            <v>ICT off-line</v>
          </cell>
        </row>
        <row r="1486">
          <cell r="A1486" t="str">
            <v>Tester --- Programing/Flashing w/auto loading/unloading 1</v>
          </cell>
          <cell r="B1486" t="str">
            <v>Programming in-line</v>
          </cell>
        </row>
        <row r="1487">
          <cell r="A1487" t="str">
            <v>Tester --- Programing/Flashing w/auto loading/unloading 2</v>
          </cell>
          <cell r="B1487" t="str">
            <v>Programming in-line</v>
          </cell>
        </row>
        <row r="1488">
          <cell r="A1488" t="str">
            <v>Tester --- Programing/Flashing w/auto loading/unloading 3</v>
          </cell>
          <cell r="B1488" t="str">
            <v>Programming in-line</v>
          </cell>
        </row>
        <row r="1489">
          <cell r="A1489" t="str">
            <v>Tester --- Programing/Flashing w/auto loading/unloading 4</v>
          </cell>
          <cell r="B1489" t="str">
            <v>Programming in-line</v>
          </cell>
        </row>
        <row r="1490">
          <cell r="A1490" t="str">
            <v>Tester --- Programing/Flashing w/auto loading/unloading 5</v>
          </cell>
          <cell r="B1490" t="str">
            <v>Programming in-line</v>
          </cell>
        </row>
        <row r="1491">
          <cell r="A1491" t="str">
            <v>Tester --- Programing/Flashing w/auto loading/unloading 6</v>
          </cell>
          <cell r="B1491" t="str">
            <v>Programming in-line</v>
          </cell>
        </row>
        <row r="1492">
          <cell r="A1492" t="str">
            <v>Tester --- Programing/Flashing w/auto loading/unloading 7</v>
          </cell>
          <cell r="B1492" t="str">
            <v>Programming in-line</v>
          </cell>
        </row>
        <row r="1493">
          <cell r="A1493" t="str">
            <v>Tester --- Programing/Flashing w/auto loading/unloading 8</v>
          </cell>
          <cell r="B1493" t="str">
            <v>Programming in-line</v>
          </cell>
        </row>
        <row r="1494">
          <cell r="A1494" t="str">
            <v>Tester --- Programing/Flashing w/auto loading/unloading 9</v>
          </cell>
          <cell r="B1494" t="str">
            <v>Programming in-line</v>
          </cell>
        </row>
        <row r="1495">
          <cell r="A1495" t="str">
            <v>Tester --- Programing/Flashing w/auto loading/unloading 10</v>
          </cell>
          <cell r="B1495" t="str">
            <v>Programming in-line</v>
          </cell>
        </row>
        <row r="1496">
          <cell r="A1496" t="str">
            <v>Tester --- Programing/Flashing w/auto loading/unloading 11</v>
          </cell>
          <cell r="B1496" t="str">
            <v>Programming in-line</v>
          </cell>
        </row>
        <row r="1497">
          <cell r="A1497" t="str">
            <v>Tester --- Programing/Flashing w/auto loading/unloading 12</v>
          </cell>
          <cell r="B1497" t="str">
            <v>Programming in-line</v>
          </cell>
        </row>
        <row r="1498">
          <cell r="A1498" t="str">
            <v>Tester --- Programing/Flashing w/auto loading/unloading 13</v>
          </cell>
          <cell r="B1498" t="str">
            <v>Programming in-line</v>
          </cell>
        </row>
        <row r="1499">
          <cell r="A1499" t="str">
            <v>Tester --- Programing/Flashing w/auto loading/unloading 14</v>
          </cell>
          <cell r="B1499" t="str">
            <v>Programming in-line</v>
          </cell>
        </row>
        <row r="1500">
          <cell r="A1500" t="str">
            <v>Tester --- Programing/Flashing w/auto loading/unloading 15</v>
          </cell>
          <cell r="B1500" t="str">
            <v>Programming in-line</v>
          </cell>
        </row>
        <row r="1501">
          <cell r="A1501" t="str">
            <v>Tester --- Programing/Flashing w/auto loading/unloading 16</v>
          </cell>
          <cell r="B1501" t="str">
            <v>Programming in-line</v>
          </cell>
        </row>
        <row r="1502">
          <cell r="A1502" t="str">
            <v>Tester --- Programing/Flashing w/auto loading/unloading 17</v>
          </cell>
          <cell r="B1502" t="str">
            <v>Programming in-line</v>
          </cell>
        </row>
        <row r="1503">
          <cell r="A1503" t="str">
            <v>Tester --- Programing/Flashing w/auto loading/unloading 18</v>
          </cell>
          <cell r="B1503" t="str">
            <v>Programming in-line</v>
          </cell>
        </row>
        <row r="1504">
          <cell r="A1504" t="str">
            <v>Tester --- Programing/Flashing w/auto loading/unloading 19</v>
          </cell>
          <cell r="B1504" t="str">
            <v>Programming in-line</v>
          </cell>
        </row>
        <row r="1505">
          <cell r="A1505" t="str">
            <v>Tester --- Programing/Flashing w/auto loading/unloading 20</v>
          </cell>
          <cell r="B1505" t="str">
            <v>Programming in-line</v>
          </cell>
        </row>
        <row r="1506">
          <cell r="A1506" t="str">
            <v>Tester --- Programing/Flashing w/manual loading/unloading 1</v>
          </cell>
          <cell r="B1506" t="str">
            <v>Programming off-line</v>
          </cell>
        </row>
        <row r="1507">
          <cell r="A1507" t="str">
            <v>Tester --- Programing/Flashing w/manual loading/unloading 2</v>
          </cell>
          <cell r="B1507" t="str">
            <v>Programming off-line</v>
          </cell>
        </row>
        <row r="1508">
          <cell r="A1508" t="str">
            <v>Tester --- Programing/Flashing w/manual loading/unloading 3</v>
          </cell>
          <cell r="B1508" t="str">
            <v>Programming off-line</v>
          </cell>
        </row>
        <row r="1509">
          <cell r="A1509" t="str">
            <v>Tester --- Programing/Flashing w/manual loading/unloading 4</v>
          </cell>
          <cell r="B1509" t="str">
            <v>Programming off-line</v>
          </cell>
        </row>
        <row r="1510">
          <cell r="A1510" t="str">
            <v>Tester --- Programing/Flashing w/manual loading/unloading 5</v>
          </cell>
          <cell r="B1510" t="str">
            <v>Programming off-line</v>
          </cell>
        </row>
        <row r="1511">
          <cell r="A1511" t="str">
            <v>Tester --- Programing/Flashing w/manual loading/unloading 6</v>
          </cell>
          <cell r="B1511" t="str">
            <v>Programming off-line</v>
          </cell>
        </row>
        <row r="1512">
          <cell r="A1512" t="str">
            <v>Tester --- Programing/Flashing w/manual loading/unloading 7</v>
          </cell>
          <cell r="B1512" t="str">
            <v>Programming off-line</v>
          </cell>
        </row>
        <row r="1513">
          <cell r="A1513" t="str">
            <v>Tester --- Programing/Flashing w/manual loading/unloading 8</v>
          </cell>
          <cell r="B1513" t="str">
            <v>Programming off-line</v>
          </cell>
        </row>
        <row r="1514">
          <cell r="A1514" t="str">
            <v>Tester --- Programing/Flashing w/manual loading/unloading 9</v>
          </cell>
          <cell r="B1514" t="str">
            <v>Programming off-line</v>
          </cell>
        </row>
        <row r="1515">
          <cell r="A1515" t="str">
            <v>Tester --- Programing/Flashing w/manual loading/unloading 10</v>
          </cell>
          <cell r="B1515" t="str">
            <v>Programming off-line</v>
          </cell>
        </row>
        <row r="1516">
          <cell r="A1516" t="str">
            <v>Tester --- Programing/Flashing w/manual loading/unloading 11</v>
          </cell>
          <cell r="B1516" t="str">
            <v>Programming off-line</v>
          </cell>
        </row>
        <row r="1517">
          <cell r="A1517" t="str">
            <v>Tester --- Programing/Flashing w/manual loading/unloading 12</v>
          </cell>
          <cell r="B1517" t="str">
            <v>Programming off-line</v>
          </cell>
        </row>
        <row r="1518">
          <cell r="A1518" t="str">
            <v>Tester --- Programing/Flashing w/manual loading/unloading 13</v>
          </cell>
          <cell r="B1518" t="str">
            <v>Programming off-line</v>
          </cell>
        </row>
        <row r="1519">
          <cell r="A1519" t="str">
            <v>Tester --- Programing/Flashing w/manual loading/unloading 14</v>
          </cell>
          <cell r="B1519" t="str">
            <v>Programming off-line</v>
          </cell>
        </row>
        <row r="1520">
          <cell r="A1520" t="str">
            <v>Tester --- Programing/Flashing w/manual loading/unloading 15</v>
          </cell>
          <cell r="B1520" t="str">
            <v>Programming off-line</v>
          </cell>
        </row>
        <row r="1521">
          <cell r="A1521" t="str">
            <v>Tester --- Programing/Flashing w/manual loading/unloading 16</v>
          </cell>
          <cell r="B1521" t="str">
            <v>Programming off-line</v>
          </cell>
        </row>
        <row r="1522">
          <cell r="A1522" t="str">
            <v>Tester --- Programing/Flashing w/manual loading/unloading 17</v>
          </cell>
          <cell r="B1522" t="str">
            <v>Programming off-line</v>
          </cell>
        </row>
        <row r="1523">
          <cell r="A1523" t="str">
            <v>Tester --- Programing/Flashing w/manual loading/unloading 18</v>
          </cell>
          <cell r="B1523" t="str">
            <v>Programming off-line</v>
          </cell>
        </row>
        <row r="1524">
          <cell r="A1524" t="str">
            <v>Tester --- Programing/Flashing w/manual loading/unloading 19</v>
          </cell>
          <cell r="B1524" t="str">
            <v>Programming off-line</v>
          </cell>
        </row>
        <row r="1525">
          <cell r="A1525" t="str">
            <v>Tester --- Programing/Flashing w/manual loading/unloading 20</v>
          </cell>
          <cell r="B1525" t="str">
            <v>Programming off-line</v>
          </cell>
        </row>
        <row r="1526">
          <cell r="A1526" t="str">
            <v>Tester --- Programing/Flashing w/manual loading/unloading 21</v>
          </cell>
          <cell r="B1526" t="str">
            <v>Programming off-line</v>
          </cell>
        </row>
        <row r="1527">
          <cell r="A1527" t="str">
            <v>Tester --- Programing/Flashing w/manual loading/unloading 22</v>
          </cell>
          <cell r="B1527" t="str">
            <v>Programming off-line</v>
          </cell>
        </row>
        <row r="1528">
          <cell r="A1528" t="str">
            <v>Tester --- Programing/Flashing w/manual loading/unloading 23</v>
          </cell>
          <cell r="B1528" t="str">
            <v>Programming off-line</v>
          </cell>
        </row>
        <row r="1529">
          <cell r="A1529" t="str">
            <v>Tester --- Programing/Flashing w/manual loading/unloading 24</v>
          </cell>
          <cell r="B1529" t="str">
            <v>Programming off-line</v>
          </cell>
        </row>
        <row r="1530">
          <cell r="A1530" t="str">
            <v>Tester --- Programing/Flashing w/manual loading/unloading 25</v>
          </cell>
          <cell r="B1530" t="str">
            <v>Programming off-line</v>
          </cell>
        </row>
        <row r="1531">
          <cell r="A1531" t="str">
            <v>Tester --- Programing/Flashing w/manual loading/unloading 26</v>
          </cell>
          <cell r="B1531" t="str">
            <v>Programming off-line</v>
          </cell>
        </row>
        <row r="1532">
          <cell r="A1532" t="str">
            <v>Tester --- Programing/Flashing w/manual loading/unloading 27</v>
          </cell>
          <cell r="B1532" t="str">
            <v>Programming off-line</v>
          </cell>
        </row>
        <row r="1533">
          <cell r="A1533" t="str">
            <v>Tester --- Programing/Flashing w/manual loading/unloading 28</v>
          </cell>
          <cell r="B1533" t="str">
            <v>Programming off-line</v>
          </cell>
        </row>
        <row r="1534">
          <cell r="A1534" t="str">
            <v>Tester --- Programing/Flashing w/manual loading/unloading 29</v>
          </cell>
          <cell r="B1534" t="str">
            <v>Programming off-line</v>
          </cell>
        </row>
        <row r="1535">
          <cell r="A1535" t="str">
            <v>Tester --- Programing/Flashing w/manual loading/unloading 30</v>
          </cell>
          <cell r="B1535" t="str">
            <v>Programming off-line</v>
          </cell>
        </row>
        <row r="1536">
          <cell r="A1536" t="str">
            <v>Tester --- Resistance Check w/auto loading/unloading 1</v>
          </cell>
          <cell r="B1536" t="str">
            <v>Resistance Test in-line</v>
          </cell>
        </row>
        <row r="1537">
          <cell r="A1537" t="str">
            <v>Tester --- Resistance Check w/auto loading/unloading 2</v>
          </cell>
          <cell r="B1537" t="str">
            <v>Resistance Test in-line</v>
          </cell>
        </row>
        <row r="1538">
          <cell r="A1538" t="str">
            <v>Tester --- Resistance Check w/auto loading/unloading 3</v>
          </cell>
          <cell r="B1538" t="str">
            <v>Resistance Test in-line</v>
          </cell>
        </row>
        <row r="1539">
          <cell r="A1539" t="str">
            <v>Tester --- Resistance Check w/auto loading/unloading 4</v>
          </cell>
          <cell r="B1539" t="str">
            <v>Resistance Test in-line</v>
          </cell>
        </row>
        <row r="1540">
          <cell r="A1540" t="str">
            <v>Tester --- Resistance Check w/manual loading/unloading 1</v>
          </cell>
          <cell r="B1540" t="str">
            <v>Resistance Test off-line</v>
          </cell>
        </row>
        <row r="1541">
          <cell r="A1541" t="str">
            <v>Tester --- Resistance Check w/manual loading/unloading 2</v>
          </cell>
          <cell r="B1541" t="str">
            <v>Resistance Test off-line</v>
          </cell>
        </row>
        <row r="1542">
          <cell r="A1542" t="str">
            <v>Tester --- Resistance Check w/manual loading/unloading 3</v>
          </cell>
          <cell r="B1542" t="str">
            <v>Resistance Test off-line</v>
          </cell>
        </row>
        <row r="1543">
          <cell r="A1543" t="str">
            <v>Tester --- Resistance Check w/manual loading/unloading 4</v>
          </cell>
          <cell r="B1543" t="str">
            <v>Resistance Test off-line</v>
          </cell>
        </row>
        <row r="1544">
          <cell r="A1544" t="str">
            <v>THT P&amp;P 1</v>
          </cell>
          <cell r="B1544" t="str">
            <v>Automatic Placement --- THT</v>
          </cell>
        </row>
        <row r="1545">
          <cell r="A1545" t="str">
            <v>THT P&amp;P 2</v>
          </cell>
          <cell r="B1545" t="str">
            <v>Automatic Placement --- THT</v>
          </cell>
        </row>
        <row r="1546">
          <cell r="A1546" t="str">
            <v>THT P&amp;P 3</v>
          </cell>
          <cell r="B1546" t="str">
            <v>Automatic Placement --- THT</v>
          </cell>
        </row>
        <row r="1547">
          <cell r="A1547" t="str">
            <v>THT P&amp;P 4</v>
          </cell>
          <cell r="B1547" t="str">
            <v>Automatic Placement --- THT</v>
          </cell>
        </row>
        <row r="1548">
          <cell r="A1548" t="str">
            <v>THT P&amp;P 5</v>
          </cell>
          <cell r="B1548" t="str">
            <v>Automatic Placement --- THT</v>
          </cell>
        </row>
        <row r="1549">
          <cell r="A1549" t="str">
            <v>THT P&amp;P 6</v>
          </cell>
          <cell r="B1549" t="str">
            <v>Automatic Placement --- THT</v>
          </cell>
        </row>
        <row r="1550">
          <cell r="A1550" t="str">
            <v>THT P&amp;P 7</v>
          </cell>
          <cell r="B1550" t="str">
            <v>Automatic Placement --- THT</v>
          </cell>
        </row>
        <row r="1551">
          <cell r="A1551" t="str">
            <v>THT P&amp;P 8</v>
          </cell>
          <cell r="B1551" t="str">
            <v>Automatic Placement --- THT</v>
          </cell>
        </row>
        <row r="1552">
          <cell r="A1552" t="str">
            <v>THT P&amp;P 9</v>
          </cell>
          <cell r="B1552" t="str">
            <v>Automatic Placement --- THT</v>
          </cell>
        </row>
        <row r="1553">
          <cell r="A1553" t="str">
            <v>THT P&amp;P 10</v>
          </cell>
          <cell r="B1553" t="str">
            <v>Automatic Placement --- THT</v>
          </cell>
        </row>
        <row r="1554">
          <cell r="A1554" t="str">
            <v>THT P&amp;P 11</v>
          </cell>
          <cell r="B1554" t="str">
            <v>Automatic Placement --- THT</v>
          </cell>
        </row>
        <row r="1555">
          <cell r="A1555" t="str">
            <v>THT P&amp;P 12</v>
          </cell>
          <cell r="B1555" t="str">
            <v>Automatic Placement --- THT</v>
          </cell>
        </row>
        <row r="1556">
          <cell r="A1556" t="str">
            <v>THT P&amp;P 13</v>
          </cell>
          <cell r="B1556" t="str">
            <v>Automatic Placement --- THT</v>
          </cell>
        </row>
        <row r="1557">
          <cell r="A1557" t="str">
            <v>THT P&amp;P 14</v>
          </cell>
          <cell r="B1557" t="str">
            <v>Automatic Placement --- THT</v>
          </cell>
        </row>
        <row r="1558">
          <cell r="A1558" t="str">
            <v>THT P&amp;P 15</v>
          </cell>
          <cell r="B1558" t="str">
            <v>Automatic Placement --- THT</v>
          </cell>
        </row>
        <row r="1559">
          <cell r="A1559" t="str">
            <v>THT P&amp;P 16</v>
          </cell>
          <cell r="B1559" t="str">
            <v>Automatic Placement --- THT</v>
          </cell>
        </row>
        <row r="1560">
          <cell r="A1560" t="str">
            <v>THT P&amp;P 17</v>
          </cell>
          <cell r="B1560" t="str">
            <v>Automatic Placement --- THT</v>
          </cell>
        </row>
        <row r="1561">
          <cell r="A1561" t="str">
            <v>THT P&amp;P 18</v>
          </cell>
          <cell r="B1561" t="str">
            <v>Automatic Placement --- THT</v>
          </cell>
        </row>
        <row r="1562">
          <cell r="A1562" t="str">
            <v>THT P&amp;P 19</v>
          </cell>
          <cell r="B1562" t="str">
            <v>Automatic Placement --- THT</v>
          </cell>
        </row>
        <row r="1563">
          <cell r="A1563" t="str">
            <v>THT P&amp;P 20</v>
          </cell>
          <cell r="B1563" t="str">
            <v>Automatic Placement --- THT</v>
          </cell>
        </row>
        <row r="1564">
          <cell r="A1564" t="str">
            <v>THT P&amp;P 21</v>
          </cell>
          <cell r="B1564" t="str">
            <v>Automatic Placement --- THT</v>
          </cell>
        </row>
        <row r="1565">
          <cell r="A1565" t="str">
            <v>THT P&amp;P 22</v>
          </cell>
          <cell r="B1565" t="str">
            <v>Automatic Placement --- THT</v>
          </cell>
        </row>
        <row r="1566">
          <cell r="A1566" t="str">
            <v>THT P&amp;P 23</v>
          </cell>
          <cell r="B1566" t="str">
            <v>Automatic Placement --- THT</v>
          </cell>
        </row>
        <row r="1567">
          <cell r="A1567" t="str">
            <v>THT P&amp;P 24</v>
          </cell>
          <cell r="B1567" t="str">
            <v>Automatic Placement --- THT</v>
          </cell>
        </row>
        <row r="1568">
          <cell r="A1568" t="str">
            <v>THT P&amp;P 25</v>
          </cell>
          <cell r="B1568" t="str">
            <v>Automatic Placement --- THT</v>
          </cell>
        </row>
        <row r="1569">
          <cell r="A1569" t="str">
            <v>THT P&amp;P 26</v>
          </cell>
          <cell r="B1569" t="str">
            <v>Automatic Placement --- THT</v>
          </cell>
        </row>
        <row r="1570">
          <cell r="A1570" t="str">
            <v>THT P&amp;P 27</v>
          </cell>
          <cell r="B1570" t="str">
            <v>Automatic Placement --- THT</v>
          </cell>
        </row>
        <row r="1571">
          <cell r="A1571" t="str">
            <v>THT P&amp;P 28</v>
          </cell>
          <cell r="B1571" t="str">
            <v>Automatic Placement --- THT</v>
          </cell>
        </row>
        <row r="1572">
          <cell r="A1572" t="str">
            <v>THT P&amp;P 29</v>
          </cell>
          <cell r="B1572" t="str">
            <v>Automatic Placement --- THT</v>
          </cell>
        </row>
        <row r="1573">
          <cell r="A1573" t="str">
            <v>THT P&amp;P 30</v>
          </cell>
          <cell r="B1573" t="str">
            <v>Automatic Placement --- THT</v>
          </cell>
        </row>
        <row r="1574">
          <cell r="A1574" t="str">
            <v>Tooling Cleaning 1</v>
          </cell>
          <cell r="B1574" t="str">
            <v>Cleaning --- Wave/Selective Solder Pallet</v>
          </cell>
        </row>
        <row r="1575">
          <cell r="A1575" t="str">
            <v>Tooling Cleaning 2</v>
          </cell>
          <cell r="B1575" t="str">
            <v>Cleaning --- Wave/Selective Solder Pallet</v>
          </cell>
        </row>
        <row r="1576">
          <cell r="A1576" t="str">
            <v>Tooling Cleaning 3</v>
          </cell>
          <cell r="B1576" t="str">
            <v>Cleaning --- Wave/Selective Solder Pallet</v>
          </cell>
        </row>
        <row r="1577">
          <cell r="A1577" t="str">
            <v>Tooling Cleaning 4</v>
          </cell>
          <cell r="B1577" t="str">
            <v>Cleaning --- Wave/Selective Solder Pallet</v>
          </cell>
        </row>
        <row r="1578">
          <cell r="A1578" t="str">
            <v>Washer Machine --- PCBA 1</v>
          </cell>
          <cell r="B1578" t="str">
            <v>Cleaning PCBA</v>
          </cell>
        </row>
        <row r="1579">
          <cell r="A1579" t="str">
            <v>Washer Machine --- PCBA 2</v>
          </cell>
          <cell r="B1579" t="str">
            <v>Cleaning PCBA</v>
          </cell>
        </row>
        <row r="1580">
          <cell r="A1580" t="str">
            <v>Washer Machine --- PCBA 3</v>
          </cell>
          <cell r="B1580" t="str">
            <v>Cleaning PCBA</v>
          </cell>
        </row>
        <row r="1581">
          <cell r="A1581" t="str">
            <v>Washer Machine --- PCBA 4</v>
          </cell>
          <cell r="B1581" t="str">
            <v>Cleaning PCBA</v>
          </cell>
        </row>
        <row r="1582">
          <cell r="A1582" t="str">
            <v>Washer Machine --- PCBA 5</v>
          </cell>
          <cell r="B1582" t="str">
            <v>Cleaning PCBA</v>
          </cell>
        </row>
        <row r="1583">
          <cell r="A1583" t="str">
            <v>Washer Machine --- PCBA 6</v>
          </cell>
          <cell r="B1583" t="str">
            <v>Cleaning PCBA</v>
          </cell>
        </row>
        <row r="1584">
          <cell r="A1584" t="str">
            <v>Washer Machine --- PCBA 7</v>
          </cell>
          <cell r="B1584" t="str">
            <v>Cleaning PCBA</v>
          </cell>
        </row>
        <row r="1585">
          <cell r="A1585" t="str">
            <v>Washer Machine --- PCBA 8</v>
          </cell>
          <cell r="B1585" t="str">
            <v>Cleaning PCBA</v>
          </cell>
        </row>
        <row r="1586">
          <cell r="A1586" t="str">
            <v>Washer Machine --- PCBA 9</v>
          </cell>
          <cell r="B1586" t="str">
            <v>Cleaning PCBA</v>
          </cell>
        </row>
        <row r="1587">
          <cell r="A1587" t="str">
            <v>Washer Machine --- PCBA 10</v>
          </cell>
          <cell r="B1587" t="str">
            <v>Cleaning PCBA</v>
          </cell>
        </row>
        <row r="1588">
          <cell r="A1588" t="str">
            <v>Washer Machine --- Solder Stencil</v>
          </cell>
          <cell r="B1588" t="str">
            <v>Cleaning Tooling</v>
          </cell>
        </row>
        <row r="1589">
          <cell r="A1589" t="str">
            <v>Washer Machine --- Wafer 1</v>
          </cell>
          <cell r="B1589" t="str">
            <v>Cleaning Wafer</v>
          </cell>
        </row>
        <row r="1590">
          <cell r="A1590" t="str">
            <v>Washer Machine --- Wafer 2</v>
          </cell>
          <cell r="B1590" t="str">
            <v>Cleaning Wafer</v>
          </cell>
        </row>
        <row r="1591">
          <cell r="A1591" t="str">
            <v>Washer Machine --- Wafer 3</v>
          </cell>
          <cell r="B1591" t="str">
            <v>Cleaning Wafer</v>
          </cell>
        </row>
        <row r="1592">
          <cell r="A1592" t="str">
            <v>Washer Machine --- Wafer 4</v>
          </cell>
          <cell r="B1592" t="str">
            <v>Cleaning Wafer</v>
          </cell>
        </row>
        <row r="1593">
          <cell r="A1593" t="str">
            <v>Wave Solder 1</v>
          </cell>
          <cell r="B1593" t="str">
            <v>THT soldering</v>
          </cell>
        </row>
        <row r="1594">
          <cell r="A1594" t="str">
            <v>Wave Solder 2</v>
          </cell>
          <cell r="B1594" t="str">
            <v>THT soldering</v>
          </cell>
        </row>
        <row r="1595">
          <cell r="A1595" t="str">
            <v>Wave Solder 3</v>
          </cell>
          <cell r="B1595" t="str">
            <v>THT soldering</v>
          </cell>
        </row>
        <row r="1596">
          <cell r="A1596" t="str">
            <v>Wave Solder 4</v>
          </cell>
          <cell r="B1596" t="str">
            <v>THT soldering</v>
          </cell>
        </row>
        <row r="1597">
          <cell r="A1597" t="str">
            <v>Wave Solder 5</v>
          </cell>
          <cell r="B1597" t="str">
            <v>THT soldering</v>
          </cell>
        </row>
        <row r="1598">
          <cell r="A1598" t="str">
            <v>Wave Solder 6</v>
          </cell>
          <cell r="B1598" t="str">
            <v>THT soldering</v>
          </cell>
        </row>
        <row r="1599">
          <cell r="A1599" t="str">
            <v>Wire Bonding 1</v>
          </cell>
          <cell r="B1599" t="str">
            <v>WB soldering</v>
          </cell>
        </row>
        <row r="1600">
          <cell r="A1600" t="str">
            <v>Wire Bonding 2</v>
          </cell>
          <cell r="B1600" t="str">
            <v>WB soldering</v>
          </cell>
        </row>
        <row r="1601">
          <cell r="A1601" t="str">
            <v>Wire Bonding 3</v>
          </cell>
          <cell r="B1601" t="str">
            <v>WB soldering</v>
          </cell>
        </row>
        <row r="1602">
          <cell r="A1602" t="str">
            <v>Wire Bonding 4</v>
          </cell>
          <cell r="B1602" t="str">
            <v>WB soldering</v>
          </cell>
        </row>
        <row r="1603">
          <cell r="A1603" t="str">
            <v>Wire Bonding 5</v>
          </cell>
          <cell r="B1603" t="str">
            <v>WB soldering</v>
          </cell>
        </row>
        <row r="1604">
          <cell r="A1604" t="str">
            <v>Wire Bonding 6</v>
          </cell>
          <cell r="B1604" t="str">
            <v>WB soldering</v>
          </cell>
        </row>
        <row r="1605">
          <cell r="A1605" t="str">
            <v>Wire Bonding 7</v>
          </cell>
          <cell r="B1605" t="str">
            <v>WB soldering</v>
          </cell>
        </row>
        <row r="1606">
          <cell r="A1606" t="str">
            <v>Wire Bonding 8</v>
          </cell>
          <cell r="B1606" t="str">
            <v>WB soldering</v>
          </cell>
        </row>
        <row r="1607">
          <cell r="A1607" t="str">
            <v>Wire Bonding 9</v>
          </cell>
          <cell r="B1607" t="str">
            <v>WB soldering</v>
          </cell>
        </row>
        <row r="1608">
          <cell r="A1608" t="str">
            <v>Wire Bonding 10</v>
          </cell>
          <cell r="B1608" t="str">
            <v>WB soldering</v>
          </cell>
        </row>
        <row r="1609">
          <cell r="A1609" t="str">
            <v>Wire Bonding 11</v>
          </cell>
          <cell r="B1609" t="str">
            <v>WB soldering</v>
          </cell>
        </row>
        <row r="1610">
          <cell r="A1610" t="str">
            <v>Wire Bonding 12</v>
          </cell>
          <cell r="B1610" t="str">
            <v>WB soldering</v>
          </cell>
        </row>
        <row r="1611">
          <cell r="A1611" t="str">
            <v>Wire Bonding 13</v>
          </cell>
          <cell r="B1611" t="str">
            <v>WB soldering</v>
          </cell>
        </row>
        <row r="1612">
          <cell r="A1612" t="str">
            <v>Wire Bonding 14</v>
          </cell>
          <cell r="B1612" t="str">
            <v>WB soldering</v>
          </cell>
        </row>
        <row r="1613">
          <cell r="A1613" t="str">
            <v>Wire Bonding 15</v>
          </cell>
          <cell r="B1613" t="str">
            <v>WB soldering</v>
          </cell>
        </row>
        <row r="1614">
          <cell r="A1614" t="str">
            <v>Wire Bonding 16</v>
          </cell>
          <cell r="B1614" t="str">
            <v>WB soldering</v>
          </cell>
        </row>
        <row r="1615">
          <cell r="A1615" t="str">
            <v>Wire Bonding 17</v>
          </cell>
          <cell r="B1615" t="str">
            <v>WB soldering</v>
          </cell>
        </row>
        <row r="1616">
          <cell r="A1616" t="str">
            <v>Wire Bonding 18</v>
          </cell>
          <cell r="B1616" t="str">
            <v>WB soldering</v>
          </cell>
        </row>
        <row r="1617">
          <cell r="A1617" t="str">
            <v>Wire Bonding 19</v>
          </cell>
          <cell r="B1617" t="str">
            <v>WB soldering</v>
          </cell>
        </row>
        <row r="1618">
          <cell r="A1618" t="str">
            <v>Wire Bonding 20</v>
          </cell>
          <cell r="B1618" t="str">
            <v>WB soldering</v>
          </cell>
        </row>
        <row r="1619">
          <cell r="A1619" t="str">
            <v>Wire Bonding 21</v>
          </cell>
          <cell r="B1619" t="str">
            <v>WB soldering</v>
          </cell>
        </row>
        <row r="1620">
          <cell r="A1620" t="str">
            <v>Wire Bonding 22</v>
          </cell>
          <cell r="B1620" t="str">
            <v>WB soldering</v>
          </cell>
        </row>
        <row r="1621">
          <cell r="A1621" t="str">
            <v>Wire Bonding 23</v>
          </cell>
          <cell r="B1621" t="str">
            <v>WB soldering</v>
          </cell>
        </row>
        <row r="1622">
          <cell r="A1622" t="str">
            <v>Wire Bonding 24</v>
          </cell>
          <cell r="B1622" t="str">
            <v>WB soldering</v>
          </cell>
        </row>
        <row r="1623">
          <cell r="A1623" t="str">
            <v>Wire Bonding 25</v>
          </cell>
          <cell r="B1623" t="str">
            <v>WB soldering</v>
          </cell>
        </row>
        <row r="1624">
          <cell r="A1624" t="str">
            <v>Wire Bonding 26</v>
          </cell>
          <cell r="B1624" t="str">
            <v>WB soldering</v>
          </cell>
        </row>
        <row r="1625">
          <cell r="A1625" t="str">
            <v>Wire Bonding 27</v>
          </cell>
          <cell r="B1625" t="str">
            <v>WB soldering</v>
          </cell>
        </row>
        <row r="1626">
          <cell r="A1626" t="str">
            <v>Wire Bonding 28</v>
          </cell>
          <cell r="B1626" t="str">
            <v>WB soldering</v>
          </cell>
        </row>
        <row r="1627">
          <cell r="A1627" t="str">
            <v>Wire Bonding 29</v>
          </cell>
          <cell r="B1627" t="str">
            <v>WB soldering</v>
          </cell>
        </row>
        <row r="1628">
          <cell r="A1628" t="str">
            <v>Wire Bonding 30</v>
          </cell>
          <cell r="B1628" t="str">
            <v>WB soldering</v>
          </cell>
        </row>
        <row r="1629">
          <cell r="A1629" t="str">
            <v>Wire Bonding 31</v>
          </cell>
          <cell r="B1629" t="str">
            <v>WB soldering</v>
          </cell>
        </row>
        <row r="1630">
          <cell r="A1630" t="str">
            <v>Wire Bonding 32</v>
          </cell>
          <cell r="B1630" t="str">
            <v>WB soldering</v>
          </cell>
        </row>
        <row r="1631">
          <cell r="A1631" t="str">
            <v>Wire Bonding 33</v>
          </cell>
          <cell r="B1631" t="str">
            <v>WB soldering</v>
          </cell>
        </row>
        <row r="1632">
          <cell r="A1632" t="str">
            <v>Wire Bonding 34</v>
          </cell>
          <cell r="B1632" t="str">
            <v>WB soldering</v>
          </cell>
        </row>
        <row r="1633">
          <cell r="A1633" t="str">
            <v>Wire Bonding 35</v>
          </cell>
          <cell r="B1633" t="str">
            <v>WB soldering</v>
          </cell>
        </row>
        <row r="1634">
          <cell r="A1634" t="str">
            <v>Wire Bonding 36</v>
          </cell>
          <cell r="B1634" t="str">
            <v>WB soldering</v>
          </cell>
        </row>
        <row r="1635">
          <cell r="A1635" t="str">
            <v>Wire Bonding 37</v>
          </cell>
          <cell r="B1635" t="str">
            <v>WB soldering</v>
          </cell>
        </row>
        <row r="1636">
          <cell r="A1636" t="str">
            <v>Wire Bonding 38</v>
          </cell>
          <cell r="B1636" t="str">
            <v>WB soldering</v>
          </cell>
        </row>
        <row r="1637">
          <cell r="A1637" t="str">
            <v>Wire Bonding 39</v>
          </cell>
          <cell r="B1637" t="str">
            <v>WB soldering</v>
          </cell>
        </row>
        <row r="1638">
          <cell r="A1638" t="str">
            <v>Wire Bonding 40</v>
          </cell>
          <cell r="B1638" t="str">
            <v>WB soldering</v>
          </cell>
        </row>
        <row r="1639">
          <cell r="A1639" t="str">
            <v>Wire Bonding 41</v>
          </cell>
          <cell r="B1639" t="str">
            <v>WB soldering</v>
          </cell>
        </row>
        <row r="1640">
          <cell r="A1640" t="str">
            <v>Wire Bonding 42</v>
          </cell>
          <cell r="B1640" t="str">
            <v>WB soldering</v>
          </cell>
        </row>
        <row r="1641">
          <cell r="A1641" t="str">
            <v>Wire Bonding 43</v>
          </cell>
          <cell r="B1641" t="str">
            <v>WB soldering</v>
          </cell>
        </row>
        <row r="1642">
          <cell r="A1642" t="str">
            <v>Wire Bonding 44</v>
          </cell>
          <cell r="B1642" t="str">
            <v>WB soldering</v>
          </cell>
        </row>
        <row r="1643">
          <cell r="A1643" t="str">
            <v>Wire Bonding 45</v>
          </cell>
          <cell r="B1643" t="str">
            <v>WB soldering</v>
          </cell>
        </row>
        <row r="1644">
          <cell r="A1644" t="str">
            <v>Wire Bonding 46</v>
          </cell>
          <cell r="B1644" t="str">
            <v>WB soldering</v>
          </cell>
        </row>
        <row r="1645">
          <cell r="A1645" t="str">
            <v>Wire Bonding 47</v>
          </cell>
          <cell r="B1645" t="str">
            <v>WB soldering</v>
          </cell>
        </row>
        <row r="1646">
          <cell r="A1646" t="str">
            <v>Wire Bonding 48</v>
          </cell>
          <cell r="B1646" t="str">
            <v>WB soldering</v>
          </cell>
        </row>
        <row r="1647">
          <cell r="A1647" t="str">
            <v>Wire Bonding 49</v>
          </cell>
          <cell r="B1647" t="str">
            <v>WB soldering</v>
          </cell>
        </row>
        <row r="1648">
          <cell r="A1648" t="str">
            <v>Wire Bonding 50</v>
          </cell>
          <cell r="B1648" t="str">
            <v>WB soldering</v>
          </cell>
        </row>
        <row r="1649">
          <cell r="A1649" t="str">
            <v>Work Station --- dual 1</v>
          </cell>
          <cell r="B1649" t="str">
            <v>Manual Process Assembly/Inspection</v>
          </cell>
        </row>
        <row r="1650">
          <cell r="A1650" t="str">
            <v>Work Station --- dual 2</v>
          </cell>
          <cell r="B1650" t="str">
            <v>Manual Process Assembly/Inspection</v>
          </cell>
        </row>
        <row r="1651">
          <cell r="A1651" t="str">
            <v>Work Station --- dual 3</v>
          </cell>
          <cell r="B1651" t="str">
            <v>Manual Process Assembly/Inspection</v>
          </cell>
        </row>
        <row r="1652">
          <cell r="A1652" t="str">
            <v>Work Station --- dual 4</v>
          </cell>
          <cell r="B1652" t="str">
            <v>Manual Process Assembly/Inspection</v>
          </cell>
        </row>
        <row r="1653">
          <cell r="A1653" t="str">
            <v>Work Station --- dual 5</v>
          </cell>
          <cell r="B1653" t="str">
            <v>Manual Process Assembly/Inspection</v>
          </cell>
        </row>
        <row r="1654">
          <cell r="A1654" t="str">
            <v>Work Station --- dual 6</v>
          </cell>
          <cell r="B1654" t="str">
            <v>Manual Process Assembly/Inspection</v>
          </cell>
        </row>
        <row r="1655">
          <cell r="A1655" t="str">
            <v>Work Station --- dual 7</v>
          </cell>
          <cell r="B1655" t="str">
            <v>Manual Process Assembly/Inspection</v>
          </cell>
        </row>
        <row r="1656">
          <cell r="A1656" t="str">
            <v>Work Station --- dual 8</v>
          </cell>
          <cell r="B1656" t="str">
            <v>Manual Process Assembly/Inspection</v>
          </cell>
        </row>
        <row r="1657">
          <cell r="A1657" t="str">
            <v>Work Station --- dual 9</v>
          </cell>
          <cell r="B1657" t="str">
            <v>Manual Process Assembly/Inspection</v>
          </cell>
        </row>
        <row r="1658">
          <cell r="A1658" t="str">
            <v>Work Station --- dual 10</v>
          </cell>
          <cell r="B1658" t="str">
            <v>Manual Process Assembly/Inspection</v>
          </cell>
        </row>
        <row r="1659">
          <cell r="A1659" t="str">
            <v>Work Station --- dual 11</v>
          </cell>
          <cell r="B1659" t="str">
            <v>Manual Process Assembly/Inspection</v>
          </cell>
        </row>
        <row r="1660">
          <cell r="A1660" t="str">
            <v>Work Station --- dual 12</v>
          </cell>
          <cell r="B1660" t="str">
            <v>Manual Process Assembly/Inspection</v>
          </cell>
        </row>
        <row r="1661">
          <cell r="A1661" t="str">
            <v>Work Station --- dual 13</v>
          </cell>
          <cell r="B1661" t="str">
            <v>Manual Process Assembly/Inspection</v>
          </cell>
        </row>
        <row r="1662">
          <cell r="A1662" t="str">
            <v>Work Station --- dual 14</v>
          </cell>
          <cell r="B1662" t="str">
            <v>Manual Process Assembly/Inspection</v>
          </cell>
        </row>
        <row r="1663">
          <cell r="A1663" t="str">
            <v>Work Station --- dual 15</v>
          </cell>
          <cell r="B1663" t="str">
            <v>Manual Process Assembly/Inspection</v>
          </cell>
        </row>
        <row r="1664">
          <cell r="A1664" t="str">
            <v>Work Station --- dual 16</v>
          </cell>
          <cell r="B1664" t="str">
            <v>Manual Process Assembly/Inspection</v>
          </cell>
        </row>
        <row r="1665">
          <cell r="A1665" t="str">
            <v>Work Station --- dual 17</v>
          </cell>
          <cell r="B1665" t="str">
            <v>Manual Process Assembly/Inspection</v>
          </cell>
        </row>
        <row r="1666">
          <cell r="A1666" t="str">
            <v>Work Station --- dual 18</v>
          </cell>
          <cell r="B1666" t="str">
            <v>Manual Process Assembly/Inspection</v>
          </cell>
        </row>
        <row r="1667">
          <cell r="A1667" t="str">
            <v>Work Station --- dual 19</v>
          </cell>
          <cell r="B1667" t="str">
            <v>Manual Process Assembly/Inspection</v>
          </cell>
        </row>
        <row r="1668">
          <cell r="A1668" t="str">
            <v>Work Station --- dual 20</v>
          </cell>
          <cell r="B1668" t="str">
            <v>Manual Process Assembly/Inspection</v>
          </cell>
        </row>
        <row r="1669">
          <cell r="A1669" t="str">
            <v>Work Station --- single 1</v>
          </cell>
          <cell r="B1669" t="str">
            <v>Manual Process Assembly/Inspection</v>
          </cell>
        </row>
        <row r="1670">
          <cell r="A1670" t="str">
            <v>Work Station --- single 2</v>
          </cell>
          <cell r="B1670" t="str">
            <v>Manual Process Assembly/Inspection</v>
          </cell>
        </row>
        <row r="1671">
          <cell r="A1671" t="str">
            <v>Work Station --- single 3</v>
          </cell>
          <cell r="B1671" t="str">
            <v>Manual Process Assembly/Inspection</v>
          </cell>
        </row>
        <row r="1672">
          <cell r="A1672" t="str">
            <v>Work Station --- single 4</v>
          </cell>
          <cell r="B1672" t="str">
            <v>Manual Process Assembly/Inspection</v>
          </cell>
        </row>
        <row r="1673">
          <cell r="A1673" t="str">
            <v>Work Station --- single 5</v>
          </cell>
          <cell r="B1673" t="str">
            <v>Manual Process Assembly/Inspection</v>
          </cell>
        </row>
        <row r="1674">
          <cell r="A1674" t="str">
            <v>Work Station --- single 6</v>
          </cell>
          <cell r="B1674" t="str">
            <v>Manual Process Assembly/Inspection</v>
          </cell>
        </row>
        <row r="1675">
          <cell r="A1675" t="str">
            <v>Work Station --- single 7</v>
          </cell>
          <cell r="B1675" t="str">
            <v>Manual Process Assembly/Inspection</v>
          </cell>
        </row>
        <row r="1676">
          <cell r="A1676" t="str">
            <v>Work Station --- single 8</v>
          </cell>
          <cell r="B1676" t="str">
            <v>Manual Process Assembly/Inspection</v>
          </cell>
        </row>
        <row r="1677">
          <cell r="A1677" t="str">
            <v>Work Station --- single 9</v>
          </cell>
          <cell r="B1677" t="str">
            <v>Manual Process Assembly/Inspection</v>
          </cell>
        </row>
        <row r="1678">
          <cell r="A1678" t="str">
            <v>Work Station --- single 10</v>
          </cell>
          <cell r="B1678" t="str">
            <v>Manual Process Assembly/Inspection</v>
          </cell>
        </row>
        <row r="1679">
          <cell r="A1679" t="str">
            <v>Work Station --- single 11</v>
          </cell>
          <cell r="B1679" t="str">
            <v>Manual Process Assembly/Inspection</v>
          </cell>
        </row>
        <row r="1680">
          <cell r="A1680" t="str">
            <v>Work Station --- single 12</v>
          </cell>
          <cell r="B1680" t="str">
            <v>Manual Process Assembly/Inspection</v>
          </cell>
        </row>
        <row r="1681">
          <cell r="A1681" t="str">
            <v>Work Station --- single 13</v>
          </cell>
          <cell r="B1681" t="str">
            <v>Manual Process Assembly/Inspection</v>
          </cell>
        </row>
        <row r="1682">
          <cell r="A1682" t="str">
            <v>Work Station --- single 14</v>
          </cell>
          <cell r="B1682" t="str">
            <v>Manual Process Assembly/Inspection</v>
          </cell>
        </row>
        <row r="1683">
          <cell r="A1683" t="str">
            <v>Work Station --- single 15</v>
          </cell>
          <cell r="B1683" t="str">
            <v>Manual Process Assembly/Inspection</v>
          </cell>
        </row>
        <row r="1684">
          <cell r="A1684" t="str">
            <v>Work Station --- single 16</v>
          </cell>
          <cell r="B1684" t="str">
            <v>Manual Process Assembly/Inspection</v>
          </cell>
        </row>
        <row r="1685">
          <cell r="A1685" t="str">
            <v>Work Station --- single 17</v>
          </cell>
          <cell r="B1685" t="str">
            <v>Manual Process Assembly/Inspection</v>
          </cell>
        </row>
        <row r="1686">
          <cell r="A1686" t="str">
            <v>Work Station --- single 18</v>
          </cell>
          <cell r="B1686" t="str">
            <v>Manual Process Assembly/Inspection</v>
          </cell>
        </row>
        <row r="1687">
          <cell r="A1687" t="str">
            <v>Work Station --- single 19</v>
          </cell>
          <cell r="B1687" t="str">
            <v>Manual Process Assembly/Inspection</v>
          </cell>
        </row>
        <row r="1688">
          <cell r="A1688" t="str">
            <v>Work Station --- single 20</v>
          </cell>
          <cell r="B1688" t="str">
            <v>Manual Process Assembly/Inspection</v>
          </cell>
        </row>
        <row r="1689">
          <cell r="A1689" t="str">
            <v>Work Station --- single 21</v>
          </cell>
          <cell r="B1689" t="str">
            <v>Manual Process Assembly/Inspection</v>
          </cell>
        </row>
        <row r="1690">
          <cell r="A1690" t="str">
            <v>Work Station --- single 22</v>
          </cell>
          <cell r="B1690" t="str">
            <v>Manual Process Assembly/Inspection</v>
          </cell>
        </row>
        <row r="1691">
          <cell r="A1691" t="str">
            <v>Work Station --- single 23</v>
          </cell>
          <cell r="B1691" t="str">
            <v>Manual Process Assembly/Inspection</v>
          </cell>
        </row>
        <row r="1692">
          <cell r="A1692" t="str">
            <v>Work Station --- single 24</v>
          </cell>
          <cell r="B1692" t="str">
            <v>Manual Process Assembly/Inspection</v>
          </cell>
        </row>
        <row r="1693">
          <cell r="A1693" t="str">
            <v>Work Station --- single 25</v>
          </cell>
          <cell r="B1693" t="str">
            <v>Manual Process Assembly/Inspection</v>
          </cell>
        </row>
        <row r="1694">
          <cell r="A1694" t="str">
            <v>Work Station --- single 26</v>
          </cell>
          <cell r="B1694" t="str">
            <v>Manual Process Assembly/Inspection</v>
          </cell>
        </row>
        <row r="1695">
          <cell r="A1695" t="str">
            <v>Work Station --- single 27</v>
          </cell>
          <cell r="B1695" t="str">
            <v>Manual Process Assembly/Inspection</v>
          </cell>
        </row>
        <row r="1696">
          <cell r="A1696" t="str">
            <v>Work Station --- single 28</v>
          </cell>
          <cell r="B1696" t="str">
            <v>Manual Process Assembly/Inspection</v>
          </cell>
        </row>
        <row r="1697">
          <cell r="A1697" t="str">
            <v>Work Station --- single 29</v>
          </cell>
          <cell r="B1697" t="str">
            <v>Manual Process Assembly/Inspection</v>
          </cell>
        </row>
        <row r="1698">
          <cell r="A1698" t="str">
            <v>Work Station --- single 30</v>
          </cell>
          <cell r="B1698" t="str">
            <v>Manual Process Assembly/Inspection</v>
          </cell>
        </row>
        <row r="1699">
          <cell r="A1699" t="str">
            <v>Work Station --- single 31</v>
          </cell>
          <cell r="B1699" t="str">
            <v>Manual Process Assembly/Inspection</v>
          </cell>
        </row>
        <row r="1700">
          <cell r="A1700" t="str">
            <v>Work Station --- single 32</v>
          </cell>
          <cell r="B1700" t="str">
            <v>Manual Process Assembly/Inspection</v>
          </cell>
        </row>
        <row r="1701">
          <cell r="A1701" t="str">
            <v>Work Station --- single 33</v>
          </cell>
          <cell r="B1701" t="str">
            <v>Manual Process Assembly/Inspection</v>
          </cell>
        </row>
        <row r="1702">
          <cell r="A1702" t="str">
            <v>Work Station --- single 34</v>
          </cell>
          <cell r="B1702" t="str">
            <v>Manual Process Assembly/Inspection</v>
          </cell>
        </row>
        <row r="1703">
          <cell r="A1703" t="str">
            <v>Work Station --- single 35</v>
          </cell>
          <cell r="B1703" t="str">
            <v>Manual Process Assembly/Inspection</v>
          </cell>
        </row>
        <row r="1704">
          <cell r="A1704" t="str">
            <v>Work Station --- single 36</v>
          </cell>
          <cell r="B1704" t="str">
            <v>Manual Process Assembly/Inspection</v>
          </cell>
        </row>
        <row r="1705">
          <cell r="A1705" t="str">
            <v>Work Station --- single 37</v>
          </cell>
          <cell r="B1705" t="str">
            <v>Manual Process Assembly/Inspection</v>
          </cell>
        </row>
        <row r="1706">
          <cell r="A1706" t="str">
            <v>Work Station --- single 38</v>
          </cell>
          <cell r="B1706" t="str">
            <v>Manual Process Assembly/Inspection</v>
          </cell>
        </row>
        <row r="1707">
          <cell r="A1707" t="str">
            <v>Work Station --- single 39</v>
          </cell>
          <cell r="B1707" t="str">
            <v>Manual Process Assembly/Inspection</v>
          </cell>
        </row>
        <row r="1708">
          <cell r="A1708" t="str">
            <v>Work Station --- single 40</v>
          </cell>
          <cell r="B1708" t="str">
            <v>Manual Process Assembly/Inspection</v>
          </cell>
        </row>
        <row r="1709">
          <cell r="A1709" t="str">
            <v>Work Station --- single 41</v>
          </cell>
          <cell r="B1709" t="str">
            <v>Manual Process Assembly/Inspection</v>
          </cell>
        </row>
        <row r="1710">
          <cell r="A1710" t="str">
            <v>Work Station --- single 42</v>
          </cell>
          <cell r="B1710" t="str">
            <v>Manual Process Assembly/Inspection</v>
          </cell>
        </row>
        <row r="1711">
          <cell r="A1711" t="str">
            <v>Work Station --- single 43</v>
          </cell>
          <cell r="B1711" t="str">
            <v>Manual Process Assembly/Inspection</v>
          </cell>
        </row>
        <row r="1712">
          <cell r="A1712" t="str">
            <v>Work Station --- single 44</v>
          </cell>
          <cell r="B1712" t="str">
            <v>Manual Process Assembly/Inspection</v>
          </cell>
        </row>
        <row r="1713">
          <cell r="A1713" t="str">
            <v>Work Station --- single 45</v>
          </cell>
          <cell r="B1713" t="str">
            <v>Manual Process Assembly/Inspection</v>
          </cell>
        </row>
        <row r="1714">
          <cell r="A1714" t="str">
            <v>Work Station --- single 46</v>
          </cell>
          <cell r="B1714" t="str">
            <v>Manual Process Assembly/Inspection</v>
          </cell>
        </row>
        <row r="1715">
          <cell r="A1715" t="str">
            <v>Work Station --- single 47</v>
          </cell>
          <cell r="B1715" t="str">
            <v>Manual Process Assembly/Inspection</v>
          </cell>
        </row>
        <row r="1716">
          <cell r="A1716" t="str">
            <v>Work Station --- single 48</v>
          </cell>
          <cell r="B1716" t="str">
            <v>Manual Process Assembly/Inspection</v>
          </cell>
        </row>
        <row r="1717">
          <cell r="A1717" t="str">
            <v>Work Station --- single 49</v>
          </cell>
          <cell r="B1717" t="str">
            <v>Manual Process Assembly/Inspection</v>
          </cell>
        </row>
        <row r="1718">
          <cell r="A1718" t="str">
            <v>Work Station --- single 50</v>
          </cell>
          <cell r="B1718" t="str">
            <v>Manual Process Assembly/Inspection</v>
          </cell>
        </row>
        <row r="1719">
          <cell r="A1719" t="str">
            <v>Work Station --- single 51</v>
          </cell>
          <cell r="B1719" t="str">
            <v>Manual Process Assembly/Inspection</v>
          </cell>
        </row>
        <row r="1720">
          <cell r="A1720" t="str">
            <v>Work Station --- single 52</v>
          </cell>
          <cell r="B1720" t="str">
            <v>Manual Process Assembly/Inspection</v>
          </cell>
        </row>
        <row r="1721">
          <cell r="A1721" t="str">
            <v>Work Station --- single 53</v>
          </cell>
          <cell r="B1721" t="str">
            <v>Manual Process Assembly/Inspection</v>
          </cell>
        </row>
        <row r="1722">
          <cell r="A1722" t="str">
            <v>Work Station --- single 54</v>
          </cell>
          <cell r="B1722" t="str">
            <v>Manual Process Assembly/Inspection</v>
          </cell>
        </row>
        <row r="1723">
          <cell r="A1723" t="str">
            <v>Work Station --- single 55</v>
          </cell>
          <cell r="B1723" t="str">
            <v>Manual Process Assembly/Inspection</v>
          </cell>
        </row>
        <row r="1724">
          <cell r="A1724" t="str">
            <v>Work Station --- single 56</v>
          </cell>
          <cell r="B1724" t="str">
            <v>Manual Process Assembly/Inspection</v>
          </cell>
        </row>
        <row r="1725">
          <cell r="A1725" t="str">
            <v>Work Station --- single 57</v>
          </cell>
          <cell r="B1725" t="str">
            <v>Manual Process Assembly/Inspection</v>
          </cell>
        </row>
        <row r="1726">
          <cell r="A1726" t="str">
            <v>Work Station --- single 58</v>
          </cell>
          <cell r="B1726" t="str">
            <v>Manual Process Assembly/Inspection</v>
          </cell>
        </row>
        <row r="1727">
          <cell r="A1727" t="str">
            <v>Work Station --- single 59</v>
          </cell>
          <cell r="B1727" t="str">
            <v>Manual Process Assembly/Inspection</v>
          </cell>
        </row>
        <row r="1728">
          <cell r="A1728" t="str">
            <v>Work Station --- single 60</v>
          </cell>
          <cell r="B1728" t="str">
            <v>Manual Process Assembly/Inspection</v>
          </cell>
        </row>
        <row r="1729">
          <cell r="A1729" t="str">
            <v>X-X</v>
          </cell>
          <cell r="B1729" t="str">
            <v>X-X</v>
          </cell>
        </row>
        <row r="1730">
          <cell r="A1730" t="str">
            <v>X-X rev 10</v>
          </cell>
          <cell r="B1730" t="str">
            <v>X-X rev 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otation to customer"/>
      <sheetName val="Cover"/>
      <sheetName val="P035"/>
      <sheetName val="厂房租赁信息"/>
      <sheetName val="设备日常所需备件及保养"/>
      <sheetName val="Sheet1"/>
    </sheetNames>
    <sheetDataSet>
      <sheetData sheetId="0" refreshError="1"/>
      <sheetData sheetId="1">
        <row r="5">
          <cell r="D5" t="str">
            <v>Controller</v>
          </cell>
          <cell r="G5" t="str">
            <v>A</v>
          </cell>
          <cell r="H5">
            <v>45805</v>
          </cell>
        </row>
        <row r="6">
          <cell r="G6" t="str">
            <v>B</v>
          </cell>
          <cell r="H6">
            <v>45835</v>
          </cell>
        </row>
        <row r="7">
          <cell r="G7" t="str">
            <v>C</v>
          </cell>
          <cell r="H7">
            <v>45902</v>
          </cell>
        </row>
        <row r="8">
          <cell r="G8" t="str">
            <v>D</v>
          </cell>
          <cell r="H8">
            <v>45903</v>
          </cell>
        </row>
        <row r="9">
          <cell r="G9" t="str">
            <v>E</v>
          </cell>
          <cell r="H9">
            <v>46035</v>
          </cell>
        </row>
        <row r="10">
          <cell r="G10" t="str">
            <v>F</v>
          </cell>
          <cell r="H10">
            <v>46053</v>
          </cell>
        </row>
      </sheetData>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otation to customer"/>
      <sheetName val="Cover"/>
      <sheetName val="P035"/>
      <sheetName val="厂房租赁信息"/>
      <sheetName val="设备日常所需备件及保养"/>
      <sheetName val="Sheet1"/>
    </sheetNames>
    <sheetDataSet>
      <sheetData sheetId="0"/>
      <sheetData sheetId="1">
        <row r="5">
          <cell r="D5" t="str">
            <v>Controller</v>
          </cell>
          <cell r="G5" t="str">
            <v>A</v>
          </cell>
          <cell r="H5">
            <v>45805</v>
          </cell>
        </row>
        <row r="6">
          <cell r="G6" t="str">
            <v>B</v>
          </cell>
          <cell r="H6">
            <v>45835</v>
          </cell>
        </row>
        <row r="7">
          <cell r="G7" t="str">
            <v>C</v>
          </cell>
          <cell r="H7">
            <v>45902</v>
          </cell>
        </row>
        <row r="8">
          <cell r="G8" t="str">
            <v>D</v>
          </cell>
          <cell r="H8">
            <v>45903</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amp;Assumption"/>
      <sheetName val="Main sheet_hot bar investment"/>
      <sheetName val="Main sheet_SMT and Assembly."/>
      <sheetName val="Rate by Cost Element"/>
      <sheetName val="IDL cost"/>
      <sheetName val="N495-ASSY"/>
      <sheetName val="Quotation to customer_"/>
      <sheetName val="PE's version"/>
      <sheetName val="Tooling Cost Analysis"/>
      <sheetName val="Exchange Rate"/>
      <sheetName val="packaging"/>
      <sheetName val="Record"/>
      <sheetName val="TLA Investment"/>
      <sheetName val="Financials -by year-Gross"/>
      <sheetName val="Financial KPI Data"/>
      <sheetName val="IDL cost 单班"/>
    </sheetNames>
    <sheetDataSet>
      <sheetData sheetId="0"/>
      <sheetData sheetId="1">
        <row r="73">
          <cell r="J73">
            <v>8.5409882329161491</v>
          </cell>
        </row>
      </sheetData>
      <sheetData sheetId="2"/>
      <sheetData sheetId="3"/>
      <sheetData sheetId="4"/>
      <sheetData sheetId="5"/>
      <sheetData sheetId="6"/>
      <sheetData sheetId="7"/>
      <sheetData sheetId="8"/>
      <sheetData sheetId="9">
        <row r="4">
          <cell r="B4">
            <v>6.35</v>
          </cell>
        </row>
      </sheetData>
      <sheetData sheetId="10"/>
      <sheetData sheetId="11"/>
      <sheetData sheetId="12"/>
      <sheetData sheetId="13"/>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amp;Assumption"/>
      <sheetName val="MX 4 shifts"/>
      <sheetName val="W68 ACEM"/>
      <sheetName val="Main sheet_SMT and Ass semi-aut"/>
      <sheetName val="Main sheet_SMT and Ass investme"/>
      <sheetName val="P103 RFQ_ (B面)"/>
      <sheetName val="P103  （T面）"/>
      <sheetName val="P103 RFQ AXI "/>
      <sheetName val="P103  RFQ（ICT)"/>
      <sheetName val="P103  RFQ（Depanel)"/>
      <sheetName val="P103  RFQ（Flash) "/>
      <sheetName val="P103  RFQ（FVT) "/>
      <sheetName val="BOM  20250508"/>
      <sheetName val="process concept 0508 MX"/>
      <sheetName val="W68 ACEM "/>
      <sheetName val="Quotation to customer_"/>
      <sheetName val="PE's version"/>
      <sheetName val="Tooling Cost Analysis "/>
      <sheetName val="Packaging"/>
      <sheetName val="Exchange Rate"/>
      <sheetName val="TLA Investment "/>
      <sheetName val="quotation to customer"/>
      <sheetName val="Financial KPI Data"/>
      <sheetName val="TLA Investment  (2)"/>
      <sheetName val="quotation to customer (2)"/>
      <sheetName val="Financial KPI Data (2)"/>
      <sheetName val="TLA investment"/>
      <sheetName val="Financials -by year-Gross"/>
      <sheetName val="Reco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B4">
            <v>6.35</v>
          </cell>
        </row>
      </sheetData>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amp;Assumption"/>
      <sheetName val="MX 2 shifts1"/>
      <sheetName val="Main sheet_SMT and Assembly"/>
      <sheetName val="P035 RFQ_ (B面)"/>
      <sheetName val="P035  RFQ（T面） (2)"/>
      <sheetName val="P035 RFQ AXI (2)"/>
      <sheetName val="P035  RFQ（ICT） (2)"/>
      <sheetName val="P035  RFQ（Depanel)"/>
      <sheetName val="P035  RFQ（FVT) (2)"/>
      <sheetName val="P035 RFQ_ (B面) "/>
      <sheetName val="P035  RFQ（T面）"/>
      <sheetName val="P035 RFQ AXI"/>
      <sheetName val="P035  RFQ（ICT）"/>
      <sheetName val="P035  RFQ（Depanel) "/>
      <sheetName val="P035  RFQ（FVT)"/>
      <sheetName val="EEBOM 512 "/>
      <sheetName val="EBOM"/>
      <sheetName val="Process Concept Oct09version"/>
      <sheetName val="Process Concept 0903 version"/>
      <sheetName val="Process Concept 0808 1k"/>
      <sheetName val="Process Concept 0804 OEE75%"/>
      <sheetName val="P035 0527"/>
      <sheetName val="P035"/>
      <sheetName val="P035 0808 1k"/>
      <sheetName val="P035 0903 version"/>
      <sheetName val="tooling cost analysis"/>
      <sheetName val="packaging"/>
      <sheetName val="Packing"/>
      <sheetName val="Exchange Rate"/>
      <sheetName val="TLA Investment  "/>
    </sheetNames>
    <sheetDataSet>
      <sheetData sheetId="0"/>
      <sheetData sheetId="1"/>
      <sheetData sheetId="2">
        <row r="81">
          <cell r="I81">
            <v>31.529363170559925</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70">
          <cell r="L170">
            <v>11.761481249999997</v>
          </cell>
        </row>
      </sheetData>
      <sheetData sheetId="16"/>
      <sheetData sheetId="17"/>
      <sheetData sheetId="18"/>
      <sheetData sheetId="19"/>
      <sheetData sheetId="20"/>
      <sheetData sheetId="21"/>
      <sheetData sheetId="22">
        <row r="12">
          <cell r="B12" t="str">
            <v>Attach label on the bracket and assemble edge clip with bracket</v>
          </cell>
        </row>
      </sheetData>
      <sheetData sheetId="23">
        <row r="12">
          <cell r="U12" t="str">
            <v>Assemble Clip fixture
（Cylinder pressure retention）</v>
          </cell>
        </row>
      </sheetData>
      <sheetData sheetId="24">
        <row r="12">
          <cell r="B12" t="str">
            <v>Paste label on the bracket and assemble the PCBA and camera fan with bracket and fixed by screws</v>
          </cell>
        </row>
      </sheetData>
      <sheetData sheetId="25">
        <row r="22">
          <cell r="K22">
            <v>3.3</v>
          </cell>
        </row>
      </sheetData>
      <sheetData sheetId="26"/>
      <sheetData sheetId="27">
        <row r="8">
          <cell r="G8">
            <v>1.1782111115548801</v>
          </cell>
        </row>
      </sheetData>
      <sheetData sheetId="28"/>
      <sheetData sheetId="29">
        <row r="10">
          <cell r="B10">
            <v>182.49912033195022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OM report格式"/>
      <sheetName val="Sheet1"/>
    </sheetNames>
    <sheetDataSet>
      <sheetData sheetId="0" refreshError="1"/>
      <sheetData sheetId="1">
        <row r="1">
          <cell r="D1" t="str">
            <v>Part name</v>
          </cell>
        </row>
        <row r="2">
          <cell r="D2" t="str">
            <v>AC0603KRX7R0BB103</v>
          </cell>
        </row>
        <row r="3">
          <cell r="D3" t="str">
            <v>CL10B103KC8WPNC</v>
          </cell>
        </row>
        <row r="4">
          <cell r="D4" t="str">
            <v>GCM188R72A103KA37D</v>
          </cell>
        </row>
        <row r="5">
          <cell r="D5" t="str">
            <v>HMK107B7103KAHT</v>
          </cell>
        </row>
        <row r="6">
          <cell r="D6" t="str">
            <v>MCASH168SB7103KTNA01</v>
          </cell>
        </row>
        <row r="7">
          <cell r="D7" t="str">
            <v>MAASH168SB7103KTCA01</v>
          </cell>
        </row>
        <row r="8">
          <cell r="D8" t="str">
            <v>CGA3E2X7R2A103K080AA</v>
          </cell>
        </row>
        <row r="9">
          <cell r="D9" t="str">
            <v>GCM155R71H104KE02D</v>
          </cell>
        </row>
        <row r="10">
          <cell r="D10" t="str">
            <v>CL05B104KB54PNC</v>
          </cell>
        </row>
        <row r="11">
          <cell r="D11" t="str">
            <v>GCM155R71H104KE02J</v>
          </cell>
        </row>
        <row r="12">
          <cell r="D12" t="str">
            <v>MCASU105SB7104KFNA01</v>
          </cell>
        </row>
        <row r="13">
          <cell r="D13" t="str">
            <v>CGA2B3X7R1H104K050BB</v>
          </cell>
        </row>
        <row r="14">
          <cell r="D14" t="str">
            <v>GCM033R71A103KA03D</v>
          </cell>
        </row>
        <row r="15">
          <cell r="D15" t="str">
            <v>GCM033R71A103KA03J</v>
          </cell>
        </row>
        <row r="16">
          <cell r="D16" t="str">
            <v>CGA1A2X7R1A103K030BA</v>
          </cell>
        </row>
        <row r="17">
          <cell r="D17" t="str">
            <v>HMJ107BB7104KAHT</v>
          </cell>
        </row>
        <row r="18">
          <cell r="D18" t="str">
            <v>MCJCH168BB7104KTPA01</v>
          </cell>
        </row>
        <row r="19">
          <cell r="D19" t="str">
            <v>GCJ188R72A104KA01D</v>
          </cell>
        </row>
        <row r="20">
          <cell r="D20" t="str">
            <v>GCM033C71A104KE02D</v>
          </cell>
        </row>
        <row r="21">
          <cell r="D21" t="str">
            <v>GCM033C71A104KE02J</v>
          </cell>
        </row>
        <row r="22">
          <cell r="D22" t="str">
            <v>GCM21BR71E225KA73L</v>
          </cell>
        </row>
        <row r="23">
          <cell r="D23" t="str">
            <v>CGA4J3X7R1E225K125AB</v>
          </cell>
        </row>
        <row r="24">
          <cell r="D24" t="str">
            <v>MCASJ21GAB7106KTNA01</v>
          </cell>
        </row>
        <row r="25">
          <cell r="D25" t="str">
            <v>GCM21BR70J106KE22L</v>
          </cell>
        </row>
        <row r="26">
          <cell r="D26" t="str">
            <v>CGA4J1X7R0J106K125AC</v>
          </cell>
        </row>
        <row r="27">
          <cell r="D27" t="str">
            <v>C0805C106K9RACAUTO</v>
          </cell>
        </row>
        <row r="28">
          <cell r="D28" t="str">
            <v>CL31B106KAHVPNE</v>
          </cell>
        </row>
        <row r="29">
          <cell r="D29" t="str">
            <v>CGA5L1X7R1E106K160AC</v>
          </cell>
        </row>
        <row r="30">
          <cell r="D30" t="str">
            <v>CGA2B3X7S2A103K050BB</v>
          </cell>
        </row>
        <row r="31">
          <cell r="D31" t="str">
            <v>GCM1885C2A221JA16D</v>
          </cell>
        </row>
        <row r="32">
          <cell r="D32" t="str">
            <v>CL10B105KA8VPNC</v>
          </cell>
        </row>
        <row r="33">
          <cell r="D33" t="str">
            <v>GCM188R71E105KA64D</v>
          </cell>
        </row>
        <row r="34">
          <cell r="D34" t="str">
            <v>CGA3E1X7R1E105K080AC</v>
          </cell>
        </row>
        <row r="35">
          <cell r="D35" t="str">
            <v>GCJ188C70J475KE02D</v>
          </cell>
        </row>
        <row r="36">
          <cell r="D36" t="str">
            <v>GCJ188C70J475KE02J</v>
          </cell>
        </row>
        <row r="37">
          <cell r="D37" t="str">
            <v>KAM05CR71A105KH</v>
          </cell>
        </row>
        <row r="38">
          <cell r="D38" t="str">
            <v>MCASU063SCG180JFNA01</v>
          </cell>
        </row>
        <row r="39">
          <cell r="D39" t="str">
            <v>GCM0335C1H180JA16D</v>
          </cell>
        </row>
        <row r="40">
          <cell r="D40" t="str">
            <v>GCM0335C1H180JA16J</v>
          </cell>
        </row>
        <row r="41">
          <cell r="D41" t="str">
            <v>CGA1A2C0G1H180J030BA</v>
          </cell>
        </row>
        <row r="42">
          <cell r="D42" t="str">
            <v>GCJ32EC72A106KE01</v>
          </cell>
        </row>
        <row r="43">
          <cell r="D43" t="str">
            <v>CL32Y106KCJ6PJE</v>
          </cell>
        </row>
        <row r="44">
          <cell r="D44" t="str">
            <v>CNA6P1X7R2A106K250AE</v>
          </cell>
        </row>
        <row r="45">
          <cell r="D45" t="str">
            <v>HMK107B7472KAHT</v>
          </cell>
        </row>
        <row r="46">
          <cell r="D46" t="str">
            <v>MCASH168SB7472KTNA01</v>
          </cell>
        </row>
        <row r="47">
          <cell r="D47" t="str">
            <v>C0603C472K1RACAUTO</v>
          </cell>
        </row>
        <row r="48">
          <cell r="D48" t="str">
            <v>GCM188R72A472KA37D</v>
          </cell>
        </row>
        <row r="49">
          <cell r="D49" t="str">
            <v>CGA3E2X7R2A472K080AA</v>
          </cell>
        </row>
        <row r="50">
          <cell r="D50" t="str">
            <v>CL10B472KC8WPNC</v>
          </cell>
        </row>
        <row r="51">
          <cell r="D51" t="str">
            <v>CL31B105KCHVPJ</v>
          </cell>
        </row>
        <row r="52">
          <cell r="D52" t="str">
            <v>CGA5L2X7R2A105K160AE</v>
          </cell>
        </row>
        <row r="53">
          <cell r="D53" t="str">
            <v>CGA5L2X7R2A105K160DE</v>
          </cell>
        </row>
        <row r="54">
          <cell r="D54" t="str">
            <v>KAF31GR72A105KU</v>
          </cell>
        </row>
        <row r="55">
          <cell r="D55" t="str">
            <v>MAASH21GSB7224KTNA01</v>
          </cell>
        </row>
        <row r="56">
          <cell r="D56" t="str">
            <v>MCASH21GSB7224KTNA01</v>
          </cell>
        </row>
        <row r="57">
          <cell r="D57" t="str">
            <v>C0805C224K1RACAUTO</v>
          </cell>
        </row>
        <row r="58">
          <cell r="D58" t="str">
            <v>C0805C224K1RACAUTO7210</v>
          </cell>
        </row>
        <row r="59">
          <cell r="D59" t="str">
            <v>CL21B224KCQVPNE</v>
          </cell>
        </row>
        <row r="60">
          <cell r="D60" t="str">
            <v>08051C224K4T2A</v>
          </cell>
        </row>
        <row r="61">
          <cell r="D61" t="str">
            <v>A771KS476M1JLAS020</v>
          </cell>
        </row>
        <row r="62">
          <cell r="D62" t="str">
            <v>63FVF47M+P</v>
          </cell>
        </row>
        <row r="63">
          <cell r="D63" t="str">
            <v>PCA1J470MCL1GS</v>
          </cell>
        </row>
        <row r="64">
          <cell r="D64" t="str">
            <v>EEH-ZT1J470P</v>
          </cell>
        </row>
        <row r="65">
          <cell r="D65" t="str">
            <v>GCM033R71E331KA03D</v>
          </cell>
        </row>
        <row r="66">
          <cell r="D66" t="str">
            <v>GCM033R71E331KA03J</v>
          </cell>
        </row>
        <row r="67">
          <cell r="D67" t="str">
            <v>CGA1A2X7R1E331K030BA</v>
          </cell>
        </row>
        <row r="68">
          <cell r="D68" t="str">
            <v>UUD1E221MNL1GS</v>
          </cell>
        </row>
        <row r="69">
          <cell r="D69" t="str">
            <v>EMVY250ARA221MHA0G</v>
          </cell>
        </row>
        <row r="70">
          <cell r="D70" t="str">
            <v>MAL215097612E3</v>
          </cell>
        </row>
        <row r="71">
          <cell r="D71" t="str">
            <v>CGA3E1X7T0J106M080AC</v>
          </cell>
        </row>
        <row r="72">
          <cell r="D72" t="str">
            <v>GCM188D70J106ME36D</v>
          </cell>
        </row>
        <row r="73">
          <cell r="D73" t="str">
            <v>GCM188D70J106ME36J</v>
          </cell>
        </row>
        <row r="74">
          <cell r="D74" t="str">
            <v>DESD1CAN2SOQ-7</v>
          </cell>
        </row>
        <row r="75">
          <cell r="D75" t="str">
            <v>DESD1CAN2SOQ-7-52</v>
          </cell>
        </row>
        <row r="76">
          <cell r="D76" t="str">
            <v>SESDONCAN1LT3G</v>
          </cell>
        </row>
        <row r="77">
          <cell r="D77" t="str">
            <v>AQ24CANA-02HTG</v>
          </cell>
        </row>
        <row r="78">
          <cell r="D78" t="str">
            <v>SM24CANA-02HTG</v>
          </cell>
        </row>
        <row r="79">
          <cell r="D79" t="str">
            <v>CDSOT23-T24CAN-Q</v>
          </cell>
        </row>
        <row r="80">
          <cell r="D80" t="str">
            <v>PESD2CANFD24VT-QR</v>
          </cell>
        </row>
        <row r="81">
          <cell r="D81" t="str">
            <v>PESD1CAN_215</v>
          </cell>
        </row>
        <row r="82">
          <cell r="D82" t="str">
            <v>SZMMBZ6V8ALT1G</v>
          </cell>
        </row>
        <row r="83">
          <cell r="D83" t="str">
            <v>NSVR02100HT1G</v>
          </cell>
        </row>
        <row r="84">
          <cell r="D84" t="str">
            <v>ESD601DPYRQ1</v>
          </cell>
        </row>
        <row r="85">
          <cell r="D85" t="str">
            <v>SMAJ54AQ-13-F</v>
          </cell>
        </row>
        <row r="86">
          <cell r="D86" t="str">
            <v>SMAJ54AQ-13-F-52</v>
          </cell>
        </row>
        <row r="87">
          <cell r="D87" t="str">
            <v>SMAJ54AQ-13-F-52-N</v>
          </cell>
        </row>
        <row r="88">
          <cell r="D88" t="str">
            <v>SMAJ54A-Q</v>
          </cell>
        </row>
        <row r="89">
          <cell r="D89" t="str">
            <v>STPS2L60ZFY</v>
          </cell>
        </row>
        <row r="90">
          <cell r="D90" t="str">
            <v>DFLS2100Q-7</v>
          </cell>
        </row>
        <row r="91">
          <cell r="D91" t="str">
            <v>DFLS2100Q-7-52</v>
          </cell>
        </row>
        <row r="92">
          <cell r="D92" t="str">
            <v>BCL322520RT-220M-D</v>
          </cell>
        </row>
        <row r="93">
          <cell r="D93" t="str">
            <v>ACT1210E-241-2P</v>
          </cell>
        </row>
        <row r="94">
          <cell r="D94" t="str">
            <v>MAT-06CZE220M-V2-CY</v>
          </cell>
        </row>
        <row r="95">
          <cell r="D95" t="str">
            <v>SQ2337CES-T1_GE3</v>
          </cell>
        </row>
        <row r="96">
          <cell r="D96" t="str">
            <v>BSS123Q-13</v>
          </cell>
        </row>
        <row r="97">
          <cell r="D97" t="str">
            <v>BSS123Q-7</v>
          </cell>
        </row>
        <row r="98">
          <cell r="D98" t="str">
            <v>BSS123NH6433XTMA1</v>
          </cell>
        </row>
        <row r="99">
          <cell r="D99" t="str">
            <v>BSS123NH6327XTSA1</v>
          </cell>
        </row>
        <row r="100">
          <cell r="D100" t="str">
            <v>DMC3061SVTQ-13</v>
          </cell>
        </row>
        <row r="101">
          <cell r="D101" t="str">
            <v>DMC3061SVTQ-13-52</v>
          </cell>
        </row>
        <row r="102">
          <cell r="D102" t="str">
            <v>DMC3061SVTQ-7</v>
          </cell>
        </row>
        <row r="103">
          <cell r="D103" t="str">
            <v>DMC3061SVTQ-7-52</v>
          </cell>
        </row>
        <row r="104">
          <cell r="D104" t="str">
            <v>DMC3061SVTQ-13-52-N</v>
          </cell>
        </row>
        <row r="105">
          <cell r="D105" t="str">
            <v>DMC3061SVTQ-7-52-N</v>
          </cell>
        </row>
        <row r="106">
          <cell r="D106" t="str">
            <v>PJS6603-AU</v>
          </cell>
        </row>
        <row r="107">
          <cell r="D107" t="str">
            <v>PJS6603-AU_S1_008A1</v>
          </cell>
        </row>
        <row r="108">
          <cell r="D108" t="str">
            <v>CRCW0402560RFKED</v>
          </cell>
        </row>
        <row r="109">
          <cell r="D109" t="str">
            <v>AC0402FR-07560RL</v>
          </cell>
        </row>
        <row r="110">
          <cell r="D110" t="str">
            <v>RK73H1ETTP5600F</v>
          </cell>
        </row>
        <row r="111">
          <cell r="D111" t="str">
            <v>RMCH10K561FTH</v>
          </cell>
        </row>
        <row r="112">
          <cell r="D112" t="str">
            <v>AC0201FR-0710KL</v>
          </cell>
        </row>
        <row r="113">
          <cell r="D113" t="str">
            <v>RMCH06-103FPA</v>
          </cell>
        </row>
        <row r="114">
          <cell r="D114" t="str">
            <v>RK73H1HTTC1002F</v>
          </cell>
        </row>
        <row r="115">
          <cell r="D115" t="str">
            <v>ERJ1GJF1002C</v>
          </cell>
        </row>
        <row r="116">
          <cell r="D116" t="str">
            <v>AC0201FR-0747KL</v>
          </cell>
        </row>
        <row r="117">
          <cell r="D117" t="str">
            <v>RK73H1HTTC4702F</v>
          </cell>
        </row>
        <row r="118">
          <cell r="D118" t="str">
            <v>RMCH06-473FPA</v>
          </cell>
        </row>
        <row r="119">
          <cell r="D119" t="str">
            <v>ERJ1GJF4702C</v>
          </cell>
        </row>
        <row r="120">
          <cell r="D120" t="str">
            <v>AC0201FR-07100RL</v>
          </cell>
        </row>
        <row r="121">
          <cell r="D121" t="str">
            <v>RK73H1HTTC1000F</v>
          </cell>
        </row>
        <row r="122">
          <cell r="D122" t="str">
            <v>RMCH06-101FPA</v>
          </cell>
        </row>
        <row r="123">
          <cell r="D123" t="str">
            <v>ERJ1GJF1000C</v>
          </cell>
        </row>
        <row r="124">
          <cell r="D124" t="str">
            <v>AC0201FR-074K7L</v>
          </cell>
        </row>
        <row r="125">
          <cell r="D125" t="str">
            <v>RMCH06-472FPA</v>
          </cell>
        </row>
        <row r="126">
          <cell r="D126" t="str">
            <v>RK73H1HTTC4701F</v>
          </cell>
        </row>
        <row r="127">
          <cell r="D127" t="str">
            <v>ERJ1GJF4701C</v>
          </cell>
        </row>
        <row r="128">
          <cell r="D128" t="str">
            <v>CRCW04020000Z0ED</v>
          </cell>
        </row>
        <row r="129">
          <cell r="D129" t="str">
            <v>AC0402JR-070RL</v>
          </cell>
        </row>
        <row r="130">
          <cell r="D130" t="str">
            <v>RMCH10JPTH</v>
          </cell>
        </row>
        <row r="131">
          <cell r="D131" t="str">
            <v>RK73Z1ETTP</v>
          </cell>
        </row>
        <row r="132">
          <cell r="D132" t="str">
            <v>ERJ2GE0R00X</v>
          </cell>
        </row>
        <row r="133">
          <cell r="D133" t="str">
            <v>RMCH06-102DPA</v>
          </cell>
        </row>
        <row r="134">
          <cell r="D134" t="str">
            <v>RK73H1HTTC1001D</v>
          </cell>
        </row>
        <row r="135">
          <cell r="D135" t="str">
            <v>AC0201FR-07100KL</v>
          </cell>
        </row>
        <row r="136">
          <cell r="D136" t="str">
            <v>RK73H1HTTC1003F</v>
          </cell>
        </row>
        <row r="137">
          <cell r="D137" t="str">
            <v>ERJ1GJF1003C</v>
          </cell>
        </row>
        <row r="138">
          <cell r="D138" t="str">
            <v>AC0201FR-073K3L</v>
          </cell>
        </row>
        <row r="139">
          <cell r="D139" t="str">
            <v>RK73H1HTTC3301F</v>
          </cell>
        </row>
        <row r="140">
          <cell r="D140" t="str">
            <v>RMCH06-332FPA</v>
          </cell>
        </row>
        <row r="141">
          <cell r="D141" t="str">
            <v>ERJ1GJF3301C</v>
          </cell>
        </row>
        <row r="142">
          <cell r="D142" t="str">
            <v>AC0201FR-0724K9L</v>
          </cell>
        </row>
        <row r="143">
          <cell r="D143" t="str">
            <v>RK73H1HTTC2492F</v>
          </cell>
        </row>
        <row r="144">
          <cell r="D144" t="str">
            <v>RMCH06-2492FPA</v>
          </cell>
        </row>
        <row r="145">
          <cell r="D145" t="str">
            <v>ERJ1GJF2492C</v>
          </cell>
        </row>
        <row r="146">
          <cell r="D146" t="str">
            <v>ERJ-2BWFR100X</v>
          </cell>
        </row>
        <row r="147">
          <cell r="D147" t="str">
            <v>CRCW040233K0FKED</v>
          </cell>
        </row>
        <row r="148">
          <cell r="D148" t="str">
            <v>AC0402FR-0733KL</v>
          </cell>
        </row>
        <row r="149">
          <cell r="D149" t="str">
            <v>RMCH10K333FTH</v>
          </cell>
        </row>
        <row r="150">
          <cell r="D150" t="str">
            <v>RK73H1ETTP3302F</v>
          </cell>
        </row>
        <row r="151">
          <cell r="D151" t="str">
            <v>CRCW0603100KFKEA</v>
          </cell>
        </row>
        <row r="152">
          <cell r="D152" t="str">
            <v>AC0603FR-07100KL</v>
          </cell>
        </row>
        <row r="153">
          <cell r="D153" t="str">
            <v>RMCH16K104FTP</v>
          </cell>
        </row>
        <row r="154">
          <cell r="D154" t="str">
            <v>RK73H1JTTD1003F</v>
          </cell>
        </row>
        <row r="155">
          <cell r="D155" t="str">
            <v>CRCW04024K99FKED</v>
          </cell>
        </row>
        <row r="156">
          <cell r="D156" t="str">
            <v>RMCH10K4991FTH</v>
          </cell>
        </row>
        <row r="157">
          <cell r="D157" t="str">
            <v>RK73H1ETTP4991F</v>
          </cell>
        </row>
        <row r="158">
          <cell r="D158" t="str">
            <v>ERJ2RKF4991X</v>
          </cell>
        </row>
        <row r="159">
          <cell r="D159" t="str">
            <v>CRCW04020000Z0ED</v>
          </cell>
        </row>
        <row r="160">
          <cell r="D160" t="str">
            <v>AC0402JR-070RL</v>
          </cell>
        </row>
        <row r="161">
          <cell r="D161" t="str">
            <v>RMCH10JPTH</v>
          </cell>
        </row>
        <row r="162">
          <cell r="D162" t="str">
            <v>RK73Z1ETTP</v>
          </cell>
        </row>
        <row r="163">
          <cell r="D163" t="str">
            <v>ERJ2GE0R00X</v>
          </cell>
        </row>
        <row r="164">
          <cell r="D164" t="str">
            <v>RMCH06JPPA</v>
          </cell>
        </row>
        <row r="165">
          <cell r="D165" t="str">
            <v>RK73Z1HTTC</v>
          </cell>
        </row>
        <row r="166">
          <cell r="D166" t="str">
            <v>ERJ1GJ0R00C</v>
          </cell>
        </row>
        <row r="167">
          <cell r="D167" t="str">
            <v>CRCW060349R9FKEA</v>
          </cell>
        </row>
        <row r="168">
          <cell r="D168" t="str">
            <v>AC0603FR-0749R9L</v>
          </cell>
        </row>
        <row r="169">
          <cell r="D169" t="str">
            <v>RK73H1JTTD49R9F</v>
          </cell>
        </row>
        <row r="170">
          <cell r="D170" t="str">
            <v>RMCH16K49R9FTP</v>
          </cell>
        </row>
        <row r="171">
          <cell r="D171" t="str">
            <v>CRCW0402100KFKED</v>
          </cell>
        </row>
        <row r="172">
          <cell r="D172" t="str">
            <v>AC0402FR-07100KL</v>
          </cell>
        </row>
        <row r="173">
          <cell r="D173" t="str">
            <v>RMCH10K104FTH</v>
          </cell>
        </row>
        <row r="174">
          <cell r="D174" t="str">
            <v>RK73H1ETTP1003F</v>
          </cell>
        </row>
        <row r="175">
          <cell r="D175" t="str">
            <v>ERJ2RKF1003X</v>
          </cell>
        </row>
        <row r="176">
          <cell r="D176" t="str">
            <v>CRCW25121R00KNEGIF</v>
          </cell>
        </row>
        <row r="177">
          <cell r="D177" t="str">
            <v>SR2512KK-071RL</v>
          </cell>
        </row>
        <row r="178">
          <cell r="D178" t="str">
            <v>RPC2512JT1R00</v>
          </cell>
        </row>
        <row r="179">
          <cell r="D179" t="str">
            <v>SG73W3ATTE1R0K</v>
          </cell>
        </row>
        <row r="180">
          <cell r="D180" t="str">
            <v>AC0201FR-0726K7L</v>
          </cell>
        </row>
        <row r="181">
          <cell r="D181" t="str">
            <v>RK73H1HTTC2672F</v>
          </cell>
        </row>
        <row r="182">
          <cell r="D182" t="str">
            <v>RMCH06-2672FPA</v>
          </cell>
        </row>
        <row r="183">
          <cell r="D183" t="str">
            <v>ERJ1GJF2672C</v>
          </cell>
        </row>
        <row r="184">
          <cell r="D184" t="str">
            <v>RK73H1HTTC9092D</v>
          </cell>
        </row>
        <row r="185">
          <cell r="D185" t="str">
            <v>RMCH06-9092DPA</v>
          </cell>
        </row>
        <row r="186">
          <cell r="D186" t="str">
            <v>AC0201FR-0757K6L</v>
          </cell>
        </row>
        <row r="187">
          <cell r="D187" t="str">
            <v>ERJ1GJF5762C</v>
          </cell>
        </row>
        <row r="188">
          <cell r="D188" t="str">
            <v>RK73H1HTTC5762F</v>
          </cell>
        </row>
        <row r="189">
          <cell r="D189" t="str">
            <v>RMCH06-5762FPA</v>
          </cell>
        </row>
        <row r="190">
          <cell r="D190" t="str">
            <v>CRCW0603510RFKEA</v>
          </cell>
        </row>
        <row r="191">
          <cell r="D191" t="str">
            <v>AC0603FR-07510RL</v>
          </cell>
        </row>
        <row r="192">
          <cell r="D192" t="str">
            <v>RK73H1JTTD5100F</v>
          </cell>
        </row>
        <row r="193">
          <cell r="D193" t="str">
            <v>RMCH16K511FTP</v>
          </cell>
        </row>
        <row r="194">
          <cell r="D194" t="str">
            <v>AC0201FR-0714K7L</v>
          </cell>
        </row>
        <row r="195">
          <cell r="D195" t="str">
            <v>RK73H1HTTC1472F</v>
          </cell>
        </row>
        <row r="196">
          <cell r="D196" t="str">
            <v>RMCH06-1472FPA</v>
          </cell>
        </row>
        <row r="197">
          <cell r="D197" t="str">
            <v>ERJ1GJF1472C</v>
          </cell>
        </row>
        <row r="198">
          <cell r="D198" t="str">
            <v>AC0201FR-0711KL</v>
          </cell>
        </row>
        <row r="199">
          <cell r="D199" t="str">
            <v>RK73H1HTTC1102F</v>
          </cell>
        </row>
        <row r="200">
          <cell r="D200" t="str">
            <v>RMCH06-113FPA</v>
          </cell>
        </row>
        <row r="201">
          <cell r="D201" t="str">
            <v>ERJ1GJF1102C</v>
          </cell>
        </row>
        <row r="202">
          <cell r="D202" t="str">
            <v>AC0201FR-072K2L</v>
          </cell>
        </row>
        <row r="203">
          <cell r="D203" t="str">
            <v>RK73H1HTTC2201F</v>
          </cell>
        </row>
        <row r="204">
          <cell r="D204" t="str">
            <v>RMCH06-222FPA</v>
          </cell>
        </row>
        <row r="205">
          <cell r="D205" t="str">
            <v>ERJ1GJF2201C</v>
          </cell>
        </row>
        <row r="206">
          <cell r="D206" t="str">
            <v>AC0201FR-07330KL</v>
          </cell>
        </row>
        <row r="207">
          <cell r="D207" t="str">
            <v>RK73H1HTTC3303F</v>
          </cell>
        </row>
        <row r="208">
          <cell r="D208" t="str">
            <v>ERJ1GJF3303C</v>
          </cell>
        </row>
        <row r="209">
          <cell r="D209" t="str">
            <v>RMCH06-334FPA</v>
          </cell>
        </row>
        <row r="210">
          <cell r="D210" t="str">
            <v>CRCW0603220KFKEA</v>
          </cell>
        </row>
        <row r="211">
          <cell r="D211" t="str">
            <v>AC0603FR-07220KL</v>
          </cell>
        </row>
        <row r="212">
          <cell r="D212" t="str">
            <v>RK73H1JTTD2203F</v>
          </cell>
        </row>
        <row r="213">
          <cell r="D213" t="str">
            <v>RMCH16K224FTP</v>
          </cell>
        </row>
        <row r="214">
          <cell r="D214" t="str">
            <v>AC0201FR-076K8L</v>
          </cell>
        </row>
        <row r="215">
          <cell r="D215" t="str">
            <v>RK73H1HTTC6801F</v>
          </cell>
        </row>
        <row r="216">
          <cell r="D216" t="str">
            <v>RMCH06-682FPA</v>
          </cell>
        </row>
        <row r="217">
          <cell r="D217" t="str">
            <v>ERJ1GJF6801C</v>
          </cell>
        </row>
        <row r="218">
          <cell r="D218" t="str">
            <v>TPS1HC100BQPWPRQ1</v>
          </cell>
        </row>
        <row r="219">
          <cell r="D219" t="str">
            <v>TPS7B4255QDBVRQ1</v>
          </cell>
        </row>
        <row r="220">
          <cell r="D220" t="str">
            <v>LMR36503MSCQRPERQ1</v>
          </cell>
        </row>
        <row r="221">
          <cell r="D221" t="str">
            <v>INA241A3QDDFRQ1</v>
          </cell>
        </row>
        <row r="222">
          <cell r="D222" t="str">
            <v>TCA9517DGKRQ1</v>
          </cell>
        </row>
        <row r="223">
          <cell r="D223" t="str">
            <v>TMUX1308QBQBRQ1</v>
          </cell>
        </row>
        <row r="224">
          <cell r="D224" t="str">
            <v>AD3301WBCPZ-AA-RL</v>
          </cell>
        </row>
        <row r="225">
          <cell r="D225" t="str">
            <v>TCAL9539RTWRQ1.A</v>
          </cell>
        </row>
        <row r="226">
          <cell r="D226" t="str">
            <v>LMR38025SQDRRRQ1</v>
          </cell>
        </row>
        <row r="227">
          <cell r="D227" t="str">
            <v>LP2951-50QDRM3Q1</v>
          </cell>
        </row>
        <row r="228">
          <cell r="D228" t="str">
            <v>NCV2951CDR2G</v>
          </cell>
        </row>
        <row r="229">
          <cell r="D229" t="str">
            <v>TPS1HTC30AQPWPRQ1</v>
          </cell>
        </row>
        <row r="230">
          <cell r="D230" t="str">
            <v>LM2904BQDGKRQ1</v>
          </cell>
        </row>
        <row r="231">
          <cell r="D231" t="str">
            <v>LM2904BYST</v>
          </cell>
        </row>
        <row r="232">
          <cell r="D232" t="str">
            <v>SHT41A-BD1B-R3</v>
          </cell>
        </row>
        <row r="233">
          <cell r="D233" t="str">
            <v>SHT41A-BD1B-R2</v>
          </cell>
        </row>
        <row r="234">
          <cell r="D234" t="str">
            <v>OPT4003DNPRQ1</v>
          </cell>
        </row>
        <row r="235">
          <cell r="D235" t="str">
            <v>1C325000BE0A</v>
          </cell>
        </row>
        <row r="236">
          <cell r="D236" t="str">
            <v>AM25070307</v>
          </cell>
        </row>
        <row r="237">
          <cell r="D237" t="str">
            <v>EXS00A-CS14701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M003-04-M00-N initial BOM _20"/>
      <sheetName val="2102664-11-C_01-6 (Engineering "/>
      <sheetName val="新增物料"/>
      <sheetName val="删除物料"/>
      <sheetName val="零件贴装数量的变更"/>
    </sheetNames>
    <sheetDataSet>
      <sheetData sheetId="0"/>
      <sheetData sheetId="1"/>
      <sheetData sheetId="2"/>
      <sheetData sheetId="3">
        <row r="3">
          <cell r="C3" t="str">
            <v>CL32Y106KCV6PNE</v>
          </cell>
          <cell r="D3" t="str">
            <v>C401, C402, C604, C608, C609, C610, C611, C612, C613</v>
          </cell>
          <cell r="E3" t="str">
            <v>Samsung Electro-Mechanics (SEMCO)</v>
          </cell>
          <cell r="F3" t="str">
            <v>位号不变，主料删除</v>
          </cell>
        </row>
        <row r="4">
          <cell r="C4" t="str">
            <v>GCM32EC72A106KEC2L</v>
          </cell>
          <cell r="D4" t="str">
            <v>C401, C402, C604, C608, C609, C610, C611, C612, C613</v>
          </cell>
          <cell r="E4" t="str">
            <v>Murata</v>
          </cell>
          <cell r="F4" t="str">
            <v>位号不变，替代料删除</v>
          </cell>
        </row>
        <row r="5">
          <cell r="C5" t="str">
            <v>AC1206KKX7R0BB105</v>
          </cell>
          <cell r="D5" t="str">
            <v>C407, C408</v>
          </cell>
          <cell r="E5" t="str">
            <v>Yageo</v>
          </cell>
          <cell r="F5" t="str">
            <v>位号不变，主料删除</v>
          </cell>
        </row>
        <row r="6">
          <cell r="C6" t="str">
            <v>CL31B105KCHVPNE</v>
          </cell>
          <cell r="D6" t="str">
            <v>C407, C408</v>
          </cell>
          <cell r="E6" t="str">
            <v>Samsung Electro Mechanics Co Ltd</v>
          </cell>
          <cell r="F6" t="str">
            <v>位号不变，替代料删除</v>
          </cell>
        </row>
        <row r="7">
          <cell r="C7" t="str">
            <v>GCM31CR72A105KA03K</v>
          </cell>
          <cell r="D7" t="str">
            <v>C407, C408</v>
          </cell>
          <cell r="E7" t="str">
            <v>Murata</v>
          </cell>
          <cell r="F7" t="str">
            <v>位号不变，替代料删除</v>
          </cell>
        </row>
        <row r="8">
          <cell r="C8" t="str">
            <v>GCM31CR72A105KA03L</v>
          </cell>
          <cell r="D8" t="str">
            <v>C407, C408</v>
          </cell>
          <cell r="E8" t="str">
            <v>Murata</v>
          </cell>
          <cell r="F8" t="str">
            <v>位号不变，替代料删除</v>
          </cell>
        </row>
        <row r="9">
          <cell r="C9" t="str">
            <v>C1206C105K1RACAUTO</v>
          </cell>
          <cell r="D9" t="str">
            <v>C407, C408</v>
          </cell>
          <cell r="E9" t="str">
            <v>Kemet</v>
          </cell>
          <cell r="F9" t="str">
            <v>位号不变，替代料删除</v>
          </cell>
        </row>
        <row r="10">
          <cell r="C10" t="str">
            <v>C1206C105K1RACAUTO7210</v>
          </cell>
          <cell r="D10" t="str">
            <v>C407, C408</v>
          </cell>
          <cell r="E10" t="str">
            <v>Kemet</v>
          </cell>
          <cell r="F10" t="str">
            <v>位号不变，替代料删除</v>
          </cell>
        </row>
        <row r="11">
          <cell r="C11" t="str">
            <v>12061C105K4T2A</v>
          </cell>
          <cell r="D11" t="str">
            <v>C407, C408</v>
          </cell>
          <cell r="E11" t="str">
            <v>AVX</v>
          </cell>
          <cell r="F11" t="str">
            <v>位号不变，替代料删除</v>
          </cell>
        </row>
        <row r="12">
          <cell r="C12" t="str">
            <v>12061C105K4T4A</v>
          </cell>
          <cell r="D12" t="str">
            <v>C407, C408</v>
          </cell>
          <cell r="E12" t="str">
            <v>AVX</v>
          </cell>
          <cell r="F12" t="str">
            <v>位号不变，替代料删除</v>
          </cell>
        </row>
        <row r="13">
          <cell r="C13" t="str">
            <v>SQ2337ES-T1_GE3</v>
          </cell>
          <cell r="D13" t="str">
            <v>Q1</v>
          </cell>
          <cell r="E13" t="str">
            <v>Vishay</v>
          </cell>
          <cell r="F13" t="str">
            <v>位号不变，主料删除</v>
          </cell>
        </row>
        <row r="14">
          <cell r="C14" t="str">
            <v>AD3301WBPCZ-AA-RL</v>
          </cell>
          <cell r="D14" t="str">
            <v>U301</v>
          </cell>
          <cell r="E14" t="str">
            <v>Analog Devices (ADI)</v>
          </cell>
          <cell r="F14" t="str">
            <v>位号不变，主料删除</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035 Mar.4th  2026 EEBOM"/>
      <sheetName val="Sheet3"/>
    </sheetNames>
    <sheetDataSet>
      <sheetData sheetId="0"/>
      <sheetData sheetId="1">
        <row r="2">
          <cell r="C2" t="str">
            <v>SQ2337CES-T1_GE3</v>
          </cell>
          <cell r="D2" t="str">
            <v>XSTR,MOSFET,P-CH,80V,2.2A,SOT23-3,AEC-Q</v>
          </cell>
          <cell r="E2">
            <v>1</v>
          </cell>
          <cell r="F2" t="str">
            <v>Vishay</v>
          </cell>
          <cell r="G2">
            <v>9.0999999999999998E-2</v>
          </cell>
        </row>
        <row r="3">
          <cell r="C3" t="str">
            <v>ERJ2RKF4991X</v>
          </cell>
          <cell r="D3" t="str">
            <v>RES,SMD,4.99k,62.5mW,±1%,0402,AECQ</v>
          </cell>
          <cell r="E3">
            <v>1</v>
          </cell>
          <cell r="F3" t="str">
            <v>Panasonic</v>
          </cell>
          <cell r="G3">
            <v>2.7799999999999999E-3</v>
          </cell>
        </row>
        <row r="4">
          <cell r="C4" t="str">
            <v>ERJ2RKF1003X</v>
          </cell>
          <cell r="D4" t="str">
            <v>RES,SMD,100k,62.5mW,±1%,0402,AECQ</v>
          </cell>
          <cell r="E4">
            <v>1</v>
          </cell>
          <cell r="F4" t="str">
            <v>Panasonic</v>
          </cell>
          <cell r="G4">
            <v>2.7799999999999999E-3</v>
          </cell>
        </row>
        <row r="5">
          <cell r="C5" t="str">
            <v>GCJ32EC72A106KE01</v>
          </cell>
          <cell r="D5" t="str">
            <v>CAP,X7S,10uF,100V,10%,1210S(3225S),AEC-Q</v>
          </cell>
          <cell r="E5">
            <v>9</v>
          </cell>
          <cell r="F5" t="str">
            <v>Murata</v>
          </cell>
          <cell r="G5">
            <v>0.16800000000000001</v>
          </cell>
        </row>
        <row r="6">
          <cell r="C6" t="str">
            <v>CL32Y106KCJ6PJE</v>
          </cell>
          <cell r="D6" t="str">
            <v>CAP,X7S,10uF,100V,10%,1210S(3225S),AEC-Q</v>
          </cell>
          <cell r="E6">
            <v>9</v>
          </cell>
          <cell r="F6" t="str">
            <v>Samsung Electro-Mechanics (SEMCO)</v>
          </cell>
          <cell r="G6">
            <v>0.17780000000000001</v>
          </cell>
        </row>
        <row r="7">
          <cell r="C7" t="str">
            <v>CNA6P1X7R2A106K250AE</v>
          </cell>
          <cell r="D7" t="str">
            <v>CAP,X7S,10uF,100V,10%,1210S(3225S),AEC-Q</v>
          </cell>
          <cell r="E7">
            <v>9</v>
          </cell>
          <cell r="F7" t="str">
            <v>TDK Corporation</v>
          </cell>
          <cell r="G7">
            <v>0.24</v>
          </cell>
        </row>
        <row r="8">
          <cell r="C8" t="str">
            <v>CL31B105KCHVPJ</v>
          </cell>
          <cell r="D8" t="str">
            <v>CAP,X7R,1.0uF,100V,10%,1206(3216),AEC-Q</v>
          </cell>
          <cell r="E8">
            <v>2</v>
          </cell>
          <cell r="F8" t="str">
            <v>Samsung Electro-Mechanics (SEMCO)</v>
          </cell>
          <cell r="G8">
            <v>7.1999999999999995E-2</v>
          </cell>
        </row>
        <row r="9">
          <cell r="C9" t="str">
            <v>CGA5L2X7R2A105K160AE</v>
          </cell>
          <cell r="D9" t="str">
            <v>CAP,X7R,1.0uF,100V,10%,1206(3216),AEC-Q</v>
          </cell>
          <cell r="E9">
            <v>2</v>
          </cell>
          <cell r="F9" t="str">
            <v>TDK Corporation</v>
          </cell>
          <cell r="G9">
            <v>5.7000000000000002E-2</v>
          </cell>
        </row>
        <row r="10">
          <cell r="C10" t="str">
            <v>CGA5L2X7R2A105K160DE</v>
          </cell>
          <cell r="D10" t="str">
            <v>CAP,X7R,1.0uF,100V,10%,1206(3216),AEC-Q</v>
          </cell>
          <cell r="E10">
            <v>2</v>
          </cell>
          <cell r="F10" t="str">
            <v>TDK Corporation</v>
          </cell>
          <cell r="G10">
            <v>8.5999999999999993E-2</v>
          </cell>
        </row>
        <row r="11">
          <cell r="C11" t="str">
            <v>KAF31GR72A105KU</v>
          </cell>
          <cell r="D11" t="str">
            <v>CAP,X7R,1.0uF,100V,10%,1206(3216),AEC-Q</v>
          </cell>
          <cell r="E11">
            <v>2</v>
          </cell>
          <cell r="F11" t="str">
            <v>KYOCERA AVX</v>
          </cell>
          <cell r="G11">
            <v>8.7999999999999995E-2</v>
          </cell>
        </row>
        <row r="12">
          <cell r="C12" t="str">
            <v>SZMMBZ6V8ALT1G</v>
          </cell>
          <cell r="D12" t="str">
            <v>TVS,4.5V,24W,UNI-DIR,DUAL,SOT23,AEC-Q</v>
          </cell>
          <cell r="E12">
            <v>1</v>
          </cell>
          <cell r="F12" t="str">
            <v>Onsemi</v>
          </cell>
          <cell r="G12">
            <v>3.1710000000000002E-2</v>
          </cell>
        </row>
        <row r="13">
          <cell r="C13" t="str">
            <v>AD3301WBCPZ-AA-RL</v>
          </cell>
          <cell r="E13">
            <v>1</v>
          </cell>
          <cell r="F13" t="str">
            <v>ADI</v>
          </cell>
          <cell r="G13">
            <v>0.83499999999999996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M report格式"/>
      <sheetName val="Sheet1"/>
      <sheetName val="Sheet12"/>
      <sheetName val="Sheet8"/>
      <sheetName val="Sheet7"/>
      <sheetName val="Sheet4"/>
      <sheetName val="Sheet5"/>
      <sheetName val="Sheet2"/>
      <sheetName val="Sheet3"/>
      <sheetName val="Sheet6"/>
      <sheetName val="Sheet10"/>
    </sheetNames>
    <sheetDataSet>
      <sheetData sheetId="0">
        <row r="2">
          <cell r="B2" t="str">
            <v>AC0603KRX7R0BB103</v>
          </cell>
        </row>
      </sheetData>
      <sheetData sheetId="1">
        <row r="2">
          <cell r="D2" t="str">
            <v>AC0603KRX7R0BB103</v>
          </cell>
        </row>
        <row r="3">
          <cell r="D3" t="str">
            <v>CL10B103KC8WPNC</v>
          </cell>
        </row>
        <row r="4">
          <cell r="D4" t="str">
            <v>GCM188R72A103KA37D</v>
          </cell>
        </row>
        <row r="5">
          <cell r="D5" t="str">
            <v>HMK107B7103KAHT</v>
          </cell>
        </row>
        <row r="6">
          <cell r="D6" t="str">
            <v>MCASH168SB7103KTNA01</v>
          </cell>
        </row>
        <row r="7">
          <cell r="D7" t="str">
            <v>MAASH168SB7103KTCA01</v>
          </cell>
        </row>
        <row r="8">
          <cell r="D8" t="str">
            <v>CGA3E2X7R2A103K080AA</v>
          </cell>
        </row>
        <row r="9">
          <cell r="D9" t="str">
            <v>GCM155R71H104KE02D</v>
          </cell>
        </row>
        <row r="10">
          <cell r="D10" t="str">
            <v>CL05B104KB54PNC</v>
          </cell>
        </row>
        <row r="11">
          <cell r="D11" t="str">
            <v>GCM155R71H104KE02J</v>
          </cell>
        </row>
        <row r="12">
          <cell r="D12" t="str">
            <v>MCASU105SB7104KFNA01</v>
          </cell>
        </row>
        <row r="13">
          <cell r="D13" t="str">
            <v>CGA2B3X7R1H104K050BB</v>
          </cell>
        </row>
        <row r="14">
          <cell r="D14" t="str">
            <v>GCM033R71A103KA03D</v>
          </cell>
        </row>
        <row r="15">
          <cell r="D15" t="str">
            <v>GCM033R71A103KA03J</v>
          </cell>
        </row>
        <row r="16">
          <cell r="D16" t="str">
            <v>CGA1A2X7R1A103K030BA</v>
          </cell>
        </row>
        <row r="17">
          <cell r="D17" t="str">
            <v>HMJ107BB7104KAHT</v>
          </cell>
        </row>
        <row r="18">
          <cell r="D18" t="str">
            <v>MCJCH168BB7104KTPA01</v>
          </cell>
        </row>
        <row r="19">
          <cell r="D19" t="str">
            <v>GCJ188R72A104KA01D</v>
          </cell>
        </row>
        <row r="20">
          <cell r="D20" t="str">
            <v>GCM033C71A104KE02D</v>
          </cell>
        </row>
        <row r="21">
          <cell r="D21" t="str">
            <v>GCM033C71A104KE02J</v>
          </cell>
        </row>
        <row r="22">
          <cell r="D22" t="str">
            <v>GCM21BR71E225KA73L</v>
          </cell>
        </row>
        <row r="23">
          <cell r="D23" t="str">
            <v>CGA4J3X7R1E225K125AB</v>
          </cell>
        </row>
        <row r="24">
          <cell r="D24" t="str">
            <v>MCASJ21GAB7106KTNA01</v>
          </cell>
        </row>
        <row r="25">
          <cell r="D25" t="str">
            <v>GCM21BR70J106KE22L</v>
          </cell>
        </row>
        <row r="26">
          <cell r="D26" t="str">
            <v>CGA4J1X7R0J106K125AC</v>
          </cell>
        </row>
        <row r="27">
          <cell r="D27" t="str">
            <v>C0805C106K9RACAUTO</v>
          </cell>
        </row>
        <row r="28">
          <cell r="D28" t="str">
            <v>CL31B106KAHVPNE</v>
          </cell>
        </row>
        <row r="29">
          <cell r="D29" t="str">
            <v>CGA5L1X7R1E106K160AC</v>
          </cell>
        </row>
        <row r="30">
          <cell r="D30" t="str">
            <v>CGA2B3X7S2A103K050BB</v>
          </cell>
        </row>
        <row r="31">
          <cell r="D31" t="str">
            <v>GCM1885C2A221JA16D</v>
          </cell>
        </row>
        <row r="32">
          <cell r="D32" t="str">
            <v>CL10B105KA8VPNC</v>
          </cell>
        </row>
        <row r="33">
          <cell r="D33" t="str">
            <v>GCM188R71E105KA64D</v>
          </cell>
        </row>
        <row r="34">
          <cell r="D34" t="str">
            <v>CGA3E1X7R1E105K080AC</v>
          </cell>
        </row>
        <row r="35">
          <cell r="D35" t="str">
            <v>GCJ188C70J475KE02D</v>
          </cell>
        </row>
        <row r="36">
          <cell r="D36" t="str">
            <v>GCJ188C70J475KE02J</v>
          </cell>
        </row>
        <row r="37">
          <cell r="D37" t="str">
            <v>KAM05CR71A105KH</v>
          </cell>
        </row>
        <row r="38">
          <cell r="D38" t="str">
            <v>MCASU063SCG180JFNA01</v>
          </cell>
        </row>
        <row r="39">
          <cell r="D39" t="str">
            <v>GCM0335C1H180JA16D</v>
          </cell>
        </row>
        <row r="40">
          <cell r="D40" t="str">
            <v>GCM0335C1H180JA16J</v>
          </cell>
        </row>
        <row r="41">
          <cell r="D41" t="str">
            <v>CGA1A2C0G1H180J030BA</v>
          </cell>
        </row>
        <row r="42">
          <cell r="D42" t="str">
            <v>CL32Y106KCV6PNE</v>
          </cell>
        </row>
        <row r="43">
          <cell r="D43" t="str">
            <v>GCM32EC72A106KEC2L</v>
          </cell>
        </row>
        <row r="44">
          <cell r="D44" t="str">
            <v>HMK107B7472KAHT</v>
          </cell>
        </row>
        <row r="45">
          <cell r="D45" t="str">
            <v>MCASH168SB7472KTNA01</v>
          </cell>
        </row>
        <row r="46">
          <cell r="D46" t="str">
            <v>C0603C472K1RACAUTO</v>
          </cell>
        </row>
        <row r="47">
          <cell r="D47" t="str">
            <v>GCM188R72A472KA37D</v>
          </cell>
        </row>
        <row r="48">
          <cell r="D48" t="str">
            <v>CGA3E2X7R2A472K080AA</v>
          </cell>
        </row>
        <row r="49">
          <cell r="D49" t="str">
            <v>CL10B472KC8WPNC</v>
          </cell>
        </row>
        <row r="50">
          <cell r="D50" t="str">
            <v>AC1206KKX7R0BB105</v>
          </cell>
        </row>
        <row r="51">
          <cell r="D51" t="str">
            <v>CL31B105KCHVPNE</v>
          </cell>
        </row>
        <row r="52">
          <cell r="D52" t="str">
            <v>GCM31CR72A105KA03K</v>
          </cell>
        </row>
        <row r="53">
          <cell r="D53" t="str">
            <v>GCM31CR72A105KA03L</v>
          </cell>
        </row>
        <row r="54">
          <cell r="D54" t="str">
            <v>C1206C105K1RACAUTO</v>
          </cell>
        </row>
        <row r="55">
          <cell r="D55" t="str">
            <v>C1206C105K1RACAUTO7210</v>
          </cell>
        </row>
        <row r="56">
          <cell r="D56" t="str">
            <v>12061C105K4T2A</v>
          </cell>
        </row>
        <row r="57">
          <cell r="D57" t="str">
            <v>12061C105K4T4A</v>
          </cell>
        </row>
        <row r="58">
          <cell r="D58" t="str">
            <v>MAASH21GSB7224KTNA01</v>
          </cell>
        </row>
        <row r="59">
          <cell r="D59" t="str">
            <v>MCASH21GSB7224KTNA01</v>
          </cell>
        </row>
        <row r="60">
          <cell r="D60" t="str">
            <v>C0805C224K1RACAUTO</v>
          </cell>
        </row>
        <row r="61">
          <cell r="D61" t="str">
            <v>C0805C224K1RACAUTO7210</v>
          </cell>
        </row>
        <row r="62">
          <cell r="D62" t="str">
            <v>CL21B224KCQVPNE</v>
          </cell>
        </row>
        <row r="63">
          <cell r="D63" t="str">
            <v>08051C224K4T2A</v>
          </cell>
        </row>
        <row r="64">
          <cell r="D64" t="str">
            <v>A771KS476M1JLAS020</v>
          </cell>
        </row>
        <row r="65">
          <cell r="D65" t="str">
            <v>63FVF47M+P</v>
          </cell>
        </row>
        <row r="66">
          <cell r="D66" t="str">
            <v>PCA1J470MCL1GS</v>
          </cell>
        </row>
        <row r="67">
          <cell r="D67" t="str">
            <v>EEH-ZT1J470P</v>
          </cell>
        </row>
        <row r="68">
          <cell r="D68" t="str">
            <v>GCM033R71E331KA03D</v>
          </cell>
        </row>
        <row r="69">
          <cell r="D69" t="str">
            <v>GCM033R71E331KA03J</v>
          </cell>
        </row>
        <row r="70">
          <cell r="D70" t="str">
            <v>CGA1A2X7R1E331K030BA</v>
          </cell>
        </row>
        <row r="71">
          <cell r="D71" t="str">
            <v>UUD1E221MNL1GS</v>
          </cell>
        </row>
        <row r="72">
          <cell r="D72" t="str">
            <v>EMVY250ARA221MHA0G</v>
          </cell>
        </row>
        <row r="73">
          <cell r="D73" t="str">
            <v>MAL215097612E3</v>
          </cell>
        </row>
        <row r="74">
          <cell r="D74" t="str">
            <v>CGA3E1X7T0J106M080AC</v>
          </cell>
        </row>
        <row r="75">
          <cell r="D75" t="str">
            <v>GCM188D70J106ME36D</v>
          </cell>
        </row>
        <row r="76">
          <cell r="D76" t="str">
            <v>GCM188D70J106ME36J</v>
          </cell>
        </row>
        <row r="77">
          <cell r="D77" t="str">
            <v>DESD1CAN2SOQ-7</v>
          </cell>
        </row>
        <row r="78">
          <cell r="D78" t="str">
            <v>DESD1CAN2SOQ-7-52</v>
          </cell>
        </row>
        <row r="79">
          <cell r="D79" t="str">
            <v>SESDONCAN1LT3G</v>
          </cell>
        </row>
        <row r="80">
          <cell r="D80" t="str">
            <v>AQ24CANA-02HTG</v>
          </cell>
        </row>
        <row r="81">
          <cell r="D81" t="str">
            <v>SM24CANA-02HTG</v>
          </cell>
        </row>
        <row r="82">
          <cell r="D82" t="str">
            <v>CDSOT23-T24CAN-Q</v>
          </cell>
        </row>
        <row r="83">
          <cell r="D83" t="str">
            <v>PESD2CANFD24VT-QR</v>
          </cell>
        </row>
        <row r="84">
          <cell r="D84" t="str">
            <v>PESD1CAN_215</v>
          </cell>
        </row>
        <row r="85">
          <cell r="D85" t="str">
            <v>NSVR02100HT1G</v>
          </cell>
        </row>
        <row r="86">
          <cell r="D86" t="str">
            <v>ESD601DPYRQ1</v>
          </cell>
        </row>
        <row r="87">
          <cell r="D87" t="str">
            <v>SMAJ54AQ-13-F</v>
          </cell>
        </row>
        <row r="88">
          <cell r="D88" t="str">
            <v>SMAJ54AQ-13-F-52</v>
          </cell>
        </row>
        <row r="89">
          <cell r="D89" t="str">
            <v>SMAJ54AQ-13-F-52-N</v>
          </cell>
        </row>
        <row r="90">
          <cell r="D90" t="str">
            <v>SMAJ54A-Q</v>
          </cell>
        </row>
        <row r="91">
          <cell r="D91" t="str">
            <v>STPS2L60ZFY</v>
          </cell>
        </row>
        <row r="92">
          <cell r="D92" t="str">
            <v>DFLS2100Q-7</v>
          </cell>
        </row>
        <row r="93">
          <cell r="D93" t="str">
            <v>DFLS2100Q-7-52</v>
          </cell>
        </row>
        <row r="94">
          <cell r="D94" t="str">
            <v>BCL322520RT-220M-D</v>
          </cell>
        </row>
        <row r="95">
          <cell r="D95" t="str">
            <v>ACT1210E-241-2P</v>
          </cell>
        </row>
        <row r="96">
          <cell r="D96" t="str">
            <v>MAT-06CZE220M-V2-CY</v>
          </cell>
        </row>
        <row r="97">
          <cell r="D97" t="str">
            <v>SQ2337ES-T1_GE3</v>
          </cell>
        </row>
        <row r="98">
          <cell r="D98" t="str">
            <v>BSS123Q-13</v>
          </cell>
        </row>
        <row r="99">
          <cell r="D99" t="str">
            <v>BSS123Q-7</v>
          </cell>
        </row>
        <row r="100">
          <cell r="D100" t="str">
            <v>BSS123NH6433XTMA1</v>
          </cell>
        </row>
        <row r="101">
          <cell r="D101" t="str">
            <v>BSS123NH6327XTSA1</v>
          </cell>
        </row>
        <row r="102">
          <cell r="D102" t="str">
            <v>DMC3061SVTQ-13</v>
          </cell>
        </row>
        <row r="103">
          <cell r="D103" t="str">
            <v>DMC3061SVTQ-13-52</v>
          </cell>
        </row>
        <row r="104">
          <cell r="D104" t="str">
            <v>DMC3061SVTQ-7</v>
          </cell>
        </row>
        <row r="105">
          <cell r="D105" t="str">
            <v>DMC3061SVTQ-7-52</v>
          </cell>
        </row>
        <row r="106">
          <cell r="D106" t="str">
            <v>DMC3061SVTQ-13-52-N</v>
          </cell>
        </row>
        <row r="107">
          <cell r="D107" t="str">
            <v>DMC3061SVTQ-7-52-N</v>
          </cell>
        </row>
        <row r="108">
          <cell r="D108" t="str">
            <v>PJS6603-AU</v>
          </cell>
        </row>
        <row r="109">
          <cell r="D109" t="str">
            <v>PJS6603-AU_S1_008A1</v>
          </cell>
        </row>
        <row r="110">
          <cell r="D110" t="str">
            <v>CRCW0402560RFKED</v>
          </cell>
        </row>
        <row r="111">
          <cell r="D111" t="str">
            <v>AC0402FR-07560RL</v>
          </cell>
        </row>
        <row r="112">
          <cell r="D112" t="str">
            <v>RK73H1ETTP5600F</v>
          </cell>
        </row>
        <row r="113">
          <cell r="D113" t="str">
            <v>RMCH10K561FTH</v>
          </cell>
        </row>
        <row r="114">
          <cell r="D114" t="str">
            <v>AC0201FR-0710KL</v>
          </cell>
        </row>
        <row r="115">
          <cell r="D115" t="str">
            <v>RMCH06-103FPA</v>
          </cell>
        </row>
        <row r="116">
          <cell r="D116" t="str">
            <v>RK73H1HTTC1002F</v>
          </cell>
        </row>
        <row r="117">
          <cell r="D117" t="str">
            <v>ERJ1GJF1002C</v>
          </cell>
        </row>
        <row r="118">
          <cell r="D118" t="str">
            <v>AC0201FR-0747KL</v>
          </cell>
        </row>
        <row r="119">
          <cell r="D119" t="str">
            <v>RK73H1HTTC4702F</v>
          </cell>
        </row>
        <row r="120">
          <cell r="D120" t="str">
            <v>RMCH06-473FPA</v>
          </cell>
        </row>
        <row r="121">
          <cell r="D121" t="str">
            <v>ERJ1GJF4702C</v>
          </cell>
        </row>
        <row r="122">
          <cell r="D122" t="str">
            <v>AC0201FR-07100RL</v>
          </cell>
        </row>
        <row r="123">
          <cell r="D123" t="str">
            <v>RK73H1HTTC1000F</v>
          </cell>
        </row>
        <row r="124">
          <cell r="D124" t="str">
            <v>RMCH06-101FPA</v>
          </cell>
        </row>
        <row r="125">
          <cell r="D125" t="str">
            <v>ERJ1GJF1000C</v>
          </cell>
        </row>
        <row r="126">
          <cell r="D126" t="str">
            <v>AC0201FR-074K7L</v>
          </cell>
        </row>
        <row r="127">
          <cell r="D127" t="str">
            <v>RMCH06-472FPA</v>
          </cell>
        </row>
        <row r="128">
          <cell r="D128" t="str">
            <v>RK73H1HTTC4701F</v>
          </cell>
        </row>
        <row r="129">
          <cell r="D129" t="str">
            <v>ERJ1GJF4701C</v>
          </cell>
        </row>
        <row r="130">
          <cell r="D130" t="str">
            <v>CRCW04020000Z0ED</v>
          </cell>
        </row>
        <row r="131">
          <cell r="D131" t="str">
            <v>AC0402JR-070RL</v>
          </cell>
        </row>
        <row r="132">
          <cell r="D132" t="str">
            <v>RMCH10JPTH</v>
          </cell>
        </row>
        <row r="133">
          <cell r="D133" t="str">
            <v>RK73Z1ETTP</v>
          </cell>
        </row>
        <row r="134">
          <cell r="D134" t="str">
            <v>ERJ2GE0R00X</v>
          </cell>
        </row>
        <row r="135">
          <cell r="D135" t="str">
            <v>RMCH06-102DPA</v>
          </cell>
        </row>
        <row r="136">
          <cell r="D136" t="str">
            <v>RK73H1HTTC1001D</v>
          </cell>
        </row>
        <row r="137">
          <cell r="D137" t="str">
            <v>AC0201FR-07100KL</v>
          </cell>
        </row>
        <row r="138">
          <cell r="D138" t="str">
            <v>RK73H1HTTC1003F</v>
          </cell>
        </row>
        <row r="139">
          <cell r="D139" t="str">
            <v>ERJ1GJF1003C</v>
          </cell>
        </row>
        <row r="140">
          <cell r="D140" t="str">
            <v>AC0201FR-073K3L</v>
          </cell>
        </row>
        <row r="141">
          <cell r="D141" t="str">
            <v>RK73H1HTTC3301F</v>
          </cell>
        </row>
        <row r="142">
          <cell r="D142" t="str">
            <v>RMCH06-332FPA</v>
          </cell>
        </row>
        <row r="143">
          <cell r="D143" t="str">
            <v>ERJ1GJF3301C</v>
          </cell>
        </row>
        <row r="144">
          <cell r="D144" t="str">
            <v>AC0201FR-0724K9L</v>
          </cell>
        </row>
        <row r="145">
          <cell r="D145" t="str">
            <v>RK73H1HTTC2492F</v>
          </cell>
        </row>
        <row r="146">
          <cell r="D146" t="str">
            <v>RMCH06-2492FPA</v>
          </cell>
        </row>
        <row r="147">
          <cell r="D147" t="str">
            <v>ERJ1GJF2492C</v>
          </cell>
        </row>
        <row r="148">
          <cell r="D148" t="str">
            <v>ERJ-2BWFR100X</v>
          </cell>
        </row>
        <row r="149">
          <cell r="D149" t="str">
            <v>AC0201JR-070RL</v>
          </cell>
        </row>
        <row r="150">
          <cell r="D150" t="str">
            <v>RK73Z1HTTCM</v>
          </cell>
        </row>
        <row r="151">
          <cell r="D151" t="str">
            <v>ERJ1GJ0R00C</v>
          </cell>
        </row>
        <row r="152">
          <cell r="D152" t="str">
            <v>RMCH06JPPA</v>
          </cell>
        </row>
        <row r="153">
          <cell r="D153" t="str">
            <v>RCC02010000Z0ED</v>
          </cell>
        </row>
        <row r="154">
          <cell r="D154" t="str">
            <v>CRCW040233K0FKED</v>
          </cell>
        </row>
        <row r="155">
          <cell r="D155" t="str">
            <v>AC0402FR-0733KL</v>
          </cell>
        </row>
        <row r="156">
          <cell r="D156" t="str">
            <v>RMCH10K333FTH</v>
          </cell>
        </row>
        <row r="157">
          <cell r="D157" t="str">
            <v>RK73H1ETTP3302F</v>
          </cell>
        </row>
        <row r="158">
          <cell r="D158" t="str">
            <v>CRCW0603100KFKEA</v>
          </cell>
        </row>
        <row r="159">
          <cell r="D159" t="str">
            <v>AC0603FR-07100KL</v>
          </cell>
        </row>
        <row r="160">
          <cell r="D160" t="str">
            <v>RMCH16K104FTP</v>
          </cell>
        </row>
        <row r="161">
          <cell r="D161" t="str">
            <v>RK73H1JTTD1003F</v>
          </cell>
        </row>
        <row r="162">
          <cell r="D162" t="str">
            <v>CRCW04024K99FKED</v>
          </cell>
        </row>
        <row r="163">
          <cell r="D163" t="str">
            <v>RMCH10K4991FTH</v>
          </cell>
        </row>
        <row r="164">
          <cell r="D164" t="str">
            <v>RK73H1ETTP4991F</v>
          </cell>
        </row>
        <row r="165">
          <cell r="D165" t="str">
            <v>ERJ-2RKF4991X</v>
          </cell>
        </row>
        <row r="166">
          <cell r="D166" t="str">
            <v>CRCW04020000Z0ED</v>
          </cell>
        </row>
        <row r="167">
          <cell r="D167" t="str">
            <v>AC0402JR-070RL</v>
          </cell>
        </row>
        <row r="168">
          <cell r="D168" t="str">
            <v>RMCH10JPTH</v>
          </cell>
        </row>
        <row r="169">
          <cell r="D169" t="str">
            <v>RK73Z1ETTP</v>
          </cell>
        </row>
        <row r="170">
          <cell r="D170" t="str">
            <v>ERJ2GE0R00X</v>
          </cell>
        </row>
        <row r="171">
          <cell r="D171" t="str">
            <v>CRCW060349R9FKEA</v>
          </cell>
        </row>
        <row r="172">
          <cell r="D172" t="str">
            <v>AC0603FR-0749R9L</v>
          </cell>
        </row>
        <row r="173">
          <cell r="D173" t="str">
            <v>RK73H1JTTD49R9F</v>
          </cell>
        </row>
        <row r="174">
          <cell r="D174" t="str">
            <v>RMCH16K49R9FTP</v>
          </cell>
        </row>
        <row r="175">
          <cell r="D175" t="str">
            <v>CRCW0402100KFKED</v>
          </cell>
        </row>
        <row r="176">
          <cell r="D176" t="str">
            <v>AC0402FR-07100KL</v>
          </cell>
        </row>
        <row r="177">
          <cell r="D177" t="str">
            <v>RMCH10K104FTH</v>
          </cell>
        </row>
        <row r="178">
          <cell r="D178" t="str">
            <v>RK73H1ETTP1003F</v>
          </cell>
        </row>
        <row r="179">
          <cell r="D179" t="str">
            <v>ERJ-2RKF1003X</v>
          </cell>
        </row>
        <row r="180">
          <cell r="D180" t="str">
            <v>CRCW25121R00KNEGIF</v>
          </cell>
        </row>
        <row r="181">
          <cell r="D181" t="str">
            <v>SR2512KK-071RL</v>
          </cell>
        </row>
        <row r="182">
          <cell r="D182" t="str">
            <v>RPC2512JT1R00</v>
          </cell>
        </row>
        <row r="183">
          <cell r="D183" t="str">
            <v>SG73W3ATTE1R0K</v>
          </cell>
        </row>
        <row r="184">
          <cell r="D184" t="str">
            <v>AC0201FR-0726K7L</v>
          </cell>
        </row>
        <row r="185">
          <cell r="D185" t="str">
            <v>RK73H1HTTC2672F</v>
          </cell>
        </row>
        <row r="186">
          <cell r="D186" t="str">
            <v>RMCH06-2672FPA</v>
          </cell>
        </row>
        <row r="187">
          <cell r="D187" t="str">
            <v>ERJ1GJF2672C</v>
          </cell>
        </row>
        <row r="188">
          <cell r="D188" t="str">
            <v>RK73H1HTTC9092D</v>
          </cell>
        </row>
        <row r="189">
          <cell r="D189" t="str">
            <v>RMCH06-9092DPA</v>
          </cell>
        </row>
        <row r="190">
          <cell r="D190" t="str">
            <v>AC0201FR-0757K6L</v>
          </cell>
        </row>
        <row r="191">
          <cell r="D191" t="str">
            <v>ERJ1GJF5762C</v>
          </cell>
        </row>
        <row r="192">
          <cell r="D192" t="str">
            <v>RK73H1HTTC5762F</v>
          </cell>
        </row>
        <row r="193">
          <cell r="D193" t="str">
            <v>RMCH06-5762FPA</v>
          </cell>
        </row>
        <row r="194">
          <cell r="D194" t="str">
            <v>CRCW0603510RFKEA</v>
          </cell>
        </row>
        <row r="195">
          <cell r="D195" t="str">
            <v>AC0603FR-07510RL</v>
          </cell>
        </row>
        <row r="196">
          <cell r="D196" t="str">
            <v>RK73H1JTTD5100F</v>
          </cell>
        </row>
        <row r="197">
          <cell r="D197" t="str">
            <v>RMCH16K511FTP</v>
          </cell>
        </row>
        <row r="198">
          <cell r="D198" t="str">
            <v>AC0201FR-0714K7L</v>
          </cell>
        </row>
        <row r="199">
          <cell r="D199" t="str">
            <v>RK73H1HTTC1472F</v>
          </cell>
        </row>
        <row r="200">
          <cell r="D200" t="str">
            <v>RMCH06-1472FPA</v>
          </cell>
        </row>
        <row r="201">
          <cell r="D201" t="str">
            <v>ERJ1GJF1472C</v>
          </cell>
        </row>
        <row r="202">
          <cell r="D202" t="str">
            <v>AC0201FR-0711KL</v>
          </cell>
        </row>
        <row r="203">
          <cell r="D203" t="str">
            <v>RK73H1HTTC1102F</v>
          </cell>
        </row>
        <row r="204">
          <cell r="D204" t="str">
            <v>RMCH06-113FPA</v>
          </cell>
        </row>
        <row r="205">
          <cell r="D205" t="str">
            <v>ERJ1GJF1102C</v>
          </cell>
        </row>
        <row r="206">
          <cell r="D206" t="str">
            <v>AC0201FR-072K2L</v>
          </cell>
        </row>
        <row r="207">
          <cell r="D207" t="str">
            <v>RK73H1HTTC2201F</v>
          </cell>
        </row>
        <row r="208">
          <cell r="D208" t="str">
            <v>RMCH06-222FPA</v>
          </cell>
        </row>
        <row r="209">
          <cell r="D209" t="str">
            <v>ERJ1GJF2201C</v>
          </cell>
        </row>
        <row r="210">
          <cell r="D210" t="str">
            <v>AC0201FR-07330KL</v>
          </cell>
        </row>
        <row r="211">
          <cell r="D211" t="str">
            <v>RK73H1HTTC3303F</v>
          </cell>
        </row>
        <row r="212">
          <cell r="D212" t="str">
            <v>ERJ1GJF3303C</v>
          </cell>
        </row>
        <row r="213">
          <cell r="D213" t="str">
            <v>RMCH06-334FPA</v>
          </cell>
        </row>
        <row r="214">
          <cell r="D214" t="str">
            <v>CRCW0603220KFKEA</v>
          </cell>
        </row>
        <row r="215">
          <cell r="D215" t="str">
            <v>AC0603FR-07220KL</v>
          </cell>
        </row>
        <row r="216">
          <cell r="D216" t="str">
            <v>RK73H1JTTD2203F</v>
          </cell>
        </row>
        <row r="217">
          <cell r="D217" t="str">
            <v>RMCH16K224FTP</v>
          </cell>
        </row>
        <row r="218">
          <cell r="D218" t="str">
            <v>AC0201FR-076K8L</v>
          </cell>
        </row>
        <row r="219">
          <cell r="D219" t="str">
            <v>RK73H1HTTC6801F</v>
          </cell>
        </row>
        <row r="220">
          <cell r="D220" t="str">
            <v>RMCH06-682FPA</v>
          </cell>
        </row>
        <row r="221">
          <cell r="D221" t="str">
            <v>ERJ1GJF6801C</v>
          </cell>
        </row>
        <row r="222">
          <cell r="D222" t="str">
            <v>TPS1HC100BQPWPRQ1</v>
          </cell>
        </row>
        <row r="223">
          <cell r="D223" t="str">
            <v>TPS7B4255QDBVRQ1</v>
          </cell>
        </row>
        <row r="224">
          <cell r="D224" t="str">
            <v>LMR36503MSCQRPERQ1</v>
          </cell>
        </row>
        <row r="225">
          <cell r="D225" t="str">
            <v>INA241A3QDDFRQ1</v>
          </cell>
        </row>
        <row r="226">
          <cell r="D226" t="str">
            <v>TCA9517DGKRQ1</v>
          </cell>
        </row>
        <row r="227">
          <cell r="D227" t="str">
            <v>TMUX1308QBQBRQ1</v>
          </cell>
        </row>
        <row r="228">
          <cell r="D228" t="str">
            <v>AD3301WBPCZ-AA-RL</v>
          </cell>
        </row>
        <row r="229">
          <cell r="D229" t="str">
            <v>TCAL9539RTWRQ1.A</v>
          </cell>
        </row>
        <row r="230">
          <cell r="D230" t="str">
            <v>LMR38025SQDRRRQ1</v>
          </cell>
        </row>
        <row r="231">
          <cell r="D231" t="str">
            <v>LP2951-50QDRM3Q1</v>
          </cell>
        </row>
        <row r="232">
          <cell r="D232" t="str">
            <v>NCV2951CDR2G</v>
          </cell>
        </row>
        <row r="233">
          <cell r="D233" t="str">
            <v>TPS1HTC30AQPWPRQ1</v>
          </cell>
        </row>
        <row r="234">
          <cell r="D234" t="str">
            <v>LM2904BQDGKRQ1</v>
          </cell>
        </row>
        <row r="235">
          <cell r="D235" t="str">
            <v>LM2904BYST</v>
          </cell>
        </row>
        <row r="236">
          <cell r="D236" t="str">
            <v>SHT41A-BD1B-R3</v>
          </cell>
        </row>
        <row r="237">
          <cell r="D237" t="str">
            <v>SHT41A-BD1B-R2</v>
          </cell>
        </row>
        <row r="238">
          <cell r="D238" t="str">
            <v>OPT4003DNPRQ1</v>
          </cell>
        </row>
        <row r="239">
          <cell r="D239" t="str">
            <v>1C325000BE0A</v>
          </cell>
        </row>
      </sheetData>
      <sheetData sheetId="2"/>
      <sheetData sheetId="3"/>
      <sheetData sheetId="4"/>
      <sheetData sheetId="5"/>
      <sheetData sheetId="6"/>
      <sheetData sheetId="7"/>
      <sheetData sheetId="8"/>
      <sheetData sheetId="9"/>
      <sheetData sheetId="10">
        <row r="1">
          <cell r="B1" t="str">
            <v>Part name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amp;Assumption"/>
      <sheetName val="MX 2 shifts1"/>
      <sheetName val="Main sheet_SMT and Assembly"/>
      <sheetName val="Solder paste"/>
      <sheetName val="P035 RFQ_ (B面)"/>
      <sheetName val="P035  RFQ（T面） "/>
      <sheetName val="P035 RFQ AXI "/>
      <sheetName val="P035  RFQ（ICT） "/>
      <sheetName val="P035  RFQ（Depanel)"/>
      <sheetName val="P035  RFQ（FVT) "/>
      <sheetName val="EEBOM 512 "/>
      <sheetName val="Process Concept Oct09version"/>
      <sheetName val="P035 0903 version"/>
      <sheetName val="tooling cost analysis"/>
      <sheetName val="Packing"/>
      <sheetName val="Exchange Rate"/>
      <sheetName val="TLA Investment  "/>
    </sheetNames>
    <sheetDataSet>
      <sheetData sheetId="0"/>
      <sheetData sheetId="1"/>
      <sheetData sheetId="2"/>
      <sheetData sheetId="3"/>
      <sheetData sheetId="4"/>
      <sheetData sheetId="5"/>
      <sheetData sheetId="6"/>
      <sheetData sheetId="7"/>
      <sheetData sheetId="8"/>
      <sheetData sheetId="9"/>
      <sheetData sheetId="10">
        <row r="3">
          <cell r="D3" t="str">
            <v>GCM21BR71E225KA73L</v>
          </cell>
        </row>
        <row r="4">
          <cell r="D4" t="str">
            <v>CGA4J3X7R1E225K125AB</v>
          </cell>
        </row>
        <row r="5">
          <cell r="D5" t="str">
            <v>PESD1LIN,115</v>
          </cell>
        </row>
        <row r="6">
          <cell r="D6" t="str">
            <v>NXP&amp;PESD1LIN,115</v>
          </cell>
        </row>
        <row r="7">
          <cell r="D7" t="str">
            <v>CGA3E2X7R2A472K080AA</v>
          </cell>
        </row>
        <row r="8">
          <cell r="D8" t="str">
            <v>C0603C472K1RACAUTO</v>
          </cell>
        </row>
        <row r="9">
          <cell r="D9" t="str">
            <v>GCM188R72A472KA37D</v>
          </cell>
        </row>
        <row r="10">
          <cell r="D10" t="str">
            <v>HMK107B7472KAHT</v>
          </cell>
        </row>
        <row r="11">
          <cell r="D11" t="str">
            <v>MCASH168SB7472KTNA01</v>
          </cell>
        </row>
        <row r="12">
          <cell r="D12" t="str">
            <v>CL10B472KC8WPNC</v>
          </cell>
        </row>
        <row r="13">
          <cell r="D13" t="str">
            <v>TPS1HC100BQPWPRQ1</v>
          </cell>
        </row>
        <row r="14">
          <cell r="D14" t="str">
            <v>BAT46WJ-QF</v>
          </cell>
        </row>
        <row r="15">
          <cell r="D15" t="str">
            <v>BAT46WJ-QX</v>
          </cell>
        </row>
        <row r="16">
          <cell r="D16" t="str">
            <v>Samsung&amp;CL05B104KB54PNC</v>
          </cell>
        </row>
        <row r="17">
          <cell r="D17" t="str">
            <v>GCM155R71H104KE02J</v>
          </cell>
        </row>
        <row r="18">
          <cell r="D18" t="str">
            <v>CGA2B3X7R1H104K050BB</v>
          </cell>
        </row>
        <row r="19">
          <cell r="D19" t="str">
            <v>GCM155R71H104KE02D</v>
          </cell>
        </row>
        <row r="20">
          <cell r="D20" t="str">
            <v>MCASU105SB7104KFNA01</v>
          </cell>
        </row>
        <row r="21">
          <cell r="D21" t="str">
            <v>RCC020147K0FKED</v>
          </cell>
        </row>
        <row r="22">
          <cell r="D22" t="str">
            <v>ERJ1GJF4702C</v>
          </cell>
        </row>
        <row r="23">
          <cell r="D23" t="str">
            <v>RK73H1HTTC4702F</v>
          </cell>
        </row>
        <row r="24">
          <cell r="D24" t="str">
            <v>RMCH06-473FPA</v>
          </cell>
        </row>
        <row r="25">
          <cell r="D25" t="str">
            <v>AC0201FR-0747KL</v>
          </cell>
        </row>
        <row r="26">
          <cell r="D26" t="str">
            <v>RCC0201100RFKED</v>
          </cell>
        </row>
        <row r="27">
          <cell r="D27" t="str">
            <v>RK73H1HTTC1000F</v>
          </cell>
        </row>
        <row r="28">
          <cell r="D28" t="str">
            <v>ERJ1GJF1000C</v>
          </cell>
        </row>
        <row r="29">
          <cell r="D29" t="str">
            <v>RMCH06-101FPA</v>
          </cell>
        </row>
        <row r="30">
          <cell r="D30" t="str">
            <v>AC0201FR-07100RL</v>
          </cell>
        </row>
        <row r="31">
          <cell r="D31" t="str">
            <v>CGA3E1X7R1E105K080AC</v>
          </cell>
        </row>
        <row r="32">
          <cell r="D32" t="str">
            <v>GCM188R71E105KA64D</v>
          </cell>
        </row>
        <row r="33">
          <cell r="D33" t="str">
            <v>CL10B105KA8VPNC</v>
          </cell>
        </row>
        <row r="34">
          <cell r="D34" t="str">
            <v>SHT41A-BD1B-R2</v>
          </cell>
        </row>
        <row r="35">
          <cell r="D35" t="str">
            <v>SHT41A-BD1B-R3</v>
          </cell>
        </row>
        <row r="36">
          <cell r="D36" t="str">
            <v>PCA1J470MCL1GS</v>
          </cell>
        </row>
        <row r="37">
          <cell r="D37" t="str">
            <v>EEH-ZT1J470P</v>
          </cell>
        </row>
        <row r="38">
          <cell r="D38" t="str">
            <v>63FVF47M+P</v>
          </cell>
        </row>
        <row r="39">
          <cell r="D39" t="str">
            <v>A771KS476M1JLAS020</v>
          </cell>
        </row>
        <row r="40">
          <cell r="D40" t="str">
            <v>MCASH21GSB7224KTNA01</v>
          </cell>
        </row>
        <row r="41">
          <cell r="D41" t="str">
            <v>CL21B224KCQVPNE</v>
          </cell>
        </row>
        <row r="42">
          <cell r="D42" t="str">
            <v>08051C224K4T2A</v>
          </cell>
        </row>
        <row r="43">
          <cell r="D43" t="str">
            <v>C0805C224K1RACAUTO7210</v>
          </cell>
        </row>
        <row r="44">
          <cell r="D44" t="str">
            <v>C0805C224K1RACAUTO</v>
          </cell>
        </row>
        <row r="45">
          <cell r="D45" t="str">
            <v>MAASH21GSB7224KTNA01</v>
          </cell>
        </row>
        <row r="46">
          <cell r="D46" t="str">
            <v>CL10B103KC8WPNC</v>
          </cell>
        </row>
        <row r="47">
          <cell r="D47" t="str">
            <v>HMK107B7103KAHT</v>
          </cell>
        </row>
        <row r="48">
          <cell r="D48" t="str">
            <v>AC0603KRX7R0BB103</v>
          </cell>
        </row>
        <row r="49">
          <cell r="D49" t="str">
            <v>CGA3E2X7R2A103K080AA</v>
          </cell>
        </row>
        <row r="50">
          <cell r="D50" t="str">
            <v>GCM188R72A103KA37D</v>
          </cell>
        </row>
        <row r="51">
          <cell r="D51" t="str">
            <v>MCASH168SB7103KTNA01</v>
          </cell>
        </row>
        <row r="52">
          <cell r="D52" t="str">
            <v>MAASH168SB7103KTCA01</v>
          </cell>
        </row>
        <row r="53">
          <cell r="D53" t="str">
            <v>GCM32EC72A106KEC2L</v>
          </cell>
        </row>
        <row r="54">
          <cell r="D54" t="str">
            <v>CL32Y106KCV6PNE</v>
          </cell>
        </row>
        <row r="55">
          <cell r="D55" t="str">
            <v>RMCH10JPTH</v>
          </cell>
        </row>
        <row r="56">
          <cell r="D56" t="str">
            <v>ERJ2GE0R00X</v>
          </cell>
        </row>
        <row r="57">
          <cell r="D57" t="str">
            <v>RK73Z1ETTP</v>
          </cell>
        </row>
        <row r="58">
          <cell r="D58" t="str">
            <v>CRCW04020000Z0ED</v>
          </cell>
        </row>
        <row r="59">
          <cell r="D59" t="str">
            <v>AC0402JR-070RL</v>
          </cell>
        </row>
        <row r="60">
          <cell r="D60" t="str">
            <v>SMAJ54A-Q</v>
          </cell>
        </row>
        <row r="61">
          <cell r="D61" t="str">
            <v>RK73H1HTTC1001D</v>
          </cell>
        </row>
        <row r="62">
          <cell r="D62" t="str">
            <v>RMCH06-102DPA</v>
          </cell>
        </row>
        <row r="63">
          <cell r="D63" t="str">
            <v>RK73H1JTTD49R9F</v>
          </cell>
        </row>
        <row r="64">
          <cell r="D64" t="str">
            <v>CRCW060349R9FKEA</v>
          </cell>
        </row>
        <row r="65">
          <cell r="D65" t="str">
            <v>RMCH16K49R9FTP</v>
          </cell>
        </row>
        <row r="66">
          <cell r="D66" t="str">
            <v>AC0603FR-0749R9L</v>
          </cell>
        </row>
        <row r="67">
          <cell r="D67" t="str">
            <v>CRCW0603510RFKEA</v>
          </cell>
        </row>
        <row r="68">
          <cell r="D68" t="str">
            <v>RK73H1JTTD5100F</v>
          </cell>
        </row>
        <row r="69">
          <cell r="D69" t="str">
            <v>RMCH16K511FTP</v>
          </cell>
        </row>
        <row r="70">
          <cell r="D70" t="str">
            <v>AC0603FR-07510RL</v>
          </cell>
        </row>
        <row r="71">
          <cell r="D71" t="str">
            <v>GCJ188R72A104KA01D</v>
          </cell>
        </row>
        <row r="72">
          <cell r="D72" t="str">
            <v>HMJ107BB7104KAHT</v>
          </cell>
        </row>
        <row r="73">
          <cell r="D73" t="str">
            <v>MCJCH168BB7104KTPA01</v>
          </cell>
        </row>
        <row r="74">
          <cell r="D74" t="str">
            <v>ESD601DPYRQ1</v>
          </cell>
        </row>
        <row r="75">
          <cell r="D75" t="str">
            <v>RCC020152K3FKED</v>
          </cell>
        </row>
        <row r="76">
          <cell r="D76" t="str">
            <v>RK73H1HTTC5232F</v>
          </cell>
        </row>
        <row r="77">
          <cell r="D77" t="str">
            <v>ERJ1GJF5232C</v>
          </cell>
        </row>
        <row r="78">
          <cell r="D78" t="str">
            <v>RMCH06-5232FPA</v>
          </cell>
        </row>
        <row r="79">
          <cell r="D79" t="str">
            <v>AC0201FR-0752K3L</v>
          </cell>
        </row>
        <row r="80">
          <cell r="D80" t="str">
            <v>BSS123Q-13</v>
          </cell>
        </row>
        <row r="81">
          <cell r="D81" t="str">
            <v>BSS123Q-7</v>
          </cell>
        </row>
        <row r="82">
          <cell r="D82" t="str">
            <v>BSS123NH6433XTMA1</v>
          </cell>
        </row>
        <row r="83">
          <cell r="D83" t="str">
            <v>BSS123NH6327XTSA1</v>
          </cell>
        </row>
        <row r="84">
          <cell r="D84" t="str">
            <v>TPS7B4255QDBVRQ1</v>
          </cell>
        </row>
        <row r="85">
          <cell r="D85" t="str">
            <v>GCJ188C70J475KE02J</v>
          </cell>
        </row>
        <row r="86">
          <cell r="D86" t="str">
            <v>GCJ188C70J475KE02D</v>
          </cell>
        </row>
        <row r="87">
          <cell r="D87" t="str">
            <v>RCC020140K2FKED</v>
          </cell>
        </row>
        <row r="88">
          <cell r="D88" t="str">
            <v>RK73H1HTTC4022F</v>
          </cell>
        </row>
        <row r="89">
          <cell r="D89" t="str">
            <v>ERJ1GJF4022C</v>
          </cell>
        </row>
        <row r="90">
          <cell r="D90" t="str">
            <v>RMCH06-4022FPA</v>
          </cell>
        </row>
        <row r="91">
          <cell r="D91" t="str">
            <v>AC0201FR-0740K2L</v>
          </cell>
        </row>
        <row r="92">
          <cell r="D92" t="str">
            <v>RCC020111K0FKED</v>
          </cell>
        </row>
        <row r="93">
          <cell r="D93" t="str">
            <v>RK73H1HTTC1102F</v>
          </cell>
        </row>
        <row r="94">
          <cell r="D94" t="str">
            <v>ERJ1GJF1102C</v>
          </cell>
        </row>
        <row r="95">
          <cell r="D95" t="str">
            <v>RMCH06-113FPA</v>
          </cell>
        </row>
        <row r="96">
          <cell r="D96" t="str">
            <v>AC0201FR-0711KL</v>
          </cell>
        </row>
        <row r="97">
          <cell r="D97" t="str">
            <v>RCC02012K00FKED</v>
          </cell>
        </row>
        <row r="98">
          <cell r="D98" t="str">
            <v>RK73H1HTTC2001F</v>
          </cell>
        </row>
        <row r="99">
          <cell r="D99" t="str">
            <v>ERJ1GJF2001C</v>
          </cell>
        </row>
        <row r="100">
          <cell r="D100" t="str">
            <v>RMCH06-202FPA</v>
          </cell>
        </row>
        <row r="101">
          <cell r="D101" t="str">
            <v>AC0201FR-072KL</v>
          </cell>
        </row>
        <row r="102">
          <cell r="D102" t="str">
            <v>RCC020110K0FKED</v>
          </cell>
        </row>
        <row r="103">
          <cell r="D103" t="str">
            <v>RK73H1HTTC1002F</v>
          </cell>
        </row>
        <row r="104">
          <cell r="D104" t="str">
            <v>RMCH06-103FPA</v>
          </cell>
        </row>
        <row r="105">
          <cell r="D105" t="str">
            <v>ERJ1GJF1002C</v>
          </cell>
        </row>
        <row r="106">
          <cell r="D106" t="str">
            <v>AC0201FR-0710KL</v>
          </cell>
        </row>
        <row r="107">
          <cell r="D107" t="str">
            <v>TMP112DQDRLRQ1</v>
          </cell>
        </row>
        <row r="108">
          <cell r="D108" t="str">
            <v>CGA1A2X7R0J103K030BA</v>
          </cell>
        </row>
        <row r="109">
          <cell r="D109" t="str">
            <v>GCM033C71A104KE02D</v>
          </cell>
        </row>
        <row r="110">
          <cell r="D110" t="str">
            <v>GCM033C71A104KE02J</v>
          </cell>
        </row>
        <row r="111">
          <cell r="D111" t="str">
            <v>SRN8040TA-100M</v>
          </cell>
        </row>
        <row r="112">
          <cell r="D112" t="str">
            <v>C1206C105K1RACAUTO7210</v>
          </cell>
        </row>
        <row r="113">
          <cell r="D113" t="str">
            <v>GCM31CR72A105KA03L</v>
          </cell>
        </row>
        <row r="114">
          <cell r="D114" t="str">
            <v>GCM31CR72A105KA03K</v>
          </cell>
        </row>
        <row r="115">
          <cell r="D115" t="str">
            <v>CL31B105KCHVPNE</v>
          </cell>
        </row>
        <row r="116">
          <cell r="D116" t="str">
            <v>12061C105K4T2A</v>
          </cell>
        </row>
        <row r="117">
          <cell r="D117" t="str">
            <v>C1206C105K1RACAUTO</v>
          </cell>
        </row>
        <row r="118">
          <cell r="D118" t="str">
            <v>12061C105K4T4A</v>
          </cell>
        </row>
        <row r="119">
          <cell r="D119" t="str">
            <v>AC1206KKX7R0BB105</v>
          </cell>
        </row>
        <row r="120">
          <cell r="D120" t="str">
            <v>LMR38025SQDRRRQ1</v>
          </cell>
        </row>
        <row r="121">
          <cell r="D121" t="str">
            <v>GCM1885C2A221JA16D</v>
          </cell>
        </row>
        <row r="122">
          <cell r="D122" t="str">
            <v>GCM033R71E331KA03D</v>
          </cell>
        </row>
        <row r="123">
          <cell r="D123" t="str">
            <v>GCM033R71E331KA03J</v>
          </cell>
        </row>
        <row r="124">
          <cell r="D124" t="str">
            <v>CGA1A2X7R1E331K030BA</v>
          </cell>
        </row>
        <row r="125">
          <cell r="D125" t="str">
            <v>GCM033R71A103KA03D</v>
          </cell>
        </row>
        <row r="126">
          <cell r="D126" t="str">
            <v>GCM033R71A103KA03J</v>
          </cell>
        </row>
        <row r="127">
          <cell r="D127" t="str">
            <v>CGA1A2X7R1A103K030BA</v>
          </cell>
        </row>
        <row r="128">
          <cell r="D128" t="str">
            <v>ACT1210E-241-2P</v>
          </cell>
        </row>
        <row r="129">
          <cell r="D129" t="str">
            <v>BAT54CW-QX</v>
          </cell>
        </row>
        <row r="130">
          <cell r="D130" t="str">
            <v>RCC0201100KFKED</v>
          </cell>
        </row>
        <row r="131">
          <cell r="D131" t="str">
            <v>RK73H1HTTC1003F</v>
          </cell>
        </row>
        <row r="132">
          <cell r="D132" t="str">
            <v>ERJ1GJF1003C</v>
          </cell>
        </row>
        <row r="133">
          <cell r="D133" t="str">
            <v>AC0201FR-07100KL</v>
          </cell>
        </row>
        <row r="134">
          <cell r="D134" t="str">
            <v>RCC02014K70FKED</v>
          </cell>
        </row>
        <row r="135">
          <cell r="D135" t="str">
            <v>RMCH06-472FPA</v>
          </cell>
        </row>
        <row r="136">
          <cell r="D136" t="str">
            <v>RK73H1HTTC4701F</v>
          </cell>
        </row>
        <row r="137">
          <cell r="D137" t="str">
            <v>ERJ1GJF4701C</v>
          </cell>
        </row>
        <row r="138">
          <cell r="D138" t="str">
            <v>AC0201FR-074K7L</v>
          </cell>
        </row>
        <row r="139">
          <cell r="D139" t="str">
            <v>KAM05CR71A105KH</v>
          </cell>
        </row>
        <row r="140">
          <cell r="D140" t="str">
            <v>TLV9002QDGKRQ1</v>
          </cell>
        </row>
        <row r="141">
          <cell r="D141" t="str">
            <v>SR2512KK-071RL</v>
          </cell>
        </row>
        <row r="142">
          <cell r="D142" t="str">
            <v>CRCW25121R00KNEGIF</v>
          </cell>
        </row>
        <row r="143">
          <cell r="D143" t="str">
            <v>SG73W3ATTE1R0K</v>
          </cell>
        </row>
        <row r="144">
          <cell r="D144" t="str">
            <v>RPC2512JT1R00</v>
          </cell>
        </row>
        <row r="145">
          <cell r="D145" t="str">
            <v>TMUX1308QBQBRQ1</v>
          </cell>
        </row>
        <row r="146">
          <cell r="D146" t="str">
            <v>TPS1HTC30AQPWPRQ1</v>
          </cell>
        </row>
        <row r="147">
          <cell r="D147" t="str">
            <v>OPT4003DTSRQ1</v>
          </cell>
        </row>
        <row r="148">
          <cell r="D148" t="str">
            <v>CL31B106KAHVPNE</v>
          </cell>
        </row>
        <row r="149">
          <cell r="D149" t="str">
            <v>CGA5L1X7R1E106K160AC</v>
          </cell>
        </row>
        <row r="150">
          <cell r="D150" t="str">
            <v>AM25070307</v>
          </cell>
        </row>
        <row r="151">
          <cell r="D151" t="str">
            <v>1C325000BE0A</v>
          </cell>
        </row>
        <row r="152">
          <cell r="D152" t="str">
            <v>EXS00A-CS14701</v>
          </cell>
        </row>
        <row r="153">
          <cell r="D153" t="str">
            <v>NX3225SA 25M EXS00A-CS11395</v>
          </cell>
        </row>
        <row r="154">
          <cell r="D154" t="str">
            <v>RCC020122K0FKED</v>
          </cell>
        </row>
        <row r="155">
          <cell r="D155" t="str">
            <v>RK73H1HTTC2202F</v>
          </cell>
        </row>
        <row r="156">
          <cell r="D156" t="str">
            <v>ERJ1GJF2202C</v>
          </cell>
        </row>
        <row r="157">
          <cell r="D157" t="str">
            <v>RMCH06-223FPA</v>
          </cell>
        </row>
        <row r="158">
          <cell r="D158" t="str">
            <v>AC0201FR-0722KL</v>
          </cell>
        </row>
        <row r="159">
          <cell r="D159" t="str">
            <v>CGA1A2C0G1H180J030BA</v>
          </cell>
        </row>
        <row r="160">
          <cell r="D160" t="str">
            <v>MCASU063SCG180JFNA01</v>
          </cell>
        </row>
        <row r="161">
          <cell r="D161" t="str">
            <v>GCM0335C1H180JA16D</v>
          </cell>
        </row>
        <row r="162">
          <cell r="D162" t="str">
            <v>GCM0335C1H180JA16J</v>
          </cell>
        </row>
        <row r="163">
          <cell r="D163" t="str">
            <v>AD3301WBCPZ</v>
          </cell>
        </row>
        <row r="164">
          <cell r="D164" t="str">
            <v>TLV76701QWDRBRQ1</v>
          </cell>
        </row>
        <row r="165">
          <cell r="D165" t="str">
            <v>RK73H1ETTP1003F</v>
          </cell>
        </row>
        <row r="166">
          <cell r="D166" t="str">
            <v>RMCH10K104FTH</v>
          </cell>
        </row>
        <row r="167">
          <cell r="D167" t="str">
            <v>ERJ-2RKF1003X</v>
          </cell>
        </row>
        <row r="168">
          <cell r="D168" t="str">
            <v>VISHAY&amp;CRCW0402100KFKED</v>
          </cell>
        </row>
        <row r="169">
          <cell r="D169" t="str">
            <v>AC0402FR-07100KL</v>
          </cell>
        </row>
      </sheetData>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18A6A-DA74-4026-A9D2-1FF4C407DF2A}">
  <dimension ref="B2:J23"/>
  <sheetViews>
    <sheetView workbookViewId="0">
      <selection activeCell="D13" sqref="D13"/>
    </sheetView>
  </sheetViews>
  <sheetFormatPr defaultColWidth="8.81640625" defaultRowHeight="12.5"/>
  <cols>
    <col min="2" max="2" width="11.1796875" style="545" customWidth="1"/>
    <col min="3" max="3" width="60.1796875" customWidth="1"/>
    <col min="4" max="4" width="26.1796875" style="546" customWidth="1"/>
    <col min="5" max="5" width="12.453125" bestFit="1" customWidth="1"/>
    <col min="7" max="7" width="7.453125" customWidth="1"/>
    <col min="8" max="8" width="18.453125" bestFit="1" customWidth="1"/>
    <col min="9" max="9" width="24.453125" customWidth="1"/>
    <col min="10" max="10" width="9" bestFit="1" customWidth="1"/>
  </cols>
  <sheetData>
    <row r="2" spans="2:10" ht="13">
      <c r="B2" s="849" t="s">
        <v>957</v>
      </c>
      <c r="C2" s="849"/>
      <c r="D2" s="849"/>
      <c r="E2" s="849"/>
      <c r="G2" s="850" t="s">
        <v>958</v>
      </c>
      <c r="H2" s="851"/>
      <c r="I2" s="851"/>
      <c r="J2" s="852"/>
    </row>
    <row r="3" spans="2:10" ht="13">
      <c r="B3" s="529" t="s">
        <v>959</v>
      </c>
      <c r="C3" s="530" t="s">
        <v>960</v>
      </c>
      <c r="D3" s="531" t="s">
        <v>961</v>
      </c>
      <c r="E3" s="530" t="s">
        <v>962</v>
      </c>
      <c r="G3" s="530" t="s">
        <v>963</v>
      </c>
      <c r="H3" s="530" t="s">
        <v>964</v>
      </c>
      <c r="I3" s="530" t="s">
        <v>123</v>
      </c>
      <c r="J3" s="530" t="s">
        <v>965</v>
      </c>
    </row>
    <row r="4" spans="2:10" ht="13.5">
      <c r="B4" s="532">
        <v>1</v>
      </c>
      <c r="C4" s="533" t="s">
        <v>966</v>
      </c>
      <c r="D4" s="1012">
        <v>45722</v>
      </c>
      <c r="E4" s="534"/>
      <c r="G4" s="535">
        <v>1</v>
      </c>
      <c r="H4" s="536"/>
      <c r="I4" s="534"/>
      <c r="J4" s="534"/>
    </row>
    <row r="5" spans="2:10">
      <c r="B5" s="532">
        <v>2</v>
      </c>
      <c r="C5" s="536" t="s">
        <v>967</v>
      </c>
      <c r="D5" s="1012">
        <v>45726</v>
      </c>
      <c r="E5" s="534"/>
      <c r="G5" s="535">
        <v>2</v>
      </c>
      <c r="H5" s="536"/>
      <c r="I5" s="534"/>
      <c r="J5" s="534"/>
    </row>
    <row r="6" spans="2:10">
      <c r="B6" s="532">
        <v>3</v>
      </c>
      <c r="C6" s="536" t="s">
        <v>968</v>
      </c>
      <c r="D6" s="1012">
        <v>45789</v>
      </c>
      <c r="E6" s="534"/>
      <c r="G6" s="535">
        <v>3</v>
      </c>
      <c r="H6" s="536"/>
      <c r="I6" s="534"/>
      <c r="J6" s="534"/>
    </row>
    <row r="7" spans="2:10">
      <c r="B7" s="532">
        <v>4</v>
      </c>
      <c r="C7" s="536"/>
      <c r="D7" s="1012">
        <v>45827</v>
      </c>
      <c r="E7" s="534"/>
      <c r="G7" s="535">
        <v>4</v>
      </c>
      <c r="H7" s="536"/>
      <c r="I7" s="534"/>
      <c r="J7" s="534"/>
    </row>
    <row r="8" spans="2:10" ht="60.5" customHeight="1">
      <c r="B8" s="532">
        <v>5</v>
      </c>
      <c r="C8" s="538" t="s">
        <v>969</v>
      </c>
      <c r="D8" s="1012">
        <v>45840</v>
      </c>
      <c r="E8" s="534"/>
    </row>
    <row r="9" spans="2:10" ht="33.5" customHeight="1">
      <c r="B9" s="532">
        <v>6</v>
      </c>
      <c r="C9" s="536" t="s">
        <v>1061</v>
      </c>
      <c r="D9" s="1012">
        <v>46051</v>
      </c>
      <c r="E9" s="534"/>
      <c r="G9" t="s">
        <v>970</v>
      </c>
    </row>
    <row r="10" spans="2:10">
      <c r="B10" s="532">
        <v>7</v>
      </c>
      <c r="C10" s="536"/>
      <c r="D10" s="537"/>
      <c r="E10" s="534"/>
      <c r="G10" t="s">
        <v>971</v>
      </c>
    </row>
    <row r="11" spans="2:10">
      <c r="B11" s="532">
        <v>8</v>
      </c>
      <c r="C11" s="536"/>
      <c r="D11" s="537"/>
      <c r="E11" s="534"/>
      <c r="G11" t="s">
        <v>972</v>
      </c>
    </row>
    <row r="12" spans="2:10">
      <c r="B12" s="532">
        <v>9</v>
      </c>
      <c r="C12" s="536"/>
      <c r="D12" s="537"/>
      <c r="E12" s="534"/>
      <c r="G12" t="s">
        <v>973</v>
      </c>
    </row>
    <row r="13" spans="2:10">
      <c r="B13" s="532">
        <v>10</v>
      </c>
      <c r="C13" s="536"/>
      <c r="D13" s="537"/>
      <c r="E13" s="534"/>
      <c r="G13" t="s">
        <v>974</v>
      </c>
    </row>
    <row r="14" spans="2:10">
      <c r="B14" s="532">
        <v>11</v>
      </c>
      <c r="C14" s="536"/>
      <c r="D14" s="537"/>
      <c r="E14" s="534"/>
      <c r="G14" t="s">
        <v>975</v>
      </c>
    </row>
    <row r="15" spans="2:10">
      <c r="B15" s="532">
        <v>12</v>
      </c>
      <c r="C15" s="539"/>
      <c r="D15" s="537"/>
      <c r="E15" s="540"/>
      <c r="G15" t="s">
        <v>976</v>
      </c>
    </row>
    <row r="16" spans="2:10">
      <c r="B16" s="532">
        <v>13</v>
      </c>
      <c r="C16" s="539"/>
      <c r="D16" s="537"/>
      <c r="E16" s="540"/>
      <c r="G16" t="s">
        <v>977</v>
      </c>
    </row>
    <row r="17" spans="2:5">
      <c r="B17" s="532">
        <v>14</v>
      </c>
      <c r="C17" s="539"/>
      <c r="D17" s="537"/>
      <c r="E17" s="540"/>
    </row>
    <row r="18" spans="2:5">
      <c r="B18" s="532">
        <v>15</v>
      </c>
      <c r="C18" s="539"/>
      <c r="D18" s="537"/>
      <c r="E18" s="540"/>
    </row>
    <row r="19" spans="2:5">
      <c r="B19" s="532">
        <v>16</v>
      </c>
      <c r="C19" s="541"/>
      <c r="D19" s="537"/>
      <c r="E19" s="542"/>
    </row>
    <row r="20" spans="2:5">
      <c r="B20" s="532">
        <v>17</v>
      </c>
      <c r="C20" s="541"/>
      <c r="D20" s="537"/>
      <c r="E20" s="542"/>
    </row>
    <row r="21" spans="2:5">
      <c r="B21" s="532">
        <v>18</v>
      </c>
      <c r="C21" s="536"/>
      <c r="D21" s="537"/>
      <c r="E21" s="542"/>
    </row>
    <row r="22" spans="2:5">
      <c r="B22" s="532">
        <v>19</v>
      </c>
      <c r="C22" s="543"/>
      <c r="D22" s="537"/>
      <c r="E22" s="542"/>
    </row>
    <row r="23" spans="2:5">
      <c r="B23" s="532">
        <v>20</v>
      </c>
      <c r="C23" s="206"/>
      <c r="D23" s="544"/>
      <c r="E23" s="542"/>
    </row>
  </sheetData>
  <mergeCells count="2">
    <mergeCell ref="B2:E2"/>
    <mergeCell ref="G2:J2"/>
  </mergeCells>
  <phoneticPr fontId="3"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BE48C-D044-4AD6-A871-78E1A92BEF26}">
  <sheetPr>
    <pageSetUpPr fitToPage="1"/>
  </sheetPr>
  <dimension ref="A1:S17"/>
  <sheetViews>
    <sheetView zoomScale="50" zoomScaleNormal="50" zoomScaleSheetLayoutView="85" workbookViewId="0">
      <pane ySplit="1" topLeftCell="A5" activePane="bottomLeft" state="frozen"/>
      <selection activeCell="I14" sqref="I14"/>
      <selection pane="bottomLeft" activeCell="H27" sqref="H27"/>
    </sheetView>
  </sheetViews>
  <sheetFormatPr defaultColWidth="10.26953125" defaultRowHeight="12.5"/>
  <cols>
    <col min="1" max="1" width="14.90625" style="211" customWidth="1"/>
    <col min="2" max="2" width="39.36328125" style="211" customWidth="1"/>
    <col min="3" max="6" width="16.7265625" style="211" customWidth="1"/>
    <col min="7" max="7" width="14.7265625" style="211" customWidth="1"/>
    <col min="8" max="8" width="17.7265625" style="211" customWidth="1"/>
    <col min="9" max="9" width="26.36328125" style="211" customWidth="1"/>
    <col min="10" max="10" width="10.7265625" style="211" customWidth="1"/>
    <col min="11" max="11" width="14.90625" style="211" customWidth="1"/>
    <col min="12" max="12" width="18.36328125" style="211" customWidth="1"/>
    <col min="13" max="13" width="18.54296875" style="211" customWidth="1"/>
    <col min="14" max="14" width="17.6328125" style="267" customWidth="1"/>
    <col min="15" max="15" width="17.7265625" style="211" bestFit="1" customWidth="1"/>
    <col min="16" max="16" width="13.7265625" style="211" customWidth="1"/>
    <col min="17" max="17" width="30.26953125" style="211" customWidth="1"/>
    <col min="18" max="18" width="27.54296875" style="211" customWidth="1"/>
    <col min="19" max="19" width="22" style="211" customWidth="1"/>
    <col min="20" max="16384" width="10.26953125" style="211"/>
  </cols>
  <sheetData>
    <row r="1" spans="1:19" ht="48" customHeight="1">
      <c r="A1" s="924" t="s">
        <v>142</v>
      </c>
      <c r="B1" s="925"/>
      <c r="C1" s="925"/>
      <c r="D1" s="925"/>
      <c r="E1" s="925"/>
      <c r="F1" s="925"/>
      <c r="G1" s="925"/>
      <c r="H1" s="925"/>
      <c r="I1" s="925"/>
      <c r="J1" s="925"/>
      <c r="K1" s="925"/>
      <c r="L1" s="925"/>
      <c r="M1" s="925"/>
      <c r="N1" s="925"/>
      <c r="O1" s="925"/>
      <c r="P1" s="925"/>
    </row>
    <row r="2" spans="1:19" ht="48" customHeight="1" thickBot="1">
      <c r="A2" s="926" t="s">
        <v>143</v>
      </c>
      <c r="B2" s="927"/>
      <c r="C2" s="927"/>
      <c r="D2" s="927"/>
      <c r="E2" s="927"/>
      <c r="F2" s="927"/>
      <c r="G2" s="927"/>
      <c r="H2" s="927"/>
      <c r="I2" s="927"/>
      <c r="J2" s="927"/>
      <c r="K2" s="927"/>
      <c r="L2" s="927"/>
      <c r="M2" s="927"/>
      <c r="N2" s="927"/>
      <c r="O2" s="927"/>
      <c r="P2" s="927"/>
    </row>
    <row r="3" spans="1:19" ht="82.5" customHeight="1" thickBot="1">
      <c r="A3" s="928" t="s">
        <v>209</v>
      </c>
      <c r="B3" s="929"/>
      <c r="C3" s="929"/>
      <c r="D3" s="930"/>
      <c r="E3" s="212" t="s">
        <v>145</v>
      </c>
      <c r="G3" s="213" t="s">
        <v>146</v>
      </c>
      <c r="H3" s="214" t="s">
        <v>147</v>
      </c>
      <c r="I3" s="215"/>
      <c r="J3" s="215"/>
      <c r="K3" s="215"/>
      <c r="L3" s="215"/>
      <c r="M3" s="215"/>
      <c r="N3" s="215"/>
      <c r="O3" s="215"/>
      <c r="P3" s="215"/>
    </row>
    <row r="4" spans="1:19" ht="312" customHeight="1">
      <c r="A4" s="216" t="s">
        <v>148</v>
      </c>
      <c r="B4" s="217"/>
      <c r="C4" s="217"/>
      <c r="D4" s="217"/>
      <c r="E4" s="217"/>
      <c r="F4" s="217"/>
      <c r="G4" s="217"/>
      <c r="H4" s="217" t="s">
        <v>149</v>
      </c>
      <c r="I4" s="931" t="s">
        <v>1389</v>
      </c>
      <c r="J4" s="931"/>
      <c r="K4" s="931"/>
      <c r="L4" s="217"/>
      <c r="M4" s="217"/>
      <c r="N4" s="932" t="s">
        <v>1</v>
      </c>
      <c r="O4" s="932"/>
      <c r="P4" s="932"/>
    </row>
    <row r="5" spans="1:19" ht="37.5" customHeight="1">
      <c r="A5" s="922" t="s">
        <v>151</v>
      </c>
      <c r="B5" s="923"/>
      <c r="C5" s="923"/>
      <c r="D5" s="923"/>
      <c r="E5" s="923"/>
      <c r="F5" s="923"/>
      <c r="G5" s="923"/>
      <c r="H5" s="923"/>
      <c r="I5" s="923"/>
      <c r="J5" s="923"/>
      <c r="K5" s="923"/>
      <c r="L5" s="923"/>
      <c r="M5" s="923"/>
      <c r="N5" s="923"/>
      <c r="O5" s="923"/>
      <c r="P5" s="923"/>
    </row>
    <row r="6" spans="1:19" s="218" customFormat="1" ht="27.75" customHeight="1">
      <c r="A6" s="936" t="s">
        <v>152</v>
      </c>
      <c r="B6" s="937" t="s">
        <v>153</v>
      </c>
      <c r="C6" s="579" t="s">
        <v>154</v>
      </c>
      <c r="D6" s="938" t="s">
        <v>155</v>
      </c>
      <c r="E6" s="938"/>
      <c r="F6" s="938"/>
      <c r="G6" s="938" t="s">
        <v>156</v>
      </c>
      <c r="H6" s="938"/>
      <c r="I6" s="579" t="s">
        <v>157</v>
      </c>
      <c r="J6" s="939" t="s">
        <v>158</v>
      </c>
      <c r="K6" s="940"/>
      <c r="L6" s="941"/>
      <c r="M6" s="938" t="s">
        <v>159</v>
      </c>
      <c r="N6" s="938"/>
      <c r="O6" s="580" t="s">
        <v>160</v>
      </c>
      <c r="P6" s="579" t="s">
        <v>161</v>
      </c>
    </row>
    <row r="7" spans="1:19" s="218" customFormat="1" ht="50.25" customHeight="1">
      <c r="A7" s="936"/>
      <c r="B7" s="937"/>
      <c r="C7" s="578" t="s">
        <v>162</v>
      </c>
      <c r="D7" s="578" t="s">
        <v>163</v>
      </c>
      <c r="E7" s="578" t="s">
        <v>164</v>
      </c>
      <c r="F7" s="578" t="s">
        <v>165</v>
      </c>
      <c r="G7" s="578" t="s">
        <v>166</v>
      </c>
      <c r="H7" s="578" t="s">
        <v>167</v>
      </c>
      <c r="I7" s="578" t="s">
        <v>168</v>
      </c>
      <c r="J7" s="578" t="s">
        <v>169</v>
      </c>
      <c r="K7" s="578" t="s">
        <v>170</v>
      </c>
      <c r="L7" s="578" t="s">
        <v>171</v>
      </c>
      <c r="M7" s="578" t="s">
        <v>170</v>
      </c>
      <c r="N7" s="578" t="s">
        <v>172</v>
      </c>
      <c r="O7" s="578" t="s">
        <v>170</v>
      </c>
      <c r="P7" s="578" t="s">
        <v>173</v>
      </c>
      <c r="Q7" s="219" t="s">
        <v>174</v>
      </c>
      <c r="R7" s="218">
        <v>1</v>
      </c>
      <c r="S7" s="218">
        <f>+R7*3</f>
        <v>3</v>
      </c>
    </row>
    <row r="8" spans="1:19" s="233" customFormat="1" ht="27" customHeight="1">
      <c r="A8" s="220">
        <v>1</v>
      </c>
      <c r="B8" s="221" t="s">
        <v>215</v>
      </c>
      <c r="C8" s="223">
        <v>1</v>
      </c>
      <c r="D8" s="223">
        <v>75</v>
      </c>
      <c r="E8" s="274">
        <f>D8/R7</f>
        <v>75</v>
      </c>
      <c r="F8" s="225">
        <f>11*3600/E8</f>
        <v>528</v>
      </c>
      <c r="G8" s="226">
        <v>5.0000000000000001E-4</v>
      </c>
      <c r="H8" s="227">
        <f>1-G8</f>
        <v>0.99950000000000006</v>
      </c>
      <c r="I8" s="221" t="s">
        <v>215</v>
      </c>
      <c r="J8" s="223">
        <v>1</v>
      </c>
      <c r="K8" s="271">
        <v>0</v>
      </c>
      <c r="L8" s="234">
        <v>0</v>
      </c>
      <c r="M8" s="271">
        <v>20000</v>
      </c>
      <c r="N8" s="271">
        <f>M8*1</f>
        <v>20000</v>
      </c>
      <c r="O8" s="220"/>
      <c r="P8" s="220"/>
      <c r="Q8" s="275" t="s">
        <v>216</v>
      </c>
      <c r="R8" s="276"/>
      <c r="S8" s="276"/>
    </row>
    <row r="9" spans="1:19" s="218" customFormat="1" ht="32.25" customHeight="1">
      <c r="A9" s="244" t="s">
        <v>191</v>
      </c>
      <c r="B9" s="245"/>
      <c r="C9" s="246">
        <f>SUM(C8:C8)</f>
        <v>1</v>
      </c>
      <c r="D9" s="246">
        <f>SUM(D8:D8)</f>
        <v>75</v>
      </c>
      <c r="E9" s="247">
        <f>(E8*C8)</f>
        <v>75</v>
      </c>
      <c r="F9" s="248">
        <f>MIN(F8:F8)</f>
        <v>528</v>
      </c>
      <c r="G9" s="249">
        <f>SUM(G8:G8)</f>
        <v>5.0000000000000001E-4</v>
      </c>
      <c r="H9" s="250">
        <f>1-G9</f>
        <v>0.99950000000000006</v>
      </c>
      <c r="I9" s="250"/>
      <c r="J9" s="245"/>
      <c r="K9" s="251"/>
      <c r="L9" s="251">
        <f>SUM(L8:L8)</f>
        <v>0</v>
      </c>
      <c r="M9" s="251"/>
      <c r="N9" s="251">
        <f>SUM(N8:N8)</f>
        <v>20000</v>
      </c>
      <c r="O9" s="252">
        <f>SUM(O8:O8)</f>
        <v>0</v>
      </c>
      <c r="P9" s="252">
        <f>SUM(P8:P8)</f>
        <v>0</v>
      </c>
    </row>
    <row r="10" spans="1:19" s="218" customFormat="1" ht="27" customHeight="1">
      <c r="A10" s="255" t="s">
        <v>192</v>
      </c>
      <c r="B10" s="256"/>
      <c r="C10" s="257" t="s">
        <v>193</v>
      </c>
      <c r="D10" s="258"/>
      <c r="E10" s="259"/>
      <c r="F10" s="259"/>
      <c r="G10" s="260"/>
      <c r="H10" s="259"/>
      <c r="I10" s="259"/>
      <c r="J10" s="261"/>
      <c r="K10" s="262" t="s">
        <v>194</v>
      </c>
      <c r="L10" s="262">
        <v>0</v>
      </c>
      <c r="M10" s="262" t="s">
        <v>195</v>
      </c>
      <c r="N10" s="263">
        <f>IFERROR(SUM(N8:N8)/MIN(F8:F8),0)+IFERROR(SUM(#REF!)/MIN(#REF!),0)+IFERROR(#REF!/#REF!,0)</f>
        <v>37.878787878787875</v>
      </c>
      <c r="O10" s="264" t="s">
        <v>196</v>
      </c>
      <c r="P10" s="265">
        <f>O9+P9</f>
        <v>0</v>
      </c>
    </row>
    <row r="11" spans="1:19" ht="81" customHeight="1">
      <c r="A11" s="933" t="s">
        <v>197</v>
      </c>
      <c r="B11" s="934"/>
      <c r="C11" s="934"/>
      <c r="D11" s="934"/>
      <c r="E11" s="934"/>
      <c r="F11" s="934"/>
      <c r="G11" s="934"/>
      <c r="H11" s="934"/>
      <c r="I11" s="934"/>
      <c r="J11" s="934"/>
      <c r="K11" s="934"/>
      <c r="L11" s="934"/>
      <c r="M11" s="934"/>
      <c r="N11" s="934"/>
      <c r="O11" s="934"/>
      <c r="P11" s="935"/>
    </row>
    <row r="17" spans="6:12" ht="15.5">
      <c r="F17" s="266"/>
      <c r="L17" s="273" t="s">
        <v>1</v>
      </c>
    </row>
  </sheetData>
  <mergeCells count="13">
    <mergeCell ref="A11:P11"/>
    <mergeCell ref="A6:A7"/>
    <mergeCell ref="B6:B7"/>
    <mergeCell ref="D6:F6"/>
    <mergeCell ref="G6:H6"/>
    <mergeCell ref="J6:L6"/>
    <mergeCell ref="M6:N6"/>
    <mergeCell ref="A5:P5"/>
    <mergeCell ref="A1:P1"/>
    <mergeCell ref="A2:P2"/>
    <mergeCell ref="A3:D3"/>
    <mergeCell ref="I4:K4"/>
    <mergeCell ref="N4:P4"/>
  </mergeCells>
  <phoneticPr fontId="3" type="noConversion"/>
  <printOptions horizontalCentered="1"/>
  <pageMargins left="0" right="0" top="0.43307086614173229" bottom="0.31496062992125984" header="0.35433070866141736" footer="0.23622047244094491"/>
  <pageSetup paperSize="9" scale="3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44206-1FBB-49B2-9D18-12D2F1E98AD8}">
  <dimension ref="A1:BB537"/>
  <sheetViews>
    <sheetView topLeftCell="G240" zoomScale="89" zoomScaleNormal="90" workbookViewId="0">
      <selection activeCell="Z257" sqref="Z257"/>
    </sheetView>
  </sheetViews>
  <sheetFormatPr defaultColWidth="9.81640625" defaultRowHeight="11.5"/>
  <cols>
    <col min="1" max="1" width="12.36328125" style="642" bestFit="1" customWidth="1"/>
    <col min="2" max="2" width="23.54296875" style="642" customWidth="1"/>
    <col min="3" max="3" width="11.453125" style="642" customWidth="1"/>
    <col min="4" max="4" width="21.54296875" style="642" customWidth="1"/>
    <col min="5" max="5" width="21.36328125" style="642" hidden="1" customWidth="1"/>
    <col min="6" max="6" width="24.54296875" style="642" hidden="1" customWidth="1"/>
    <col min="7" max="7" width="39.26953125" style="642" customWidth="1"/>
    <col min="8" max="8" width="15.26953125" style="642" hidden="1" customWidth="1"/>
    <col min="9" max="9" width="20" style="642" hidden="1" customWidth="1"/>
    <col min="10" max="10" width="35.1796875" style="642" hidden="1" customWidth="1"/>
    <col min="11" max="11" width="9.08984375" style="642" customWidth="1"/>
    <col min="12" max="12" width="6.08984375" style="642" customWidth="1"/>
    <col min="13" max="13" width="12.26953125" style="642" customWidth="1"/>
    <col min="14" max="14" width="23.26953125" style="642" customWidth="1"/>
    <col min="15" max="15" width="21.36328125" style="698" customWidth="1"/>
    <col min="16" max="17" width="12.453125" style="698" hidden="1" customWidth="1"/>
    <col min="18" max="19" width="12.453125" style="698" customWidth="1"/>
    <col min="20" max="20" width="12.1796875" style="698" customWidth="1"/>
    <col min="21" max="21" width="13.6328125" style="642" hidden="1" customWidth="1"/>
    <col min="22" max="22" width="6.6328125" style="644" hidden="1" customWidth="1"/>
    <col min="23" max="23" width="8.08984375" style="645" hidden="1" customWidth="1"/>
    <col min="24" max="24" width="31.7265625" style="642" hidden="1" customWidth="1"/>
    <col min="25" max="25" width="11.54296875" style="642" customWidth="1"/>
    <col min="26" max="26" width="30" style="642" customWidth="1"/>
    <col min="27" max="27" width="20.26953125" style="753" customWidth="1"/>
    <col min="28" max="28" width="24.54296875" style="753" customWidth="1"/>
    <col min="29" max="54" width="9.81640625" style="753"/>
    <col min="55" max="16384" width="9.81640625" style="642"/>
  </cols>
  <sheetData>
    <row r="1" spans="1:54" ht="35.65" customHeight="1">
      <c r="N1" s="643" t="s">
        <v>1488</v>
      </c>
      <c r="O1" s="643"/>
      <c r="P1" s="643"/>
      <c r="Q1" s="643"/>
      <c r="R1" s="643"/>
      <c r="S1" s="643"/>
      <c r="T1" s="643"/>
      <c r="U1" s="643"/>
    </row>
    <row r="2" spans="1:54" ht="42.5" customHeight="1">
      <c r="A2" s="646" t="s">
        <v>218</v>
      </c>
      <c r="B2" s="646" t="s">
        <v>219</v>
      </c>
      <c r="C2" s="646" t="s">
        <v>220</v>
      </c>
      <c r="D2" s="646" t="s">
        <v>1062</v>
      </c>
      <c r="E2" s="646" t="s">
        <v>1063</v>
      </c>
      <c r="F2" s="646" t="s">
        <v>1064</v>
      </c>
      <c r="G2" s="646" t="s">
        <v>222</v>
      </c>
      <c r="H2" s="646" t="s">
        <v>1066</v>
      </c>
      <c r="I2" s="646" t="s">
        <v>1067</v>
      </c>
      <c r="J2" s="646"/>
      <c r="K2" s="646" t="s">
        <v>223</v>
      </c>
      <c r="L2" s="646" t="s">
        <v>224</v>
      </c>
      <c r="M2" s="647" t="s">
        <v>1489</v>
      </c>
      <c r="N2" s="646" t="s">
        <v>1435</v>
      </c>
      <c r="O2" s="648" t="s">
        <v>1436</v>
      </c>
      <c r="P2" s="648"/>
      <c r="Q2" s="648"/>
      <c r="R2" s="648" t="s">
        <v>1437</v>
      </c>
      <c r="S2" s="648"/>
      <c r="T2" s="648" t="s">
        <v>1438</v>
      </c>
      <c r="U2" s="646" t="s">
        <v>1068</v>
      </c>
      <c r="V2" s="648" t="s">
        <v>1069</v>
      </c>
      <c r="W2" s="646" t="s">
        <v>1070</v>
      </c>
      <c r="X2" s="646" t="s">
        <v>1439</v>
      </c>
      <c r="Y2" s="646" t="s">
        <v>1440</v>
      </c>
      <c r="Z2" s="642" t="s">
        <v>1441</v>
      </c>
      <c r="AA2" s="753" t="s">
        <v>1536</v>
      </c>
    </row>
    <row r="3" spans="1:54">
      <c r="A3" s="649">
        <v>2</v>
      </c>
      <c r="B3" s="650" t="s">
        <v>344</v>
      </c>
      <c r="C3" s="650" t="s">
        <v>338</v>
      </c>
      <c r="D3" s="650" t="s">
        <v>345</v>
      </c>
      <c r="E3" s="650" t="s">
        <v>345</v>
      </c>
      <c r="F3" s="650" t="s">
        <v>345</v>
      </c>
      <c r="G3" s="650" t="s">
        <v>340</v>
      </c>
      <c r="H3" s="649" t="s">
        <v>1073</v>
      </c>
      <c r="I3" s="651" t="s">
        <v>1074</v>
      </c>
      <c r="J3" s="651" t="str">
        <f>VLOOKUP(D3,[5]Sheet1!$D$1:$D$65536,1,0)</f>
        <v>AC0603KRX7R0BB103</v>
      </c>
      <c r="K3" s="649" t="s">
        <v>28</v>
      </c>
      <c r="L3" s="649">
        <v>7</v>
      </c>
      <c r="M3" s="649"/>
      <c r="N3" s="650" t="s">
        <v>1075</v>
      </c>
      <c r="O3" s="652">
        <v>2.9199999999999999E-3</v>
      </c>
      <c r="P3" s="652"/>
      <c r="Q3" s="652"/>
      <c r="R3" s="652">
        <f>O3*1.035</f>
        <v>3.0221999999999996E-3</v>
      </c>
      <c r="S3" s="652">
        <f t="shared" ref="S3:S34" si="0">R3-_xlfn.MINIFS(R:R,C:C,C3)</f>
        <v>1.1695499999999999E-3</v>
      </c>
      <c r="T3" s="652"/>
      <c r="U3" s="650" t="s">
        <v>1442</v>
      </c>
      <c r="V3" s="650">
        <v>10000</v>
      </c>
      <c r="W3" s="650">
        <v>10</v>
      </c>
      <c r="X3" s="653"/>
      <c r="Y3" s="653"/>
      <c r="Z3" s="752" t="s">
        <v>1077</v>
      </c>
    </row>
    <row r="4" spans="1:54" s="658" customFormat="1">
      <c r="A4" s="654">
        <v>2</v>
      </c>
      <c r="B4" s="655" t="s">
        <v>337</v>
      </c>
      <c r="C4" s="655" t="s">
        <v>338</v>
      </c>
      <c r="D4" s="655" t="s">
        <v>339</v>
      </c>
      <c r="E4" s="655" t="s">
        <v>339</v>
      </c>
      <c r="F4" s="655" t="s">
        <v>339</v>
      </c>
      <c r="G4" s="655" t="s">
        <v>340</v>
      </c>
      <c r="H4" s="654" t="s">
        <v>1073</v>
      </c>
      <c r="I4" s="656" t="s">
        <v>1074</v>
      </c>
      <c r="J4" s="651" t="str">
        <f>VLOOKUP(D4,[5]Sheet1!$D$1:$D$65536,1,0)</f>
        <v>CL10B103KC8WPNC</v>
      </c>
      <c r="K4" s="654" t="s">
        <v>28</v>
      </c>
      <c r="L4" s="654"/>
      <c r="M4" s="654">
        <v>7</v>
      </c>
      <c r="N4" s="655" t="s">
        <v>260</v>
      </c>
      <c r="O4" s="655">
        <v>1.7899999999999999E-3</v>
      </c>
      <c r="P4" s="655"/>
      <c r="Q4" s="655"/>
      <c r="R4" s="655">
        <f t="shared" ref="R4:R67" si="1">O4*1.035</f>
        <v>1.8526499999999997E-3</v>
      </c>
      <c r="S4" s="652">
        <f t="shared" si="0"/>
        <v>0</v>
      </c>
      <c r="T4" s="655">
        <f>R4*M4</f>
        <v>1.2968549999999999E-2</v>
      </c>
      <c r="U4" s="655" t="s">
        <v>1443</v>
      </c>
      <c r="V4" s="655">
        <v>4000</v>
      </c>
      <c r="W4" s="655">
        <v>20</v>
      </c>
      <c r="X4" s="657" t="s">
        <v>1444</v>
      </c>
      <c r="Y4" s="657" t="s">
        <v>1444</v>
      </c>
      <c r="Z4" s="752"/>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row>
    <row r="5" spans="1:54">
      <c r="A5" s="649">
        <v>2</v>
      </c>
      <c r="B5" s="650" t="s">
        <v>348</v>
      </c>
      <c r="C5" s="650" t="s">
        <v>338</v>
      </c>
      <c r="D5" s="650" t="s">
        <v>349</v>
      </c>
      <c r="E5" s="650" t="s">
        <v>349</v>
      </c>
      <c r="F5" s="650" t="s">
        <v>349</v>
      </c>
      <c r="G5" s="650" t="s">
        <v>340</v>
      </c>
      <c r="H5" s="649" t="s">
        <v>1073</v>
      </c>
      <c r="I5" s="651" t="s">
        <v>1074</v>
      </c>
      <c r="J5" s="651" t="str">
        <f>VLOOKUP(D5,[5]Sheet1!$D$1:$D$65536,1,0)</f>
        <v>GCM188R72A103KA37D</v>
      </c>
      <c r="K5" s="649" t="s">
        <v>28</v>
      </c>
      <c r="L5" s="649"/>
      <c r="M5" s="649"/>
      <c r="N5" s="650" t="s">
        <v>237</v>
      </c>
      <c r="O5" s="652">
        <v>2.7000000000000001E-3</v>
      </c>
      <c r="P5" s="652"/>
      <c r="Q5" s="652"/>
      <c r="R5" s="652">
        <f t="shared" si="1"/>
        <v>2.7945000000000001E-3</v>
      </c>
      <c r="S5" s="652">
        <f t="shared" si="0"/>
        <v>9.4185000000000037E-4</v>
      </c>
      <c r="T5" s="652"/>
      <c r="U5" s="650" t="s">
        <v>237</v>
      </c>
      <c r="V5" s="650">
        <v>10000</v>
      </c>
      <c r="W5" s="650">
        <v>12</v>
      </c>
      <c r="X5" s="653"/>
      <c r="Y5" s="653"/>
      <c r="Z5" s="752"/>
    </row>
    <row r="6" spans="1:54">
      <c r="A6" s="649">
        <v>2</v>
      </c>
      <c r="B6" s="650" t="s">
        <v>342</v>
      </c>
      <c r="C6" s="650" t="s">
        <v>338</v>
      </c>
      <c r="D6" s="650" t="s">
        <v>343</v>
      </c>
      <c r="E6" s="650" t="s">
        <v>343</v>
      </c>
      <c r="F6" s="650" t="s">
        <v>343</v>
      </c>
      <c r="G6" s="650" t="s">
        <v>340</v>
      </c>
      <c r="H6" s="649" t="s">
        <v>1073</v>
      </c>
      <c r="I6" s="651" t="s">
        <v>1074</v>
      </c>
      <c r="J6" s="651" t="str">
        <f>VLOOKUP(D6,[5]Sheet1!$D$1:$D$65536,1,0)</f>
        <v>HMK107B7103KAHT</v>
      </c>
      <c r="K6" s="649" t="s">
        <v>28</v>
      </c>
      <c r="L6" s="649"/>
      <c r="M6" s="649"/>
      <c r="N6" s="650" t="s">
        <v>257</v>
      </c>
      <c r="O6" s="652">
        <v>3.0000000000000001E-3</v>
      </c>
      <c r="P6" s="652"/>
      <c r="Q6" s="652"/>
      <c r="R6" s="652">
        <f t="shared" si="1"/>
        <v>3.1049999999999997E-3</v>
      </c>
      <c r="S6" s="652">
        <f t="shared" si="0"/>
        <v>1.2523499999999999E-3</v>
      </c>
      <c r="T6" s="652"/>
      <c r="U6" s="650" t="s">
        <v>1079</v>
      </c>
      <c r="V6" s="650"/>
      <c r="W6" s="650"/>
      <c r="X6" s="653"/>
      <c r="Y6" s="653"/>
      <c r="Z6" s="752"/>
    </row>
    <row r="7" spans="1:54">
      <c r="A7" s="649">
        <v>2</v>
      </c>
      <c r="B7" s="650" t="s">
        <v>350</v>
      </c>
      <c r="C7" s="650" t="s">
        <v>338</v>
      </c>
      <c r="D7" s="650" t="s">
        <v>350</v>
      </c>
      <c r="E7" s="650" t="s">
        <v>350</v>
      </c>
      <c r="F7" s="650" t="s">
        <v>350</v>
      </c>
      <c r="G7" s="650" t="s">
        <v>340</v>
      </c>
      <c r="H7" s="649" t="s">
        <v>1073</v>
      </c>
      <c r="I7" s="651" t="s">
        <v>1074</v>
      </c>
      <c r="J7" s="651" t="str">
        <f>VLOOKUP(D7,[5]Sheet1!$D$1:$D$65536,1,0)</f>
        <v>MCASH168SB7103KTNA01</v>
      </c>
      <c r="K7" s="649" t="s">
        <v>28</v>
      </c>
      <c r="L7" s="649"/>
      <c r="M7" s="649"/>
      <c r="N7" s="650" t="s">
        <v>257</v>
      </c>
      <c r="O7" s="652">
        <v>2.3800000000000002E-3</v>
      </c>
      <c r="P7" s="652"/>
      <c r="Q7" s="652"/>
      <c r="R7" s="652">
        <f t="shared" si="1"/>
        <v>2.4632999999999999E-3</v>
      </c>
      <c r="S7" s="652">
        <f t="shared" si="0"/>
        <v>6.1065000000000012E-4</v>
      </c>
      <c r="T7" s="652"/>
      <c r="U7" s="650" t="s">
        <v>1080</v>
      </c>
      <c r="V7" s="650"/>
      <c r="W7" s="650"/>
      <c r="X7" s="653"/>
      <c r="Y7" s="653"/>
      <c r="Z7" s="752"/>
    </row>
    <row r="8" spans="1:54">
      <c r="A8" s="649">
        <v>2</v>
      </c>
      <c r="B8" s="650" t="s">
        <v>351</v>
      </c>
      <c r="C8" s="650" t="s">
        <v>338</v>
      </c>
      <c r="D8" s="650" t="s">
        <v>351</v>
      </c>
      <c r="E8" s="650" t="s">
        <v>351</v>
      </c>
      <c r="F8" s="650" t="s">
        <v>351</v>
      </c>
      <c r="G8" s="650" t="s">
        <v>340</v>
      </c>
      <c r="H8" s="649" t="s">
        <v>1073</v>
      </c>
      <c r="I8" s="651" t="s">
        <v>1074</v>
      </c>
      <c r="J8" s="651" t="str">
        <f>VLOOKUP(D8,[5]Sheet1!$D$1:$D$65536,1,0)</f>
        <v>MAASH168SB7103KTCA01</v>
      </c>
      <c r="K8" s="649" t="s">
        <v>28</v>
      </c>
      <c r="L8" s="649"/>
      <c r="M8" s="649"/>
      <c r="N8" s="650" t="s">
        <v>257</v>
      </c>
      <c r="O8" s="652">
        <v>2.3800000000000002E-3</v>
      </c>
      <c r="P8" s="652"/>
      <c r="Q8" s="652"/>
      <c r="R8" s="652">
        <f t="shared" si="1"/>
        <v>2.4632999999999999E-3</v>
      </c>
      <c r="S8" s="652">
        <f t="shared" si="0"/>
        <v>6.1065000000000012E-4</v>
      </c>
      <c r="T8" s="652"/>
      <c r="U8" s="650" t="s">
        <v>1081</v>
      </c>
      <c r="V8" s="650"/>
      <c r="W8" s="650"/>
      <c r="X8" s="653"/>
      <c r="Y8" s="653"/>
      <c r="Z8" s="752"/>
    </row>
    <row r="9" spans="1:54" ht="30.5" customHeight="1">
      <c r="A9" s="649">
        <v>2</v>
      </c>
      <c r="B9" s="650" t="s">
        <v>346</v>
      </c>
      <c r="C9" s="650" t="s">
        <v>338</v>
      </c>
      <c r="D9" s="650" t="s">
        <v>347</v>
      </c>
      <c r="E9" s="650" t="s">
        <v>347</v>
      </c>
      <c r="F9" s="650" t="s">
        <v>347</v>
      </c>
      <c r="G9" s="650" t="s">
        <v>340</v>
      </c>
      <c r="H9" s="649" t="s">
        <v>1073</v>
      </c>
      <c r="I9" s="651" t="s">
        <v>1074</v>
      </c>
      <c r="J9" s="651" t="str">
        <f>VLOOKUP(D9,[5]Sheet1!$D$1:$D$65536,1,0)</f>
        <v>CGA3E2X7R2A103K080AA</v>
      </c>
      <c r="K9" s="649" t="s">
        <v>28</v>
      </c>
      <c r="L9" s="649"/>
      <c r="M9" s="649"/>
      <c r="N9" s="650" t="s">
        <v>240</v>
      </c>
      <c r="O9" s="652">
        <v>4.64E-3</v>
      </c>
      <c r="P9" s="652"/>
      <c r="Q9" s="652"/>
      <c r="R9" s="652">
        <f t="shared" si="1"/>
        <v>4.8024000000000001E-3</v>
      </c>
      <c r="S9" s="652">
        <f t="shared" si="0"/>
        <v>2.9497500000000001E-3</v>
      </c>
      <c r="T9" s="652"/>
      <c r="U9" s="650" t="s">
        <v>1445</v>
      </c>
      <c r="V9" s="650"/>
      <c r="W9" s="650"/>
      <c r="X9" s="653"/>
      <c r="Y9" s="653"/>
      <c r="Z9" s="752"/>
    </row>
    <row r="10" spans="1:54" ht="43.5" customHeight="1">
      <c r="A10" s="649">
        <v>2</v>
      </c>
      <c r="B10" s="650" t="s">
        <v>281</v>
      </c>
      <c r="C10" s="650" t="s">
        <v>272</v>
      </c>
      <c r="D10" s="650" t="s">
        <v>282</v>
      </c>
      <c r="E10" s="650" t="s">
        <v>282</v>
      </c>
      <c r="F10" s="650" t="s">
        <v>282</v>
      </c>
      <c r="G10" s="650" t="s">
        <v>274</v>
      </c>
      <c r="H10" s="649" t="s">
        <v>1073</v>
      </c>
      <c r="I10" s="651" t="s">
        <v>1074</v>
      </c>
      <c r="J10" s="651" t="str">
        <f>VLOOKUP(D10,[5]Sheet1!$D$1:$D$65536,1,0)</f>
        <v>GCM155R71H104KE02D</v>
      </c>
      <c r="K10" s="649" t="s">
        <v>28</v>
      </c>
      <c r="L10" s="649">
        <v>9</v>
      </c>
      <c r="M10" s="649"/>
      <c r="N10" s="650" t="s">
        <v>237</v>
      </c>
      <c r="O10" s="652">
        <v>2.5000000000000001E-3</v>
      </c>
      <c r="P10" s="652"/>
      <c r="Q10" s="652"/>
      <c r="R10" s="652">
        <f t="shared" si="1"/>
        <v>2.5875E-3</v>
      </c>
      <c r="S10" s="652">
        <f t="shared" si="0"/>
        <v>9.9360000000000008E-4</v>
      </c>
      <c r="T10" s="652"/>
      <c r="U10" s="650" t="s">
        <v>237</v>
      </c>
      <c r="V10" s="650">
        <v>10000</v>
      </c>
      <c r="W10" s="650">
        <v>12</v>
      </c>
      <c r="X10" s="653"/>
      <c r="Y10" s="653"/>
      <c r="Z10" s="752" t="s">
        <v>1083</v>
      </c>
    </row>
    <row r="11" spans="1:54" s="658" customFormat="1" ht="15.75" customHeight="1">
      <c r="A11" s="654">
        <v>2</v>
      </c>
      <c r="B11" s="655" t="s">
        <v>271</v>
      </c>
      <c r="C11" s="655" t="s">
        <v>272</v>
      </c>
      <c r="D11" s="655" t="s">
        <v>1084</v>
      </c>
      <c r="E11" s="655" t="s">
        <v>1084</v>
      </c>
      <c r="F11" s="659" t="e">
        <v>#N/A</v>
      </c>
      <c r="G11" s="659" t="s">
        <v>274</v>
      </c>
      <c r="H11" s="660" t="s">
        <v>1073</v>
      </c>
      <c r="I11" s="661" t="s">
        <v>1074</v>
      </c>
      <c r="J11" s="651" t="str">
        <f>VLOOKUP(D11,[5]Sheet1!$D$1:$D$65536,1,0)</f>
        <v>CL05B104KB54PNC</v>
      </c>
      <c r="K11" s="654" t="s">
        <v>28</v>
      </c>
      <c r="L11" s="654"/>
      <c r="M11" s="654">
        <v>9</v>
      </c>
      <c r="N11" s="655" t="s">
        <v>275</v>
      </c>
      <c r="O11" s="655">
        <v>1.5399999999999999E-3</v>
      </c>
      <c r="P11" s="655"/>
      <c r="Q11" s="655"/>
      <c r="R11" s="652">
        <f t="shared" si="1"/>
        <v>1.5938999999999999E-3</v>
      </c>
      <c r="S11" s="652">
        <f t="shared" si="0"/>
        <v>0</v>
      </c>
      <c r="T11" s="655">
        <f>R11*M11</f>
        <v>1.43451E-2</v>
      </c>
      <c r="U11" s="655" t="s">
        <v>1443</v>
      </c>
      <c r="V11" s="655">
        <v>2000</v>
      </c>
      <c r="W11" s="655">
        <v>18</v>
      </c>
      <c r="X11" s="657" t="s">
        <v>1444</v>
      </c>
      <c r="Y11" s="657" t="s">
        <v>1444</v>
      </c>
      <c r="Z11" s="752"/>
      <c r="AA11" s="753"/>
      <c r="AB11" s="753"/>
      <c r="AC11" s="753"/>
      <c r="AD11" s="753"/>
      <c r="AE11" s="753"/>
      <c r="AF11" s="753"/>
      <c r="AG11" s="753"/>
      <c r="AH11" s="753"/>
      <c r="AI11" s="753"/>
      <c r="AJ11" s="753"/>
      <c r="AK11" s="753"/>
      <c r="AL11" s="753"/>
      <c r="AM11" s="753"/>
      <c r="AN11" s="753"/>
      <c r="AO11" s="753"/>
      <c r="AP11" s="753"/>
      <c r="AQ11" s="753"/>
      <c r="AR11" s="753"/>
      <c r="AS11" s="753"/>
      <c r="AT11" s="753"/>
      <c r="AU11" s="753"/>
      <c r="AV11" s="753"/>
      <c r="AW11" s="753"/>
      <c r="AX11" s="753"/>
      <c r="AY11" s="753"/>
      <c r="AZ11" s="753"/>
      <c r="BA11" s="753"/>
      <c r="BB11" s="753"/>
    </row>
    <row r="12" spans="1:54" ht="15.75" customHeight="1">
      <c r="A12" s="649">
        <v>2</v>
      </c>
      <c r="B12" s="650" t="s">
        <v>277</v>
      </c>
      <c r="C12" s="650" t="s">
        <v>272</v>
      </c>
      <c r="D12" s="650" t="s">
        <v>278</v>
      </c>
      <c r="E12" s="650" t="s">
        <v>278</v>
      </c>
      <c r="F12" s="650" t="s">
        <v>278</v>
      </c>
      <c r="G12" s="650" t="s">
        <v>274</v>
      </c>
      <c r="H12" s="649" t="s">
        <v>1073</v>
      </c>
      <c r="I12" s="651" t="s">
        <v>1074</v>
      </c>
      <c r="J12" s="651" t="str">
        <f>VLOOKUP(D12,[5]Sheet1!$D$1:$D$65536,1,0)</f>
        <v>GCM155R71H104KE02J</v>
      </c>
      <c r="K12" s="649" t="s">
        <v>28</v>
      </c>
      <c r="L12" s="649"/>
      <c r="M12" s="649"/>
      <c r="N12" s="650" t="s">
        <v>237</v>
      </c>
      <c r="O12" s="652">
        <v>1.9E-3</v>
      </c>
      <c r="P12" s="652"/>
      <c r="Q12" s="652"/>
      <c r="R12" s="652">
        <f t="shared" si="1"/>
        <v>1.9664999999999999E-3</v>
      </c>
      <c r="S12" s="652">
        <f t="shared" si="0"/>
        <v>3.7260000000000006E-4</v>
      </c>
      <c r="T12" s="652"/>
      <c r="U12" s="650" t="s">
        <v>1086</v>
      </c>
      <c r="V12" s="650">
        <v>10000</v>
      </c>
      <c r="W12" s="650">
        <v>12</v>
      </c>
      <c r="X12" s="653"/>
      <c r="Y12" s="653"/>
      <c r="Z12" s="752"/>
    </row>
    <row r="13" spans="1:54" ht="15.75" customHeight="1">
      <c r="A13" s="649">
        <v>2</v>
      </c>
      <c r="B13" s="650" t="s">
        <v>283</v>
      </c>
      <c r="C13" s="650" t="s">
        <v>272</v>
      </c>
      <c r="D13" s="650" t="s">
        <v>283</v>
      </c>
      <c r="E13" s="650" t="s">
        <v>283</v>
      </c>
      <c r="F13" s="650" t="s">
        <v>283</v>
      </c>
      <c r="G13" s="650" t="s">
        <v>274</v>
      </c>
      <c r="H13" s="649" t="s">
        <v>1073</v>
      </c>
      <c r="I13" s="651" t="s">
        <v>1074</v>
      </c>
      <c r="J13" s="651" t="str">
        <f>VLOOKUP(D13,[5]Sheet1!$D$1:$D$65536,1,0)</f>
        <v>MCASU105SB7104KFNA01</v>
      </c>
      <c r="K13" s="649" t="s">
        <v>28</v>
      </c>
      <c r="L13" s="649"/>
      <c r="M13" s="649"/>
      <c r="N13" s="650" t="s">
        <v>257</v>
      </c>
      <c r="O13" s="652">
        <v>2.3600000000000001E-3</v>
      </c>
      <c r="P13" s="652"/>
      <c r="Q13" s="652"/>
      <c r="R13" s="652">
        <f t="shared" si="1"/>
        <v>2.4426000000000001E-3</v>
      </c>
      <c r="S13" s="652">
        <f t="shared" si="0"/>
        <v>8.4870000000000019E-4</v>
      </c>
      <c r="T13" s="652"/>
      <c r="U13" s="650" t="s">
        <v>1446</v>
      </c>
      <c r="V13" s="650"/>
      <c r="W13" s="650"/>
      <c r="X13" s="653"/>
      <c r="Y13" s="653"/>
      <c r="Z13" s="752"/>
    </row>
    <row r="14" spans="1:54" ht="15.75" customHeight="1">
      <c r="A14" s="649">
        <v>2</v>
      </c>
      <c r="B14" s="650" t="s">
        <v>279</v>
      </c>
      <c r="C14" s="650" t="s">
        <v>272</v>
      </c>
      <c r="D14" s="650" t="s">
        <v>280</v>
      </c>
      <c r="E14" s="650" t="s">
        <v>280</v>
      </c>
      <c r="F14" s="650" t="s">
        <v>280</v>
      </c>
      <c r="G14" s="650" t="s">
        <v>274</v>
      </c>
      <c r="H14" s="649" t="s">
        <v>1073</v>
      </c>
      <c r="I14" s="651" t="s">
        <v>1074</v>
      </c>
      <c r="J14" s="651" t="str">
        <f>VLOOKUP(D14,[5]Sheet1!$D$1:$D$65536,1,0)</f>
        <v>CGA2B3X7R1H104K050BB</v>
      </c>
      <c r="K14" s="649" t="s">
        <v>28</v>
      </c>
      <c r="L14" s="649"/>
      <c r="M14" s="649"/>
      <c r="N14" s="650" t="s">
        <v>240</v>
      </c>
      <c r="O14" s="652">
        <v>2.2699999999999999E-3</v>
      </c>
      <c r="P14" s="652"/>
      <c r="Q14" s="652"/>
      <c r="R14" s="652">
        <f t="shared" si="1"/>
        <v>2.3494499999999999E-3</v>
      </c>
      <c r="S14" s="652">
        <f t="shared" si="0"/>
        <v>7.5555000000000001E-4</v>
      </c>
      <c r="T14" s="652"/>
      <c r="U14" s="650" t="s">
        <v>1445</v>
      </c>
      <c r="V14" s="650"/>
      <c r="W14" s="650"/>
      <c r="X14" s="653"/>
      <c r="Y14" s="653"/>
      <c r="Z14" s="752"/>
    </row>
    <row r="15" spans="1:54" s="658" customFormat="1" ht="34.5">
      <c r="A15" s="654">
        <v>2</v>
      </c>
      <c r="B15" s="655" t="s">
        <v>514</v>
      </c>
      <c r="C15" s="655" t="s">
        <v>515</v>
      </c>
      <c r="D15" s="655" t="s">
        <v>516</v>
      </c>
      <c r="E15" s="655" t="s">
        <v>516</v>
      </c>
      <c r="F15" s="659" t="s">
        <v>516</v>
      </c>
      <c r="G15" s="659" t="s">
        <v>517</v>
      </c>
      <c r="H15" s="660" t="s">
        <v>1073</v>
      </c>
      <c r="I15" s="661" t="s">
        <v>1074</v>
      </c>
      <c r="J15" s="651" t="str">
        <f>VLOOKUP(D15,[5]Sheet1!$D$1:$D$65536,1,0)</f>
        <v>GCM033R71A103KA03D</v>
      </c>
      <c r="K15" s="654" t="s">
        <v>28</v>
      </c>
      <c r="L15" s="654">
        <v>16</v>
      </c>
      <c r="M15" s="654">
        <v>16</v>
      </c>
      <c r="N15" s="655" t="s">
        <v>237</v>
      </c>
      <c r="O15" s="655">
        <v>1.5299999999999999E-3</v>
      </c>
      <c r="P15" s="655">
        <f>VLOOKUP(D15,'EEBOM Feb.2nd2026'!$D:$N,11,0)</f>
        <v>1.5299999999999999E-3</v>
      </c>
      <c r="Q15" s="655">
        <f>O15-P15</f>
        <v>0</v>
      </c>
      <c r="R15" s="652">
        <f t="shared" si="1"/>
        <v>1.5835499999999998E-3</v>
      </c>
      <c r="S15" s="652">
        <f t="shared" si="0"/>
        <v>0</v>
      </c>
      <c r="T15" s="655">
        <f>R15*M15</f>
        <v>2.5336799999999996E-2</v>
      </c>
      <c r="U15" s="655" t="s">
        <v>1089</v>
      </c>
      <c r="V15" s="655">
        <v>10000</v>
      </c>
      <c r="W15" s="655">
        <v>12</v>
      </c>
      <c r="X15" s="657" t="s">
        <v>1447</v>
      </c>
      <c r="Y15" s="657" t="s">
        <v>1448</v>
      </c>
      <c r="Z15" s="752" t="s">
        <v>1091</v>
      </c>
      <c r="AA15" s="753"/>
      <c r="AB15" s="753"/>
      <c r="AC15" s="753"/>
      <c r="AD15" s="753"/>
      <c r="AE15" s="753"/>
      <c r="AF15" s="753"/>
      <c r="AG15" s="753"/>
      <c r="AH15" s="753"/>
      <c r="AI15" s="753"/>
      <c r="AJ15" s="753"/>
      <c r="AK15" s="753"/>
      <c r="AL15" s="753"/>
      <c r="AM15" s="753"/>
      <c r="AN15" s="753"/>
      <c r="AO15" s="753"/>
      <c r="AP15" s="753"/>
      <c r="AQ15" s="753"/>
      <c r="AR15" s="753"/>
      <c r="AS15" s="753"/>
      <c r="AT15" s="753"/>
      <c r="AU15" s="753"/>
      <c r="AV15" s="753"/>
      <c r="AW15" s="753"/>
      <c r="AX15" s="753"/>
      <c r="AY15" s="753"/>
      <c r="AZ15" s="753"/>
      <c r="BA15" s="753"/>
      <c r="BB15" s="753"/>
    </row>
    <row r="16" spans="1:54">
      <c r="A16" s="649">
        <v>2</v>
      </c>
      <c r="B16" s="650" t="s">
        <v>519</v>
      </c>
      <c r="C16" s="650" t="s">
        <v>515</v>
      </c>
      <c r="D16" s="650" t="s">
        <v>520</v>
      </c>
      <c r="E16" s="650" t="s">
        <v>520</v>
      </c>
      <c r="F16" s="650" t="s">
        <v>520</v>
      </c>
      <c r="G16" s="650" t="s">
        <v>517</v>
      </c>
      <c r="H16" s="649" t="s">
        <v>1073</v>
      </c>
      <c r="I16" s="651" t="s">
        <v>1074</v>
      </c>
      <c r="J16" s="651" t="str">
        <f>VLOOKUP(D16,[5]Sheet1!$D$1:$D$65536,1,0)</f>
        <v>GCM033R71A103KA03J</v>
      </c>
      <c r="K16" s="649" t="s">
        <v>28</v>
      </c>
      <c r="L16" s="649"/>
      <c r="M16" s="649"/>
      <c r="N16" s="650" t="s">
        <v>237</v>
      </c>
      <c r="O16" s="652">
        <v>1.5299999999999999E-3</v>
      </c>
      <c r="P16" s="652"/>
      <c r="Q16" s="652"/>
      <c r="R16" s="652">
        <f t="shared" si="1"/>
        <v>1.5835499999999998E-3</v>
      </c>
      <c r="S16" s="652">
        <f t="shared" si="0"/>
        <v>0</v>
      </c>
      <c r="T16" s="652"/>
      <c r="U16" s="650" t="s">
        <v>1089</v>
      </c>
      <c r="V16" s="650">
        <v>10000</v>
      </c>
      <c r="W16" s="650" t="s">
        <v>1090</v>
      </c>
      <c r="X16" s="653"/>
      <c r="Y16" s="653"/>
      <c r="Z16" s="752"/>
    </row>
    <row r="17" spans="1:54">
      <c r="A17" s="649">
        <v>2</v>
      </c>
      <c r="B17" s="650" t="s">
        <v>521</v>
      </c>
      <c r="C17" s="650" t="s">
        <v>515</v>
      </c>
      <c r="D17" s="650" t="s">
        <v>522</v>
      </c>
      <c r="E17" s="650" t="s">
        <v>522</v>
      </c>
      <c r="F17" s="650" t="s">
        <v>522</v>
      </c>
      <c r="G17" s="650" t="s">
        <v>517</v>
      </c>
      <c r="H17" s="649" t="s">
        <v>1073</v>
      </c>
      <c r="I17" s="651" t="s">
        <v>1074</v>
      </c>
      <c r="J17" s="651" t="str">
        <f>VLOOKUP(D17,[5]Sheet1!$D$1:$D$65536,1,0)</f>
        <v>CGA1A2X7R1A103K030BA</v>
      </c>
      <c r="K17" s="649" t="s">
        <v>28</v>
      </c>
      <c r="L17" s="649"/>
      <c r="M17" s="649"/>
      <c r="N17" s="650" t="s">
        <v>240</v>
      </c>
      <c r="O17" s="652">
        <v>2.0500000000000002E-3</v>
      </c>
      <c r="P17" s="652"/>
      <c r="Q17" s="652"/>
      <c r="R17" s="652">
        <f t="shared" si="1"/>
        <v>2.1217499999999999E-3</v>
      </c>
      <c r="S17" s="652">
        <f t="shared" si="0"/>
        <v>5.3820000000000018E-4</v>
      </c>
      <c r="T17" s="652"/>
      <c r="U17" s="650" t="s">
        <v>1443</v>
      </c>
      <c r="V17" s="650">
        <v>1000</v>
      </c>
      <c r="W17" s="650">
        <v>24</v>
      </c>
      <c r="X17" s="653"/>
      <c r="Y17" s="653"/>
      <c r="Z17" s="752"/>
    </row>
    <row r="18" spans="1:54" ht="15.75" customHeight="1">
      <c r="A18" s="649">
        <v>2</v>
      </c>
      <c r="B18" s="650" t="s">
        <v>399</v>
      </c>
      <c r="C18" s="650" t="s">
        <v>396</v>
      </c>
      <c r="D18" s="650" t="s">
        <v>399</v>
      </c>
      <c r="E18" s="650" t="s">
        <v>399</v>
      </c>
      <c r="F18" s="650" t="s">
        <v>399</v>
      </c>
      <c r="G18" s="650" t="s">
        <v>1093</v>
      </c>
      <c r="H18" s="649" t="s">
        <v>1073</v>
      </c>
      <c r="I18" s="651" t="s">
        <v>1074</v>
      </c>
      <c r="J18" s="651" t="str">
        <f>VLOOKUP(D18,[5]Sheet1!$D$1:$D$65536,1,0)</f>
        <v>HMJ107BB7104KAHT</v>
      </c>
      <c r="K18" s="649" t="s">
        <v>28</v>
      </c>
      <c r="L18" s="649">
        <v>10</v>
      </c>
      <c r="M18" s="649"/>
      <c r="N18" s="650" t="s">
        <v>257</v>
      </c>
      <c r="O18" s="652">
        <v>3.73E-2</v>
      </c>
      <c r="P18" s="652"/>
      <c r="Q18" s="652"/>
      <c r="R18" s="652">
        <f t="shared" si="1"/>
        <v>3.8605499999999994E-2</v>
      </c>
      <c r="S18" s="652">
        <f t="shared" si="0"/>
        <v>3.1360499999999993E-2</v>
      </c>
      <c r="T18" s="652"/>
      <c r="U18" s="650" t="s">
        <v>1094</v>
      </c>
      <c r="V18" s="650"/>
      <c r="W18" s="650"/>
      <c r="X18" s="653"/>
      <c r="Y18" s="653"/>
      <c r="Z18" s="752" t="s">
        <v>1095</v>
      </c>
    </row>
    <row r="19" spans="1:54" ht="15.75" customHeight="1">
      <c r="A19" s="649">
        <v>2</v>
      </c>
      <c r="B19" s="650" t="s">
        <v>400</v>
      </c>
      <c r="C19" s="650" t="s">
        <v>396</v>
      </c>
      <c r="D19" s="650" t="s">
        <v>400</v>
      </c>
      <c r="E19" s="650" t="s">
        <v>400</v>
      </c>
      <c r="F19" s="650" t="s">
        <v>400</v>
      </c>
      <c r="G19" s="650" t="s">
        <v>1093</v>
      </c>
      <c r="H19" s="649" t="s">
        <v>1073</v>
      </c>
      <c r="I19" s="651" t="s">
        <v>1074</v>
      </c>
      <c r="J19" s="651" t="str">
        <f>VLOOKUP(D19,[5]Sheet1!$D$1:$D$65536,1,0)</f>
        <v>MCJCH168BB7104KTPA01</v>
      </c>
      <c r="K19" s="649" t="s">
        <v>28</v>
      </c>
      <c r="L19" s="649"/>
      <c r="M19" s="649"/>
      <c r="N19" s="650" t="s">
        <v>257</v>
      </c>
      <c r="O19" s="652">
        <v>3.8800000000000001E-2</v>
      </c>
      <c r="P19" s="652"/>
      <c r="Q19" s="652"/>
      <c r="R19" s="652">
        <f t="shared" si="1"/>
        <v>4.0157999999999999E-2</v>
      </c>
      <c r="S19" s="652">
        <f t="shared" si="0"/>
        <v>3.2912999999999998E-2</v>
      </c>
      <c r="T19" s="652"/>
      <c r="U19" s="650" t="s">
        <v>1094</v>
      </c>
      <c r="V19" s="650"/>
      <c r="W19" s="650"/>
      <c r="X19" s="653"/>
      <c r="Y19" s="653"/>
      <c r="Z19" s="752"/>
    </row>
    <row r="20" spans="1:54" s="658" customFormat="1" ht="15.75" customHeight="1">
      <c r="A20" s="654">
        <v>2</v>
      </c>
      <c r="B20" s="655" t="s">
        <v>395</v>
      </c>
      <c r="C20" s="655" t="s">
        <v>396</v>
      </c>
      <c r="D20" s="655" t="s">
        <v>395</v>
      </c>
      <c r="E20" s="655" t="s">
        <v>395</v>
      </c>
      <c r="F20" s="659" t="s">
        <v>395</v>
      </c>
      <c r="G20" s="659" t="s">
        <v>1093</v>
      </c>
      <c r="H20" s="660" t="s">
        <v>1073</v>
      </c>
      <c r="I20" s="661" t="s">
        <v>1074</v>
      </c>
      <c r="J20" s="651" t="str">
        <f>VLOOKUP(D20,[5]Sheet1!$D$1:$D$65536,1,0)</f>
        <v>GCJ188R72A104KA01D</v>
      </c>
      <c r="K20" s="654" t="s">
        <v>28</v>
      </c>
      <c r="L20" s="654"/>
      <c r="M20" s="654">
        <v>10</v>
      </c>
      <c r="N20" s="655" t="s">
        <v>237</v>
      </c>
      <c r="O20" s="655">
        <v>7.0000000000000001E-3</v>
      </c>
      <c r="P20" s="655">
        <f>VLOOKUP(D20,'EEBOM Feb.2nd2026'!$D:$N,11,0)</f>
        <v>7.0000000000000001E-3</v>
      </c>
      <c r="Q20" s="655">
        <f t="shared" ref="Q20:Q22" si="2">O20-P20</f>
        <v>0</v>
      </c>
      <c r="R20" s="652">
        <f t="shared" si="1"/>
        <v>7.2449999999999997E-3</v>
      </c>
      <c r="S20" s="652">
        <f t="shared" si="0"/>
        <v>0</v>
      </c>
      <c r="T20" s="655">
        <f t="shared" ref="T20:T21" si="3">R20*M20</f>
        <v>7.2450000000000001E-2</v>
      </c>
      <c r="U20" s="655" t="s">
        <v>1089</v>
      </c>
      <c r="V20" s="655">
        <v>10000</v>
      </c>
      <c r="W20" s="655">
        <v>12</v>
      </c>
      <c r="X20" s="657" t="s">
        <v>1447</v>
      </c>
      <c r="Y20" s="657" t="s">
        <v>1448</v>
      </c>
      <c r="Z20" s="752"/>
      <c r="AA20" s="753"/>
      <c r="AB20" s="753"/>
      <c r="AC20" s="753"/>
      <c r="AD20" s="753"/>
      <c r="AE20" s="753"/>
      <c r="AF20" s="753"/>
      <c r="AG20" s="753"/>
      <c r="AH20" s="753"/>
      <c r="AI20" s="753"/>
      <c r="AJ20" s="753"/>
      <c r="AK20" s="753"/>
      <c r="AL20" s="753"/>
      <c r="AM20" s="753"/>
      <c r="AN20" s="753"/>
      <c r="AO20" s="753"/>
      <c r="AP20" s="753"/>
      <c r="AQ20" s="753"/>
      <c r="AR20" s="753"/>
      <c r="AS20" s="753"/>
      <c r="AT20" s="753"/>
      <c r="AU20" s="753"/>
      <c r="AV20" s="753"/>
      <c r="AW20" s="753"/>
      <c r="AX20" s="753"/>
      <c r="AY20" s="753"/>
      <c r="AZ20" s="753"/>
      <c r="BA20" s="753"/>
      <c r="BB20" s="753"/>
    </row>
    <row r="21" spans="1:54" s="658" customFormat="1" ht="15" customHeight="1">
      <c r="A21" s="654">
        <v>2</v>
      </c>
      <c r="B21" s="655" t="s">
        <v>477</v>
      </c>
      <c r="C21" s="655" t="s">
        <v>478</v>
      </c>
      <c r="D21" s="655" t="s">
        <v>477</v>
      </c>
      <c r="E21" s="655" t="s">
        <v>477</v>
      </c>
      <c r="F21" s="659" t="s">
        <v>477</v>
      </c>
      <c r="G21" s="659" t="s">
        <v>479</v>
      </c>
      <c r="H21" s="660" t="s">
        <v>1073</v>
      </c>
      <c r="I21" s="661" t="s">
        <v>1074</v>
      </c>
      <c r="J21" s="651" t="str">
        <f>VLOOKUP(D21,[5]Sheet1!$D$1:$D$65536,1,0)</f>
        <v>GCM033C71A104KE02D</v>
      </c>
      <c r="K21" s="654" t="s">
        <v>28</v>
      </c>
      <c r="L21" s="654">
        <v>28</v>
      </c>
      <c r="M21" s="654">
        <v>28</v>
      </c>
      <c r="N21" s="655" t="s">
        <v>237</v>
      </c>
      <c r="O21" s="655">
        <v>4.0499999999999998E-3</v>
      </c>
      <c r="P21" s="655">
        <f>VLOOKUP(D21,'EEBOM Feb.2nd2026'!$D:$N,11,0)</f>
        <v>4.0499999999999998E-3</v>
      </c>
      <c r="Q21" s="655">
        <f t="shared" si="2"/>
        <v>0</v>
      </c>
      <c r="R21" s="652">
        <f t="shared" si="1"/>
        <v>4.1917499999999993E-3</v>
      </c>
      <c r="S21" s="652">
        <f t="shared" si="0"/>
        <v>0</v>
      </c>
      <c r="T21" s="655">
        <f t="shared" si="3"/>
        <v>0.11736899999999997</v>
      </c>
      <c r="U21" s="655" t="s">
        <v>1089</v>
      </c>
      <c r="V21" s="655">
        <v>10000</v>
      </c>
      <c r="W21" s="655">
        <v>12</v>
      </c>
      <c r="X21" s="657" t="s">
        <v>1447</v>
      </c>
      <c r="Y21" s="657" t="s">
        <v>1448</v>
      </c>
      <c r="Z21" s="752" t="s">
        <v>1096</v>
      </c>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row>
    <row r="22" spans="1:54" s="658" customFormat="1" ht="15" customHeight="1">
      <c r="A22" s="654">
        <v>2</v>
      </c>
      <c r="B22" s="655" t="s">
        <v>481</v>
      </c>
      <c r="C22" s="655" t="s">
        <v>478</v>
      </c>
      <c r="D22" s="655" t="s">
        <v>481</v>
      </c>
      <c r="E22" s="655" t="s">
        <v>481</v>
      </c>
      <c r="F22" s="659" t="s">
        <v>481</v>
      </c>
      <c r="G22" s="659" t="s">
        <v>479</v>
      </c>
      <c r="H22" s="660" t="s">
        <v>1073</v>
      </c>
      <c r="I22" s="661" t="s">
        <v>1074</v>
      </c>
      <c r="J22" s="651" t="str">
        <f>VLOOKUP(D22,[5]Sheet1!$D$1:$D$65536,1,0)</f>
        <v>GCM033C71A104KE02J</v>
      </c>
      <c r="K22" s="654" t="s">
        <v>28</v>
      </c>
      <c r="L22" s="654"/>
      <c r="M22" s="654"/>
      <c r="N22" s="655" t="s">
        <v>237</v>
      </c>
      <c r="O22" s="655">
        <v>4.0499999999999998E-3</v>
      </c>
      <c r="P22" s="655">
        <f>VLOOKUP(D22,'EEBOM Feb.2nd2026'!$D:$N,11,0)</f>
        <v>4.0499999999999998E-3</v>
      </c>
      <c r="Q22" s="655">
        <f t="shared" si="2"/>
        <v>0</v>
      </c>
      <c r="R22" s="652">
        <f t="shared" si="1"/>
        <v>4.1917499999999993E-3</v>
      </c>
      <c r="S22" s="652">
        <f t="shared" si="0"/>
        <v>0</v>
      </c>
      <c r="T22" s="655"/>
      <c r="U22" s="655" t="s">
        <v>1089</v>
      </c>
      <c r="V22" s="655">
        <v>10000</v>
      </c>
      <c r="W22" s="655">
        <v>12</v>
      </c>
      <c r="X22" s="657" t="s">
        <v>1447</v>
      </c>
      <c r="Y22" s="657" t="s">
        <v>1448</v>
      </c>
      <c r="Z22" s="752"/>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row>
    <row r="23" spans="1:54" s="658" customFormat="1" ht="15.75" customHeight="1">
      <c r="A23" s="654">
        <v>2</v>
      </c>
      <c r="B23" s="655" t="s">
        <v>234</v>
      </c>
      <c r="C23" s="655" t="s">
        <v>235</v>
      </c>
      <c r="D23" s="655" t="s">
        <v>234</v>
      </c>
      <c r="E23" s="655" t="s">
        <v>234</v>
      </c>
      <c r="F23" s="659" t="s">
        <v>234</v>
      </c>
      <c r="G23" s="659" t="s">
        <v>1097</v>
      </c>
      <c r="H23" s="660" t="s">
        <v>1073</v>
      </c>
      <c r="I23" s="661" t="s">
        <v>1074</v>
      </c>
      <c r="J23" s="651" t="str">
        <f>VLOOKUP(D23,[5]Sheet1!$D$1:$D$65536,1,0)</f>
        <v>GCM21BR71E225KA73L</v>
      </c>
      <c r="K23" s="654" t="s">
        <v>28</v>
      </c>
      <c r="L23" s="654">
        <v>7</v>
      </c>
      <c r="M23" s="654">
        <v>7</v>
      </c>
      <c r="N23" s="655" t="s">
        <v>237</v>
      </c>
      <c r="O23" s="655">
        <v>1.7999999999999999E-2</v>
      </c>
      <c r="P23" s="655"/>
      <c r="Q23" s="655"/>
      <c r="R23" s="652">
        <f t="shared" si="1"/>
        <v>1.8629999999999997E-2</v>
      </c>
      <c r="S23" s="652">
        <f t="shared" si="0"/>
        <v>0</v>
      </c>
      <c r="T23" s="655">
        <f>R23*M23</f>
        <v>0.13040999999999997</v>
      </c>
      <c r="U23" s="655" t="s">
        <v>1449</v>
      </c>
      <c r="V23" s="655">
        <v>10000</v>
      </c>
      <c r="W23" s="655">
        <v>12</v>
      </c>
      <c r="X23" s="657" t="s">
        <v>1444</v>
      </c>
      <c r="Y23" s="657" t="s">
        <v>1444</v>
      </c>
      <c r="Z23" s="752" t="s">
        <v>1099</v>
      </c>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row>
    <row r="24" spans="1:54" ht="15.75" customHeight="1">
      <c r="A24" s="649">
        <v>2</v>
      </c>
      <c r="B24" s="650" t="s">
        <v>239</v>
      </c>
      <c r="C24" s="650" t="s">
        <v>235</v>
      </c>
      <c r="D24" s="650" t="s">
        <v>239</v>
      </c>
      <c r="E24" s="650" t="s">
        <v>239</v>
      </c>
      <c r="F24" s="650" t="s">
        <v>239</v>
      </c>
      <c r="G24" s="650" t="s">
        <v>1097</v>
      </c>
      <c r="H24" s="649" t="s">
        <v>1073</v>
      </c>
      <c r="I24" s="651" t="s">
        <v>1074</v>
      </c>
      <c r="J24" s="651" t="str">
        <f>VLOOKUP(D24,[5]Sheet1!$D$1:$D$65536,1,0)</f>
        <v>CGA4J3X7R1E225K125AB</v>
      </c>
      <c r="K24" s="649" t="s">
        <v>28</v>
      </c>
      <c r="L24" s="649"/>
      <c r="M24" s="649"/>
      <c r="N24" s="650" t="s">
        <v>240</v>
      </c>
      <c r="O24" s="652">
        <v>3.2219999999999999E-2</v>
      </c>
      <c r="P24" s="652"/>
      <c r="Q24" s="652"/>
      <c r="R24" s="652">
        <f t="shared" si="1"/>
        <v>3.3347699999999994E-2</v>
      </c>
      <c r="S24" s="652">
        <f t="shared" si="0"/>
        <v>1.4717699999999997E-2</v>
      </c>
      <c r="T24" s="652"/>
      <c r="U24" s="650" t="s">
        <v>1443</v>
      </c>
      <c r="V24" s="650">
        <v>4000</v>
      </c>
      <c r="W24" s="650">
        <v>24</v>
      </c>
      <c r="X24" s="653"/>
      <c r="Y24" s="653"/>
      <c r="Z24" s="752"/>
    </row>
    <row r="25" spans="1:54" s="668" customFormat="1" ht="15.75" customHeight="1">
      <c r="A25" s="662">
        <v>2</v>
      </c>
      <c r="B25" s="663" t="s">
        <v>1450</v>
      </c>
      <c r="C25" s="663" t="s">
        <v>1101</v>
      </c>
      <c r="D25" s="664" t="s">
        <v>1100</v>
      </c>
      <c r="E25" s="655" t="s">
        <v>1100</v>
      </c>
      <c r="F25" s="659" t="e">
        <v>#N/A</v>
      </c>
      <c r="G25" s="659" t="s">
        <v>1102</v>
      </c>
      <c r="H25" s="660" t="s">
        <v>1073</v>
      </c>
      <c r="I25" s="661" t="s">
        <v>1074</v>
      </c>
      <c r="J25" s="651" t="str">
        <f>VLOOKUP(D25,[5]Sheet1!$D$1:$D$65536,1,0)</f>
        <v>MCASJ21GAB7106KTNA01</v>
      </c>
      <c r="K25" s="662" t="s">
        <v>28</v>
      </c>
      <c r="L25" s="662">
        <v>3</v>
      </c>
      <c r="M25" s="662">
        <v>3</v>
      </c>
      <c r="N25" s="663" t="s">
        <v>257</v>
      </c>
      <c r="O25" s="663">
        <v>1.0999999999999999E-2</v>
      </c>
      <c r="P25" s="663"/>
      <c r="Q25" s="663"/>
      <c r="R25" s="652">
        <f t="shared" si="1"/>
        <v>1.1384999999999999E-2</v>
      </c>
      <c r="S25" s="652">
        <f t="shared" si="0"/>
        <v>0</v>
      </c>
      <c r="T25" s="655">
        <f>R25*M25</f>
        <v>3.4154999999999998E-2</v>
      </c>
      <c r="U25" s="665" t="s">
        <v>1451</v>
      </c>
      <c r="V25" s="664">
        <v>3000</v>
      </c>
      <c r="W25" s="666">
        <v>11</v>
      </c>
      <c r="X25" s="667" t="s">
        <v>1452</v>
      </c>
      <c r="Y25" s="667" t="s">
        <v>1453</v>
      </c>
      <c r="Z25" s="752" t="s">
        <v>1104</v>
      </c>
      <c r="AA25" s="753"/>
      <c r="AB25" s="753"/>
      <c r="AC25" s="753"/>
      <c r="AD25" s="753"/>
      <c r="AE25" s="753"/>
      <c r="AF25" s="753"/>
      <c r="AG25" s="753"/>
      <c r="AH25" s="753"/>
      <c r="AI25" s="753"/>
      <c r="AJ25" s="753"/>
      <c r="AK25" s="753"/>
      <c r="AL25" s="753"/>
      <c r="AM25" s="753"/>
      <c r="AN25" s="753"/>
      <c r="AO25" s="753"/>
      <c r="AP25" s="753"/>
      <c r="AQ25" s="753"/>
      <c r="AR25" s="753"/>
      <c r="AS25" s="753"/>
      <c r="AT25" s="753"/>
      <c r="AU25" s="753"/>
      <c r="AV25" s="753"/>
      <c r="AW25" s="753"/>
      <c r="AX25" s="753"/>
      <c r="AY25" s="753"/>
      <c r="AZ25" s="753"/>
      <c r="BA25" s="753"/>
      <c r="BB25" s="753"/>
    </row>
    <row r="26" spans="1:54" ht="15.75" customHeight="1">
      <c r="A26" s="649">
        <v>2</v>
      </c>
      <c r="B26" s="650" t="s">
        <v>1105</v>
      </c>
      <c r="C26" s="650" t="s">
        <v>1101</v>
      </c>
      <c r="D26" s="650" t="s">
        <v>1106</v>
      </c>
      <c r="E26" s="650" t="s">
        <v>1106</v>
      </c>
      <c r="F26" s="650" t="e">
        <v>#N/A</v>
      </c>
      <c r="G26" s="650" t="s">
        <v>1102</v>
      </c>
      <c r="H26" s="649" t="s">
        <v>1073</v>
      </c>
      <c r="I26" s="651" t="s">
        <v>1074</v>
      </c>
      <c r="J26" s="651" t="str">
        <f>VLOOKUP(D26,[5]Sheet1!$D$1:$D$65536,1,0)</f>
        <v>GCM21BR70J106KE22L</v>
      </c>
      <c r="K26" s="649" t="s">
        <v>28</v>
      </c>
      <c r="L26" s="649"/>
      <c r="M26" s="649"/>
      <c r="N26" s="650" t="s">
        <v>237</v>
      </c>
      <c r="O26" s="652">
        <v>2.0250000000000001E-2</v>
      </c>
      <c r="P26" s="652"/>
      <c r="Q26" s="652"/>
      <c r="R26" s="652">
        <f t="shared" si="1"/>
        <v>2.0958749999999998E-2</v>
      </c>
      <c r="S26" s="652">
        <f t="shared" si="0"/>
        <v>9.5737499999999989E-3</v>
      </c>
      <c r="T26" s="652"/>
      <c r="U26" s="650" t="s">
        <v>1089</v>
      </c>
      <c r="V26" s="650">
        <v>10000</v>
      </c>
      <c r="W26" s="650" t="s">
        <v>1090</v>
      </c>
      <c r="X26" s="653"/>
      <c r="Y26" s="653"/>
      <c r="Z26" s="752"/>
    </row>
    <row r="27" spans="1:54" ht="15.75" customHeight="1">
      <c r="A27" s="649">
        <v>2</v>
      </c>
      <c r="B27" s="650" t="s">
        <v>1107</v>
      </c>
      <c r="C27" s="650" t="s">
        <v>1101</v>
      </c>
      <c r="D27" s="650" t="s">
        <v>1107</v>
      </c>
      <c r="E27" s="650" t="s">
        <v>1107</v>
      </c>
      <c r="F27" s="650" t="e">
        <v>#N/A</v>
      </c>
      <c r="G27" s="650" t="s">
        <v>1102</v>
      </c>
      <c r="H27" s="649" t="s">
        <v>1073</v>
      </c>
      <c r="I27" s="651" t="s">
        <v>1074</v>
      </c>
      <c r="J27" s="651" t="str">
        <f>VLOOKUP(D27,[5]Sheet1!$D$1:$D$65536,1,0)</f>
        <v>CGA4J1X7R0J106K125AC</v>
      </c>
      <c r="K27" s="649" t="s">
        <v>28</v>
      </c>
      <c r="L27" s="649"/>
      <c r="M27" s="649"/>
      <c r="N27" s="650" t="s">
        <v>240</v>
      </c>
      <c r="O27" s="652">
        <v>2.4750000000000001E-2</v>
      </c>
      <c r="P27" s="652"/>
      <c r="Q27" s="652"/>
      <c r="R27" s="652">
        <f t="shared" si="1"/>
        <v>2.561625E-2</v>
      </c>
      <c r="S27" s="652">
        <f t="shared" si="0"/>
        <v>1.4231250000000001E-2</v>
      </c>
      <c r="T27" s="652"/>
      <c r="U27" s="650" t="s">
        <v>1445</v>
      </c>
      <c r="V27" s="650">
        <v>2000</v>
      </c>
      <c r="W27" s="650">
        <v>16</v>
      </c>
      <c r="X27" s="653"/>
      <c r="Y27" s="653"/>
      <c r="Z27" s="752"/>
    </row>
    <row r="28" spans="1:54" ht="15.75" customHeight="1">
      <c r="A28" s="649">
        <v>2</v>
      </c>
      <c r="B28" s="650" t="s">
        <v>1109</v>
      </c>
      <c r="C28" s="650" t="s">
        <v>1101</v>
      </c>
      <c r="D28" s="650" t="s">
        <v>1109</v>
      </c>
      <c r="E28" s="650" t="s">
        <v>1109</v>
      </c>
      <c r="F28" s="650" t="e">
        <v>#N/A</v>
      </c>
      <c r="G28" s="650" t="s">
        <v>1102</v>
      </c>
      <c r="H28" s="649" t="s">
        <v>1073</v>
      </c>
      <c r="I28" s="651" t="s">
        <v>1074</v>
      </c>
      <c r="J28" s="651" t="str">
        <f>VLOOKUP(D28,[5]Sheet1!$D$1:$D$65536,1,0)</f>
        <v>C0805C106K9RACAUTO</v>
      </c>
      <c r="K28" s="649" t="s">
        <v>28</v>
      </c>
      <c r="L28" s="649"/>
      <c r="M28" s="649"/>
      <c r="N28" s="650" t="s">
        <v>254</v>
      </c>
      <c r="O28" s="652">
        <v>4.1500000000000002E-2</v>
      </c>
      <c r="P28" s="652"/>
      <c r="Q28" s="652"/>
      <c r="R28" s="652">
        <f t="shared" si="1"/>
        <v>4.2952499999999998E-2</v>
      </c>
      <c r="S28" s="652">
        <f t="shared" si="0"/>
        <v>3.1567499999999998E-2</v>
      </c>
      <c r="T28" s="652"/>
      <c r="U28" s="650" t="s">
        <v>1081</v>
      </c>
      <c r="V28" s="650"/>
      <c r="W28" s="650"/>
      <c r="X28" s="653"/>
      <c r="Y28" s="653"/>
      <c r="Z28" s="752"/>
    </row>
    <row r="29" spans="1:54" s="658" customFormat="1" ht="15.75" customHeight="1">
      <c r="A29" s="654">
        <v>2</v>
      </c>
      <c r="B29" s="655" t="s">
        <v>580</v>
      </c>
      <c r="C29" s="655" t="s">
        <v>581</v>
      </c>
      <c r="D29" s="655" t="s">
        <v>580</v>
      </c>
      <c r="E29" s="655" t="s">
        <v>580</v>
      </c>
      <c r="F29" s="659" t="s">
        <v>580</v>
      </c>
      <c r="G29" s="659" t="s">
        <v>582</v>
      </c>
      <c r="H29" s="660" t="s">
        <v>1073</v>
      </c>
      <c r="I29" s="661" t="s">
        <v>1074</v>
      </c>
      <c r="J29" s="651" t="str">
        <f>VLOOKUP(D29,[5]Sheet1!$D$1:$D$65536,1,0)</f>
        <v>CL31B106KAHVPNE</v>
      </c>
      <c r="K29" s="654" t="s">
        <v>28</v>
      </c>
      <c r="L29" s="654">
        <v>5</v>
      </c>
      <c r="M29" s="654">
        <v>5</v>
      </c>
      <c r="N29" s="655" t="s">
        <v>275</v>
      </c>
      <c r="O29" s="655">
        <v>2.5760000000000002E-2</v>
      </c>
      <c r="P29" s="655">
        <f>VLOOKUP(D29,'EEBOM Feb.2nd2026'!$D:$N,11,0)</f>
        <v>2.5760000000000002E-2</v>
      </c>
      <c r="Q29" s="655">
        <f>O29-P29</f>
        <v>0</v>
      </c>
      <c r="R29" s="652">
        <f t="shared" si="1"/>
        <v>2.6661600000000001E-2</v>
      </c>
      <c r="S29" s="652">
        <f t="shared" si="0"/>
        <v>0</v>
      </c>
      <c r="T29" s="655">
        <f>R29*M29</f>
        <v>0.13330800000000001</v>
      </c>
      <c r="U29" s="655" t="s">
        <v>1443</v>
      </c>
      <c r="V29" s="655">
        <v>2000</v>
      </c>
      <c r="W29" s="655">
        <v>18</v>
      </c>
      <c r="X29" s="657" t="s">
        <v>1454</v>
      </c>
      <c r="Y29" s="657" t="s">
        <v>1448</v>
      </c>
      <c r="Z29" s="752" t="s">
        <v>1110</v>
      </c>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row>
    <row r="30" spans="1:54" ht="15.75" customHeight="1">
      <c r="A30" s="649">
        <v>2</v>
      </c>
      <c r="B30" s="650" t="s">
        <v>584</v>
      </c>
      <c r="C30" s="650" t="s">
        <v>581</v>
      </c>
      <c r="D30" s="650" t="s">
        <v>585</v>
      </c>
      <c r="E30" s="650" t="s">
        <v>585</v>
      </c>
      <c r="F30" s="650" t="s">
        <v>585</v>
      </c>
      <c r="G30" s="650" t="s">
        <v>582</v>
      </c>
      <c r="H30" s="649" t="s">
        <v>1073</v>
      </c>
      <c r="I30" s="651" t="s">
        <v>1074</v>
      </c>
      <c r="J30" s="651" t="str">
        <f>VLOOKUP(D30,[5]Sheet1!$D$1:$D$65536,1,0)</f>
        <v>CGA5L1X7R1E106K160AC</v>
      </c>
      <c r="K30" s="649" t="s">
        <v>28</v>
      </c>
      <c r="L30" s="649"/>
      <c r="M30" s="649"/>
      <c r="N30" s="650" t="s">
        <v>240</v>
      </c>
      <c r="O30" s="652">
        <v>3.5060000000000001E-2</v>
      </c>
      <c r="P30" s="652"/>
      <c r="Q30" s="652"/>
      <c r="R30" s="652">
        <f t="shared" si="1"/>
        <v>3.6287099999999996E-2</v>
      </c>
      <c r="S30" s="652">
        <f t="shared" si="0"/>
        <v>9.6254999999999952E-3</v>
      </c>
      <c r="T30" s="652"/>
      <c r="U30" s="650" t="s">
        <v>1445</v>
      </c>
      <c r="V30" s="650">
        <v>2000</v>
      </c>
      <c r="W30" s="650">
        <v>16</v>
      </c>
      <c r="X30" s="653"/>
      <c r="Y30" s="653"/>
      <c r="Z30" s="752"/>
    </row>
    <row r="31" spans="1:54" s="658" customFormat="1" ht="15.5" customHeight="1">
      <c r="A31" s="654">
        <v>2</v>
      </c>
      <c r="B31" s="655" t="s">
        <v>1111</v>
      </c>
      <c r="C31" s="655" t="s">
        <v>1112</v>
      </c>
      <c r="D31" s="655" t="s">
        <v>1111</v>
      </c>
      <c r="E31" s="655" t="s">
        <v>1111</v>
      </c>
      <c r="F31" s="659" t="e">
        <v>#N/A</v>
      </c>
      <c r="G31" s="659" t="s">
        <v>1113</v>
      </c>
      <c r="H31" s="660" t="s">
        <v>1073</v>
      </c>
      <c r="I31" s="661" t="s">
        <v>1074</v>
      </c>
      <c r="J31" s="651" t="str">
        <f>VLOOKUP(D31,[5]Sheet1!$D$1:$D$65536,1,0)</f>
        <v>CGA2B3X7S2A103K050BB</v>
      </c>
      <c r="K31" s="654" t="s">
        <v>28</v>
      </c>
      <c r="L31" s="654">
        <v>4</v>
      </c>
      <c r="M31" s="654">
        <v>4</v>
      </c>
      <c r="N31" s="655" t="s">
        <v>240</v>
      </c>
      <c r="O31" s="655">
        <v>5.9800000000000001E-3</v>
      </c>
      <c r="P31" s="655"/>
      <c r="Q31" s="655"/>
      <c r="R31" s="652">
        <f t="shared" si="1"/>
        <v>6.1893E-3</v>
      </c>
      <c r="S31" s="652">
        <f t="shared" si="0"/>
        <v>0</v>
      </c>
      <c r="T31" s="655">
        <f t="shared" ref="T31:T33" si="4">R31*M31</f>
        <v>2.47572E-2</v>
      </c>
      <c r="U31" s="655" t="s">
        <v>1445</v>
      </c>
      <c r="V31" s="655"/>
      <c r="W31" s="655"/>
      <c r="X31" s="657" t="s">
        <v>1444</v>
      </c>
      <c r="Y31" s="657" t="s">
        <v>1444</v>
      </c>
      <c r="Z31" s="752" t="s">
        <v>1114</v>
      </c>
      <c r="AA31" s="753"/>
      <c r="AB31" s="753"/>
      <c r="AC31" s="753"/>
      <c r="AD31" s="753"/>
      <c r="AE31" s="753"/>
      <c r="AF31" s="753"/>
      <c r="AG31" s="753"/>
      <c r="AH31" s="753"/>
      <c r="AI31" s="753"/>
      <c r="AJ31" s="753"/>
      <c r="AK31" s="753"/>
      <c r="AL31" s="753"/>
      <c r="AM31" s="753"/>
      <c r="AN31" s="753"/>
      <c r="AO31" s="753"/>
      <c r="AP31" s="753"/>
      <c r="AQ31" s="753"/>
      <c r="AR31" s="753"/>
      <c r="AS31" s="753"/>
      <c r="AT31" s="753"/>
      <c r="AU31" s="753"/>
      <c r="AV31" s="753"/>
      <c r="AW31" s="753"/>
      <c r="AX31" s="753"/>
      <c r="AY31" s="753"/>
      <c r="AZ31" s="753"/>
      <c r="BA31" s="753"/>
      <c r="BB31" s="753"/>
    </row>
    <row r="32" spans="1:54" s="658" customFormat="1" ht="15.75" customHeight="1">
      <c r="A32" s="654">
        <v>2</v>
      </c>
      <c r="B32" s="655" t="s">
        <v>503</v>
      </c>
      <c r="C32" s="655" t="s">
        <v>504</v>
      </c>
      <c r="D32" s="655" t="s">
        <v>503</v>
      </c>
      <c r="E32" s="655" t="s">
        <v>503</v>
      </c>
      <c r="F32" s="659" t="s">
        <v>503</v>
      </c>
      <c r="G32" s="659" t="s">
        <v>1115</v>
      </c>
      <c r="H32" s="660" t="s">
        <v>1073</v>
      </c>
      <c r="I32" s="661" t="s">
        <v>1074</v>
      </c>
      <c r="J32" s="651" t="str">
        <f>VLOOKUP(D32,[5]Sheet1!$D$1:$D$65536,1,0)</f>
        <v>GCM1885C2A221JA16D</v>
      </c>
      <c r="K32" s="654" t="s">
        <v>28</v>
      </c>
      <c r="L32" s="654">
        <v>1</v>
      </c>
      <c r="M32" s="654">
        <v>1</v>
      </c>
      <c r="N32" s="655" t="s">
        <v>237</v>
      </c>
      <c r="O32" s="655">
        <v>4.7999999999999996E-3</v>
      </c>
      <c r="P32" s="655">
        <f>VLOOKUP(D32,'EEBOM Feb.2nd2026'!$D:$N,11,0)</f>
        <v>4.7999999999999996E-3</v>
      </c>
      <c r="Q32" s="655">
        <f>O32-P32</f>
        <v>0</v>
      </c>
      <c r="R32" s="652">
        <f t="shared" si="1"/>
        <v>4.9679999999999993E-3</v>
      </c>
      <c r="S32" s="652">
        <f t="shared" si="0"/>
        <v>0</v>
      </c>
      <c r="T32" s="655">
        <f t="shared" si="4"/>
        <v>4.9679999999999993E-3</v>
      </c>
      <c r="U32" s="655" t="s">
        <v>1086</v>
      </c>
      <c r="V32" s="655">
        <v>10000</v>
      </c>
      <c r="W32" s="655">
        <v>12</v>
      </c>
      <c r="X32" s="657" t="s">
        <v>1455</v>
      </c>
      <c r="Y32" s="657" t="s">
        <v>1448</v>
      </c>
      <c r="Z32" s="752" t="s">
        <v>506</v>
      </c>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row>
    <row r="33" spans="1:54" s="658" customFormat="1" ht="15.75" customHeight="1">
      <c r="A33" s="654">
        <v>2</v>
      </c>
      <c r="B33" s="655" t="s">
        <v>311</v>
      </c>
      <c r="C33" s="655" t="s">
        <v>307</v>
      </c>
      <c r="D33" s="655" t="s">
        <v>311</v>
      </c>
      <c r="E33" s="655" t="s">
        <v>311</v>
      </c>
      <c r="F33" s="659" t="s">
        <v>311</v>
      </c>
      <c r="G33" s="659" t="s">
        <v>1116</v>
      </c>
      <c r="H33" s="660" t="s">
        <v>1073</v>
      </c>
      <c r="I33" s="661" t="s">
        <v>1074</v>
      </c>
      <c r="J33" s="651" t="str">
        <f>VLOOKUP(D33,[5]Sheet1!$D$1:$D$65536,1,0)</f>
        <v>CL10B105KA8VPNC</v>
      </c>
      <c r="K33" s="654" t="s">
        <v>28</v>
      </c>
      <c r="L33" s="654">
        <v>5</v>
      </c>
      <c r="M33" s="654">
        <v>5</v>
      </c>
      <c r="N33" s="655" t="s">
        <v>275</v>
      </c>
      <c r="O33" s="655">
        <v>4.8999999999999998E-3</v>
      </c>
      <c r="P33" s="655"/>
      <c r="Q33" s="655"/>
      <c r="R33" s="652">
        <f t="shared" si="1"/>
        <v>5.0714999999999996E-3</v>
      </c>
      <c r="S33" s="652">
        <f t="shared" si="0"/>
        <v>0</v>
      </c>
      <c r="T33" s="655">
        <f t="shared" si="4"/>
        <v>2.5357499999999998E-2</v>
      </c>
      <c r="U33" s="655" t="s">
        <v>1443</v>
      </c>
      <c r="V33" s="655">
        <v>2000</v>
      </c>
      <c r="W33" s="655">
        <v>18</v>
      </c>
      <c r="X33" s="657" t="s">
        <v>1444</v>
      </c>
      <c r="Y33" s="657" t="s">
        <v>1444</v>
      </c>
      <c r="Z33" s="752" t="s">
        <v>1117</v>
      </c>
      <c r="AA33" s="753"/>
      <c r="AB33" s="753"/>
      <c r="AC33" s="753"/>
      <c r="AD33" s="753"/>
      <c r="AE33" s="753"/>
      <c r="AF33" s="753"/>
      <c r="AG33" s="753"/>
      <c r="AH33" s="753"/>
      <c r="AI33" s="753"/>
      <c r="AJ33" s="753"/>
      <c r="AK33" s="753"/>
      <c r="AL33" s="753"/>
      <c r="AM33" s="753"/>
      <c r="AN33" s="753"/>
      <c r="AO33" s="753"/>
      <c r="AP33" s="753"/>
      <c r="AQ33" s="753"/>
      <c r="AR33" s="753"/>
      <c r="AS33" s="753"/>
      <c r="AT33" s="753"/>
      <c r="AU33" s="753"/>
      <c r="AV33" s="753"/>
      <c r="AW33" s="753"/>
      <c r="AX33" s="753"/>
      <c r="AY33" s="753"/>
      <c r="AZ33" s="753"/>
      <c r="BA33" s="753"/>
      <c r="BB33" s="753"/>
    </row>
    <row r="34" spans="1:54" ht="15.75" customHeight="1">
      <c r="A34" s="649">
        <v>2</v>
      </c>
      <c r="B34" s="650" t="s">
        <v>310</v>
      </c>
      <c r="C34" s="650" t="s">
        <v>307</v>
      </c>
      <c r="D34" s="650" t="s">
        <v>310</v>
      </c>
      <c r="E34" s="650" t="s">
        <v>310</v>
      </c>
      <c r="F34" s="650" t="s">
        <v>310</v>
      </c>
      <c r="G34" s="650" t="s">
        <v>1116</v>
      </c>
      <c r="H34" s="649" t="s">
        <v>1073</v>
      </c>
      <c r="I34" s="651" t="s">
        <v>1074</v>
      </c>
      <c r="J34" s="651" t="str">
        <f>VLOOKUP(D34,[5]Sheet1!$D$1:$D$65536,1,0)</f>
        <v>GCM188R71E105KA64D</v>
      </c>
      <c r="K34" s="649" t="s">
        <v>28</v>
      </c>
      <c r="L34" s="649"/>
      <c r="M34" s="649"/>
      <c r="N34" s="650" t="s">
        <v>237</v>
      </c>
      <c r="O34" s="652">
        <v>5.0000000000000001E-3</v>
      </c>
      <c r="P34" s="652"/>
      <c r="Q34" s="652"/>
      <c r="R34" s="652">
        <f t="shared" si="1"/>
        <v>5.1749999999999999E-3</v>
      </c>
      <c r="S34" s="652">
        <f t="shared" si="0"/>
        <v>1.0350000000000029E-4</v>
      </c>
      <c r="T34" s="652"/>
      <c r="U34" s="650" t="s">
        <v>1086</v>
      </c>
      <c r="V34" s="650">
        <v>10000</v>
      </c>
      <c r="W34" s="650">
        <v>12</v>
      </c>
      <c r="X34" s="653"/>
      <c r="Y34" s="653"/>
      <c r="Z34" s="752"/>
    </row>
    <row r="35" spans="1:54" ht="15.75" customHeight="1">
      <c r="A35" s="649">
        <v>2</v>
      </c>
      <c r="B35" s="650" t="s">
        <v>306</v>
      </c>
      <c r="C35" s="650" t="s">
        <v>307</v>
      </c>
      <c r="D35" s="650" t="s">
        <v>306</v>
      </c>
      <c r="E35" s="650" t="s">
        <v>306</v>
      </c>
      <c r="F35" s="650" t="s">
        <v>306</v>
      </c>
      <c r="G35" s="650" t="s">
        <v>1116</v>
      </c>
      <c r="H35" s="649" t="s">
        <v>1073</v>
      </c>
      <c r="I35" s="651" t="s">
        <v>1074</v>
      </c>
      <c r="J35" s="651" t="str">
        <f>VLOOKUP(D35,[5]Sheet1!$D$1:$D$65536,1,0)</f>
        <v>CGA3E1X7R1E105K080AC</v>
      </c>
      <c r="K35" s="649" t="s">
        <v>28</v>
      </c>
      <c r="L35" s="649"/>
      <c r="M35" s="649"/>
      <c r="N35" s="650" t="s">
        <v>240</v>
      </c>
      <c r="O35" s="652">
        <v>6.4250000000000002E-3</v>
      </c>
      <c r="P35" s="652"/>
      <c r="Q35" s="652"/>
      <c r="R35" s="652">
        <f t="shared" si="1"/>
        <v>6.6498749999999995E-3</v>
      </c>
      <c r="S35" s="652">
        <f t="shared" ref="S35:S66" si="5">R35-_xlfn.MINIFS(R:R,C:C,C35)</f>
        <v>1.5783749999999999E-3</v>
      </c>
      <c r="T35" s="652"/>
      <c r="U35" s="650" t="s">
        <v>1443</v>
      </c>
      <c r="V35" s="650">
        <v>4000</v>
      </c>
      <c r="W35" s="650">
        <v>20</v>
      </c>
      <c r="X35" s="653"/>
      <c r="Y35" s="653"/>
      <c r="Z35" s="752"/>
    </row>
    <row r="36" spans="1:54" s="658" customFormat="1" ht="15.75" customHeight="1">
      <c r="A36" s="654">
        <v>2</v>
      </c>
      <c r="B36" s="655" t="s">
        <v>430</v>
      </c>
      <c r="C36" s="655" t="s">
        <v>427</v>
      </c>
      <c r="D36" s="655" t="s">
        <v>431</v>
      </c>
      <c r="E36" s="655" t="s">
        <v>431</v>
      </c>
      <c r="F36" s="659" t="s">
        <v>431</v>
      </c>
      <c r="G36" s="659" t="s">
        <v>428</v>
      </c>
      <c r="H36" s="660" t="s">
        <v>1073</v>
      </c>
      <c r="I36" s="661" t="s">
        <v>1074</v>
      </c>
      <c r="J36" s="651" t="str">
        <f>VLOOKUP(D36,[5]Sheet1!$D$1:$D$65536,1,0)</f>
        <v>GCJ188C70J475KE02D</v>
      </c>
      <c r="K36" s="654" t="s">
        <v>28</v>
      </c>
      <c r="L36" s="654">
        <v>4</v>
      </c>
      <c r="M36" s="654">
        <v>4</v>
      </c>
      <c r="N36" s="655" t="s">
        <v>237</v>
      </c>
      <c r="O36" s="655">
        <v>2.9000000000000001E-2</v>
      </c>
      <c r="P36" s="655">
        <f>VLOOKUP(D36,'EEBOM Feb.2nd2026'!$D:$N,11,0)</f>
        <v>2.9000000000000001E-2</v>
      </c>
      <c r="Q36" s="655">
        <f>O36-P36</f>
        <v>0</v>
      </c>
      <c r="R36" s="652">
        <f t="shared" si="1"/>
        <v>3.0015E-2</v>
      </c>
      <c r="S36" s="652">
        <f t="shared" si="5"/>
        <v>0</v>
      </c>
      <c r="T36" s="655">
        <f>R36*M36</f>
        <v>0.12006</v>
      </c>
      <c r="U36" s="655" t="s">
        <v>1086</v>
      </c>
      <c r="V36" s="655">
        <v>10000</v>
      </c>
      <c r="W36" s="655">
        <v>12</v>
      </c>
      <c r="X36" s="657" t="s">
        <v>1455</v>
      </c>
      <c r="Y36" s="657" t="s">
        <v>1448</v>
      </c>
      <c r="Z36" s="752" t="s">
        <v>1118</v>
      </c>
      <c r="AA36" s="753"/>
      <c r="AB36" s="753"/>
      <c r="AC36" s="753"/>
      <c r="AD36" s="753"/>
      <c r="AE36" s="753"/>
      <c r="AF36" s="753"/>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row>
    <row r="37" spans="1:54" ht="15.75" customHeight="1">
      <c r="A37" s="649">
        <v>2</v>
      </c>
      <c r="B37" s="650" t="s">
        <v>426</v>
      </c>
      <c r="C37" s="650" t="s">
        <v>427</v>
      </c>
      <c r="D37" s="650" t="s">
        <v>426</v>
      </c>
      <c r="E37" s="650" t="s">
        <v>426</v>
      </c>
      <c r="F37" s="650" t="s">
        <v>426</v>
      </c>
      <c r="G37" s="650" t="s">
        <v>428</v>
      </c>
      <c r="H37" s="649" t="s">
        <v>1073</v>
      </c>
      <c r="I37" s="651" t="s">
        <v>1074</v>
      </c>
      <c r="J37" s="651" t="str">
        <f>VLOOKUP(D37,[5]Sheet1!$D$1:$D$65536,1,0)</f>
        <v>GCJ188C70J475KE02J</v>
      </c>
      <c r="K37" s="649" t="s">
        <v>28</v>
      </c>
      <c r="L37" s="649"/>
      <c r="M37" s="649"/>
      <c r="N37" s="650" t="s">
        <v>237</v>
      </c>
      <c r="O37" s="652">
        <v>2.9000000000000001E-2</v>
      </c>
      <c r="P37" s="652"/>
      <c r="Q37" s="652"/>
      <c r="R37" s="652">
        <f t="shared" si="1"/>
        <v>3.0015E-2</v>
      </c>
      <c r="S37" s="652">
        <f t="shared" si="5"/>
        <v>0</v>
      </c>
      <c r="T37" s="652"/>
      <c r="U37" s="650" t="s">
        <v>1086</v>
      </c>
      <c r="V37" s="650">
        <v>10000</v>
      </c>
      <c r="W37" s="650">
        <v>12</v>
      </c>
      <c r="X37" s="653"/>
      <c r="Y37" s="653"/>
      <c r="Z37" s="752"/>
    </row>
    <row r="38" spans="1:54" s="658" customFormat="1" ht="15.75" customHeight="1">
      <c r="A38" s="654">
        <v>2</v>
      </c>
      <c r="B38" s="655" t="s">
        <v>552</v>
      </c>
      <c r="C38" s="655" t="s">
        <v>551</v>
      </c>
      <c r="D38" s="655" t="s">
        <v>552</v>
      </c>
      <c r="E38" s="655" t="s">
        <v>552</v>
      </c>
      <c r="F38" s="659" t="s">
        <v>552</v>
      </c>
      <c r="G38" s="659" t="s">
        <v>553</v>
      </c>
      <c r="H38" s="660" t="s">
        <v>1073</v>
      </c>
      <c r="I38" s="661" t="s">
        <v>1074</v>
      </c>
      <c r="J38" s="651" t="str">
        <f>VLOOKUP(D38,[5]Sheet1!$D$1:$D$65536,1,0)</f>
        <v>KAM05CR71A105KH</v>
      </c>
      <c r="K38" s="654" t="s">
        <v>28</v>
      </c>
      <c r="L38" s="654">
        <v>7</v>
      </c>
      <c r="M38" s="654">
        <v>7</v>
      </c>
      <c r="N38" s="655" t="s">
        <v>554</v>
      </c>
      <c r="O38" s="655">
        <v>8.2500000000000004E-3</v>
      </c>
      <c r="P38" s="655">
        <f>VLOOKUP(D38,'EEBOM Feb.2nd2026'!$D:$N,11,0)</f>
        <v>8.2500000000000004E-3</v>
      </c>
      <c r="Q38" s="655">
        <f>O38-P38</f>
        <v>0</v>
      </c>
      <c r="R38" s="652">
        <f t="shared" si="1"/>
        <v>8.5387499999999995E-3</v>
      </c>
      <c r="S38" s="652">
        <f t="shared" si="5"/>
        <v>0</v>
      </c>
      <c r="T38" s="655">
        <f>R38*M38</f>
        <v>5.9771249999999998E-2</v>
      </c>
      <c r="U38" s="655" t="s">
        <v>1119</v>
      </c>
      <c r="V38" s="655">
        <v>10000</v>
      </c>
      <c r="W38" s="655">
        <v>20</v>
      </c>
      <c r="X38" s="657" t="s">
        <v>1456</v>
      </c>
      <c r="Y38" s="657" t="s">
        <v>1448</v>
      </c>
      <c r="Z38" s="752" t="s">
        <v>1120</v>
      </c>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3"/>
      <c r="AY38" s="753"/>
      <c r="AZ38" s="753"/>
      <c r="BA38" s="753"/>
      <c r="BB38" s="753"/>
    </row>
    <row r="39" spans="1:54" ht="15.75" customHeight="1">
      <c r="A39" s="649">
        <v>2</v>
      </c>
      <c r="B39" s="650" t="s">
        <v>609</v>
      </c>
      <c r="C39" s="650" t="s">
        <v>605</v>
      </c>
      <c r="D39" s="650" t="s">
        <v>1121</v>
      </c>
      <c r="E39" s="650" t="s">
        <v>609</v>
      </c>
      <c r="F39" s="650" t="s">
        <v>609</v>
      </c>
      <c r="G39" s="650" t="s">
        <v>607</v>
      </c>
      <c r="H39" s="649" t="s">
        <v>1073</v>
      </c>
      <c r="I39" s="651" t="s">
        <v>1074</v>
      </c>
      <c r="J39" s="651" t="str">
        <f>VLOOKUP(D39,[5]Sheet1!$D$1:$D$65536,1,0)</f>
        <v>MCASU063SCG180JFNA01</v>
      </c>
      <c r="K39" s="649" t="s">
        <v>28</v>
      </c>
      <c r="L39" s="649">
        <v>2</v>
      </c>
      <c r="M39" s="649"/>
      <c r="N39" s="650" t="s">
        <v>257</v>
      </c>
      <c r="O39" s="652">
        <v>1.7700000000000001E-3</v>
      </c>
      <c r="P39" s="652"/>
      <c r="Q39" s="652"/>
      <c r="R39" s="652">
        <f t="shared" si="1"/>
        <v>1.8319499999999999E-3</v>
      </c>
      <c r="S39" s="652">
        <f t="shared" si="5"/>
        <v>7.2450000000000162E-5</v>
      </c>
      <c r="T39" s="652"/>
      <c r="U39" s="650" t="s">
        <v>1122</v>
      </c>
      <c r="V39" s="650">
        <v>150000</v>
      </c>
      <c r="W39" s="650">
        <v>12</v>
      </c>
      <c r="X39" s="653"/>
      <c r="Y39" s="653"/>
      <c r="Z39" s="752"/>
    </row>
    <row r="40" spans="1:54" s="658" customFormat="1" ht="15.75" customHeight="1">
      <c r="A40" s="654">
        <v>2</v>
      </c>
      <c r="B40" s="655" t="s">
        <v>610</v>
      </c>
      <c r="C40" s="655" t="s">
        <v>605</v>
      </c>
      <c r="D40" s="655" t="s">
        <v>610</v>
      </c>
      <c r="E40" s="655" t="s">
        <v>610</v>
      </c>
      <c r="F40" s="659" t="s">
        <v>610</v>
      </c>
      <c r="G40" s="659" t="s">
        <v>607</v>
      </c>
      <c r="H40" s="660" t="s">
        <v>1073</v>
      </c>
      <c r="I40" s="661" t="s">
        <v>1074</v>
      </c>
      <c r="J40" s="651" t="str">
        <f>VLOOKUP(D40,[5]Sheet1!$D$1:$D$65536,1,0)</f>
        <v>GCM0335C1H180JA16D</v>
      </c>
      <c r="K40" s="654" t="s">
        <v>28</v>
      </c>
      <c r="L40" s="654"/>
      <c r="M40" s="654">
        <v>2</v>
      </c>
      <c r="N40" s="655" t="s">
        <v>237</v>
      </c>
      <c r="O40" s="655">
        <v>1.6999999999999999E-3</v>
      </c>
      <c r="P40" s="655">
        <f>VLOOKUP(D40,'EEBOM Feb.2nd2026'!$D:$N,11,0)</f>
        <v>1.6999999999999999E-3</v>
      </c>
      <c r="Q40" s="655">
        <f>O40-P40</f>
        <v>0</v>
      </c>
      <c r="R40" s="652">
        <f t="shared" si="1"/>
        <v>1.7594999999999998E-3</v>
      </c>
      <c r="S40" s="652">
        <f t="shared" si="5"/>
        <v>0</v>
      </c>
      <c r="T40" s="655">
        <f>R40*M40</f>
        <v>3.5189999999999996E-3</v>
      </c>
      <c r="U40" s="655" t="s">
        <v>1089</v>
      </c>
      <c r="V40" s="655">
        <v>10000</v>
      </c>
      <c r="W40" s="655">
        <v>12</v>
      </c>
      <c r="X40" s="657" t="s">
        <v>1447</v>
      </c>
      <c r="Y40" s="657" t="s">
        <v>1448</v>
      </c>
      <c r="Z40" s="752"/>
      <c r="AA40" s="753"/>
      <c r="AB40" s="753"/>
      <c r="AC40" s="753"/>
      <c r="AD40" s="753"/>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row>
    <row r="41" spans="1:54" ht="15.75" customHeight="1">
      <c r="A41" s="649">
        <v>2</v>
      </c>
      <c r="B41" s="650" t="s">
        <v>611</v>
      </c>
      <c r="C41" s="650" t="s">
        <v>605</v>
      </c>
      <c r="D41" s="650" t="s">
        <v>611</v>
      </c>
      <c r="E41" s="650" t="s">
        <v>611</v>
      </c>
      <c r="F41" s="650" t="s">
        <v>611</v>
      </c>
      <c r="G41" s="650" t="s">
        <v>607</v>
      </c>
      <c r="H41" s="649" t="s">
        <v>1073</v>
      </c>
      <c r="I41" s="651" t="s">
        <v>1074</v>
      </c>
      <c r="J41" s="651" t="str">
        <f>VLOOKUP(D41,[5]Sheet1!$D$1:$D$65536,1,0)</f>
        <v>GCM0335C1H180JA16J</v>
      </c>
      <c r="K41" s="649" t="s">
        <v>28</v>
      </c>
      <c r="L41" s="649"/>
      <c r="M41" s="649"/>
      <c r="N41" s="650" t="s">
        <v>237</v>
      </c>
      <c r="O41" s="652">
        <v>1.6999999999999999E-3</v>
      </c>
      <c r="P41" s="652"/>
      <c r="Q41" s="652"/>
      <c r="R41" s="652">
        <f t="shared" si="1"/>
        <v>1.7594999999999998E-3</v>
      </c>
      <c r="S41" s="652">
        <f t="shared" si="5"/>
        <v>0</v>
      </c>
      <c r="T41" s="652"/>
      <c r="U41" s="650" t="s">
        <v>1089</v>
      </c>
      <c r="V41" s="650"/>
      <c r="W41" s="650"/>
      <c r="X41" s="653"/>
      <c r="Y41" s="653"/>
      <c r="Z41" s="752"/>
    </row>
    <row r="42" spans="1:54" ht="15.75" customHeight="1">
      <c r="A42" s="649">
        <v>2</v>
      </c>
      <c r="B42" s="650" t="s">
        <v>604</v>
      </c>
      <c r="C42" s="650" t="s">
        <v>605</v>
      </c>
      <c r="D42" s="650" t="s">
        <v>606</v>
      </c>
      <c r="E42" s="650" t="s">
        <v>606</v>
      </c>
      <c r="F42" s="650" t="s">
        <v>606</v>
      </c>
      <c r="G42" s="650" t="s">
        <v>607</v>
      </c>
      <c r="H42" s="649" t="s">
        <v>1073</v>
      </c>
      <c r="I42" s="651" t="s">
        <v>1074</v>
      </c>
      <c r="J42" s="651" t="str">
        <f>VLOOKUP(D42,[5]Sheet1!$D$1:$D$65536,1,0)</f>
        <v>CGA1A2C0G1H180J030BA</v>
      </c>
      <c r="K42" s="649" t="s">
        <v>28</v>
      </c>
      <c r="L42" s="649"/>
      <c r="M42" s="649"/>
      <c r="N42" s="650" t="s">
        <v>240</v>
      </c>
      <c r="O42" s="652">
        <v>3.1080000000000001E-3</v>
      </c>
      <c r="P42" s="652"/>
      <c r="Q42" s="652"/>
      <c r="R42" s="652">
        <f t="shared" si="1"/>
        <v>3.2167799999999998E-3</v>
      </c>
      <c r="S42" s="652">
        <f t="shared" si="5"/>
        <v>1.45728E-3</v>
      </c>
      <c r="T42" s="652"/>
      <c r="U42" s="650" t="s">
        <v>1443</v>
      </c>
      <c r="V42" s="650"/>
      <c r="W42" s="650"/>
      <c r="X42" s="653"/>
      <c r="Y42" s="653"/>
      <c r="Z42" s="752"/>
    </row>
    <row r="43" spans="1:54" s="658" customFormat="1" ht="25" customHeight="1">
      <c r="A43" s="654">
        <v>2</v>
      </c>
      <c r="B43" s="754" t="s">
        <v>356</v>
      </c>
      <c r="C43" s="754" t="s">
        <v>352</v>
      </c>
      <c r="D43" s="754" t="s">
        <v>356</v>
      </c>
      <c r="E43" s="655" t="s">
        <v>356</v>
      </c>
      <c r="F43" s="659" t="s">
        <v>356</v>
      </c>
      <c r="G43" s="766" t="s">
        <v>354</v>
      </c>
      <c r="H43" s="767" t="s">
        <v>1073</v>
      </c>
      <c r="I43" s="768" t="s">
        <v>1074</v>
      </c>
      <c r="J43" s="756" t="e">
        <f>VLOOKUP(D43,[5]Sheet1!$D$1:$D$65536,1,0)</f>
        <v>#N/A</v>
      </c>
      <c r="K43" s="757" t="s">
        <v>28</v>
      </c>
      <c r="L43" s="654">
        <v>9</v>
      </c>
      <c r="M43" s="757">
        <v>9</v>
      </c>
      <c r="N43" s="754" t="s">
        <v>275</v>
      </c>
      <c r="O43" s="754">
        <v>0.153333</v>
      </c>
      <c r="P43" s="655">
        <f>VLOOKUP(D43,'EEBOM Feb.2nd2026'!$D:$N,11,0)</f>
        <v>0.153333</v>
      </c>
      <c r="Q43" s="655">
        <f>O43-P43</f>
        <v>0</v>
      </c>
      <c r="R43" s="691">
        <f t="shared" si="1"/>
        <v>0.158699655</v>
      </c>
      <c r="S43" s="652">
        <f t="shared" si="5"/>
        <v>0</v>
      </c>
      <c r="T43" s="754"/>
      <c r="U43" s="655" t="s">
        <v>1443</v>
      </c>
      <c r="V43" s="655">
        <v>1000</v>
      </c>
      <c r="W43" s="655">
        <v>18</v>
      </c>
      <c r="X43" s="657" t="s">
        <v>1454</v>
      </c>
      <c r="Y43" s="758" t="s">
        <v>1448</v>
      </c>
      <c r="Z43" s="752" t="s">
        <v>1123</v>
      </c>
      <c r="AA43" s="753" t="s">
        <v>1538</v>
      </c>
      <c r="AB43" s="765" t="str">
        <f>VLOOKUP(D43,[6]删除物料!$C$3:$F$14,4,0)</f>
        <v>位号不变，主料删除</v>
      </c>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row>
    <row r="44" spans="1:54" ht="15.75" customHeight="1">
      <c r="A44" s="649">
        <v>2</v>
      </c>
      <c r="B44" s="689" t="s">
        <v>353</v>
      </c>
      <c r="C44" s="689" t="s">
        <v>352</v>
      </c>
      <c r="D44" s="689" t="s">
        <v>353</v>
      </c>
      <c r="E44" s="650" t="s">
        <v>353</v>
      </c>
      <c r="F44" s="650" t="s">
        <v>353</v>
      </c>
      <c r="G44" s="689" t="s">
        <v>354</v>
      </c>
      <c r="H44" s="688" t="s">
        <v>1073</v>
      </c>
      <c r="I44" s="690" t="s">
        <v>1074</v>
      </c>
      <c r="J44" s="756" t="e">
        <f>VLOOKUP(D44,[5]Sheet1!$D$1:$D$65536,1,0)</f>
        <v>#N/A</v>
      </c>
      <c r="K44" s="688" t="s">
        <v>28</v>
      </c>
      <c r="L44" s="649"/>
      <c r="M44" s="688"/>
      <c r="N44" s="689" t="s">
        <v>237</v>
      </c>
      <c r="O44" s="691">
        <v>0.19800000000000001</v>
      </c>
      <c r="P44" s="652"/>
      <c r="Q44" s="652"/>
      <c r="R44" s="691">
        <f t="shared" si="1"/>
        <v>0.20493</v>
      </c>
      <c r="S44" s="652">
        <f t="shared" si="5"/>
        <v>4.6230345000000006E-2</v>
      </c>
      <c r="T44" s="691"/>
      <c r="U44" s="650" t="s">
        <v>237</v>
      </c>
      <c r="V44" s="650">
        <v>10000</v>
      </c>
      <c r="W44" s="650">
        <v>12</v>
      </c>
      <c r="X44" s="653"/>
      <c r="Y44" s="759"/>
      <c r="Z44" s="752"/>
      <c r="AA44" s="753" t="s">
        <v>1538</v>
      </c>
      <c r="AB44" s="765" t="str">
        <f>VLOOKUP(D44,[6]删除物料!$C$3:$F$14,4,0)</f>
        <v>位号不变，替代料删除</v>
      </c>
    </row>
    <row r="45" spans="1:54" ht="15.75" customHeight="1">
      <c r="A45" s="649">
        <v>2</v>
      </c>
      <c r="B45" s="650" t="s">
        <v>256</v>
      </c>
      <c r="C45" s="650" t="s">
        <v>249</v>
      </c>
      <c r="D45" s="650" t="s">
        <v>256</v>
      </c>
      <c r="E45" s="650" t="s">
        <v>256</v>
      </c>
      <c r="F45" s="650" t="s">
        <v>256</v>
      </c>
      <c r="G45" s="650" t="s">
        <v>1124</v>
      </c>
      <c r="H45" s="649" t="s">
        <v>1073</v>
      </c>
      <c r="I45" s="651" t="s">
        <v>1074</v>
      </c>
      <c r="J45" s="651" t="str">
        <f>VLOOKUP(D45,[5]Sheet1!$D$1:$D$65536,1,0)</f>
        <v>HMK107B7472KAHT</v>
      </c>
      <c r="K45" s="649" t="s">
        <v>28</v>
      </c>
      <c r="L45" s="649">
        <v>2</v>
      </c>
      <c r="M45" s="649"/>
      <c r="N45" s="650" t="s">
        <v>257</v>
      </c>
      <c r="O45" s="652">
        <v>6.3E-3</v>
      </c>
      <c r="P45" s="652"/>
      <c r="Q45" s="652"/>
      <c r="R45" s="652">
        <f t="shared" si="1"/>
        <v>6.5204999999999994E-3</v>
      </c>
      <c r="S45" s="652">
        <f t="shared" si="5"/>
        <v>3.7259999999999993E-3</v>
      </c>
      <c r="T45" s="652"/>
      <c r="U45" s="650" t="s">
        <v>1122</v>
      </c>
      <c r="V45" s="650">
        <v>40000</v>
      </c>
      <c r="W45" s="650">
        <v>12</v>
      </c>
      <c r="X45" s="653"/>
      <c r="Y45" s="653"/>
      <c r="Z45" s="752" t="s">
        <v>1125</v>
      </c>
    </row>
    <row r="46" spans="1:54" ht="15.75" customHeight="1">
      <c r="A46" s="649">
        <v>2</v>
      </c>
      <c r="B46" s="650" t="s">
        <v>258</v>
      </c>
      <c r="C46" s="650" t="s">
        <v>249</v>
      </c>
      <c r="D46" s="650" t="s">
        <v>258</v>
      </c>
      <c r="E46" s="650" t="s">
        <v>258</v>
      </c>
      <c r="F46" s="650" t="s">
        <v>258</v>
      </c>
      <c r="G46" s="650" t="s">
        <v>1124</v>
      </c>
      <c r="H46" s="649" t="s">
        <v>1073</v>
      </c>
      <c r="I46" s="651" t="s">
        <v>1074</v>
      </c>
      <c r="J46" s="651" t="str">
        <f>VLOOKUP(D46,[5]Sheet1!$D$1:$D$65536,1,0)</f>
        <v>MCASH168SB7472KTNA01</v>
      </c>
      <c r="K46" s="649" t="s">
        <v>28</v>
      </c>
      <c r="L46" s="649"/>
      <c r="M46" s="649"/>
      <c r="N46" s="650" t="s">
        <v>257</v>
      </c>
      <c r="O46" s="652">
        <v>6.3E-3</v>
      </c>
      <c r="P46" s="652"/>
      <c r="Q46" s="652"/>
      <c r="R46" s="652">
        <f t="shared" si="1"/>
        <v>6.5204999999999994E-3</v>
      </c>
      <c r="S46" s="652">
        <f t="shared" si="5"/>
        <v>3.7259999999999993E-3</v>
      </c>
      <c r="T46" s="652"/>
      <c r="U46" s="650" t="s">
        <v>1122</v>
      </c>
      <c r="V46" s="650">
        <v>40000</v>
      </c>
      <c r="W46" s="650">
        <v>12</v>
      </c>
      <c r="X46" s="653"/>
      <c r="Y46" s="653"/>
      <c r="Z46" s="752" t="s">
        <v>1125</v>
      </c>
    </row>
    <row r="47" spans="1:54" ht="15.75" customHeight="1">
      <c r="A47" s="649">
        <v>2</v>
      </c>
      <c r="B47" s="650" t="s">
        <v>253</v>
      </c>
      <c r="C47" s="650" t="s">
        <v>249</v>
      </c>
      <c r="D47" s="650" t="s">
        <v>253</v>
      </c>
      <c r="E47" s="650" t="s">
        <v>253</v>
      </c>
      <c r="F47" s="650" t="s">
        <v>253</v>
      </c>
      <c r="G47" s="650" t="s">
        <v>1124</v>
      </c>
      <c r="H47" s="649" t="s">
        <v>1073</v>
      </c>
      <c r="I47" s="651" t="s">
        <v>1074</v>
      </c>
      <c r="J47" s="651" t="str">
        <f>VLOOKUP(D47,[5]Sheet1!$D$1:$D$65536,1,0)</f>
        <v>C0603C472K1RACAUTO</v>
      </c>
      <c r="K47" s="649" t="s">
        <v>28</v>
      </c>
      <c r="L47" s="649"/>
      <c r="M47" s="649"/>
      <c r="N47" s="650" t="s">
        <v>254</v>
      </c>
      <c r="O47" s="652">
        <v>0.09</v>
      </c>
      <c r="P47" s="652"/>
      <c r="Q47" s="652"/>
      <c r="R47" s="652">
        <f t="shared" si="1"/>
        <v>9.3149999999999983E-2</v>
      </c>
      <c r="S47" s="652">
        <f t="shared" si="5"/>
        <v>9.0355499999999978E-2</v>
      </c>
      <c r="T47" s="652"/>
      <c r="U47" s="650" t="s">
        <v>1127</v>
      </c>
      <c r="V47" s="650"/>
      <c r="W47" s="650"/>
      <c r="X47" s="653"/>
      <c r="Y47" s="653"/>
      <c r="Z47" s="752"/>
    </row>
    <row r="48" spans="1:54" s="658" customFormat="1" ht="15.75" customHeight="1">
      <c r="A48" s="654">
        <v>2</v>
      </c>
      <c r="B48" s="655" t="s">
        <v>255</v>
      </c>
      <c r="C48" s="655" t="s">
        <v>249</v>
      </c>
      <c r="D48" s="655" t="s">
        <v>255</v>
      </c>
      <c r="E48" s="655" t="s">
        <v>255</v>
      </c>
      <c r="F48" s="659" t="s">
        <v>255</v>
      </c>
      <c r="G48" s="659" t="s">
        <v>1124</v>
      </c>
      <c r="H48" s="660" t="s">
        <v>1073</v>
      </c>
      <c r="I48" s="661" t="s">
        <v>1074</v>
      </c>
      <c r="J48" s="651" t="str">
        <f>VLOOKUP(D48,[5]Sheet1!$D$1:$D$65536,1,0)</f>
        <v>GCM188R72A472KA37D</v>
      </c>
      <c r="K48" s="654" t="s">
        <v>28</v>
      </c>
      <c r="L48" s="654"/>
      <c r="M48" s="654">
        <v>2</v>
      </c>
      <c r="N48" s="655" t="s">
        <v>237</v>
      </c>
      <c r="O48" s="655">
        <v>2.7000000000000001E-3</v>
      </c>
      <c r="P48" s="655">
        <f>VLOOKUP(D48,'EEBOM Feb.2nd2026'!$D:$N,11,0)</f>
        <v>2.7000000000000001E-3</v>
      </c>
      <c r="Q48" s="655">
        <f>O48-P48</f>
        <v>0</v>
      </c>
      <c r="R48" s="652">
        <f t="shared" si="1"/>
        <v>2.7945000000000001E-3</v>
      </c>
      <c r="S48" s="652">
        <f t="shared" si="5"/>
        <v>0</v>
      </c>
      <c r="T48" s="655">
        <f>R48*M48</f>
        <v>5.5890000000000002E-3</v>
      </c>
      <c r="U48" s="655" t="s">
        <v>1086</v>
      </c>
      <c r="V48" s="655">
        <v>10000</v>
      </c>
      <c r="W48" s="655">
        <v>12</v>
      </c>
      <c r="X48" s="657" t="s">
        <v>1455</v>
      </c>
      <c r="Y48" s="657" t="s">
        <v>1448</v>
      </c>
      <c r="Z48" s="752"/>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row>
    <row r="49" spans="1:54" ht="15.75" customHeight="1">
      <c r="A49" s="649">
        <v>2</v>
      </c>
      <c r="B49" s="650" t="s">
        <v>250</v>
      </c>
      <c r="C49" s="650" t="s">
        <v>249</v>
      </c>
      <c r="D49" s="650" t="s">
        <v>250</v>
      </c>
      <c r="E49" s="650" t="s">
        <v>250</v>
      </c>
      <c r="F49" s="650" t="s">
        <v>250</v>
      </c>
      <c r="G49" s="650" t="s">
        <v>1124</v>
      </c>
      <c r="H49" s="649" t="s">
        <v>1073</v>
      </c>
      <c r="I49" s="651" t="s">
        <v>1074</v>
      </c>
      <c r="J49" s="651" t="str">
        <f>VLOOKUP(D49,[5]Sheet1!$D$1:$D$65536,1,0)</f>
        <v>CGA3E2X7R2A472K080AA</v>
      </c>
      <c r="K49" s="649" t="s">
        <v>28</v>
      </c>
      <c r="L49" s="649"/>
      <c r="M49" s="649"/>
      <c r="N49" s="650" t="s">
        <v>240</v>
      </c>
      <c r="O49" s="652">
        <v>3.0000000000000001E-3</v>
      </c>
      <c r="P49" s="652"/>
      <c r="Q49" s="652"/>
      <c r="R49" s="652">
        <f t="shared" si="1"/>
        <v>3.1049999999999997E-3</v>
      </c>
      <c r="S49" s="652">
        <f t="shared" si="5"/>
        <v>3.1049999999999958E-4</v>
      </c>
      <c r="T49" s="652"/>
      <c r="U49" s="650" t="s">
        <v>1445</v>
      </c>
      <c r="V49" s="650"/>
      <c r="W49" s="650"/>
      <c r="X49" s="653"/>
      <c r="Y49" s="653"/>
      <c r="Z49" s="752"/>
    </row>
    <row r="50" spans="1:54" ht="15.75" customHeight="1">
      <c r="A50" s="649">
        <v>2</v>
      </c>
      <c r="B50" s="650" t="s">
        <v>259</v>
      </c>
      <c r="C50" s="650" t="s">
        <v>249</v>
      </c>
      <c r="D50" s="650" t="s">
        <v>259</v>
      </c>
      <c r="E50" s="650" t="s">
        <v>259</v>
      </c>
      <c r="F50" s="650" t="s">
        <v>259</v>
      </c>
      <c r="G50" s="650" t="s">
        <v>1124</v>
      </c>
      <c r="H50" s="649" t="s">
        <v>1073</v>
      </c>
      <c r="I50" s="651" t="s">
        <v>1074</v>
      </c>
      <c r="J50" s="651" t="str">
        <f>VLOOKUP(D50,[5]Sheet1!$D$1:$D$65536,1,0)</f>
        <v>CL10B472KC8WPNC</v>
      </c>
      <c r="K50" s="649" t="s">
        <v>28</v>
      </c>
      <c r="L50" s="649"/>
      <c r="M50" s="649"/>
      <c r="N50" s="650" t="s">
        <v>260</v>
      </c>
      <c r="O50" s="652">
        <v>3.3110000000000001E-3</v>
      </c>
      <c r="P50" s="652"/>
      <c r="Q50" s="652"/>
      <c r="R50" s="652">
        <f t="shared" si="1"/>
        <v>3.4268849999999997E-3</v>
      </c>
      <c r="S50" s="652">
        <f t="shared" si="5"/>
        <v>6.3238499999999963E-4</v>
      </c>
      <c r="T50" s="652"/>
      <c r="U50" s="650" t="s">
        <v>1443</v>
      </c>
      <c r="V50" s="650"/>
      <c r="W50" s="650"/>
      <c r="X50" s="653"/>
      <c r="Y50" s="653"/>
      <c r="Z50" s="752"/>
    </row>
    <row r="51" spans="1:54" ht="15.75" customHeight="1">
      <c r="A51" s="649">
        <v>2</v>
      </c>
      <c r="B51" s="689" t="s">
        <v>498</v>
      </c>
      <c r="C51" s="689" t="s">
        <v>487</v>
      </c>
      <c r="D51" s="689" t="s">
        <v>498</v>
      </c>
      <c r="E51" s="650" t="s">
        <v>498</v>
      </c>
      <c r="F51" s="650" t="s">
        <v>498</v>
      </c>
      <c r="G51" s="689" t="s">
        <v>489</v>
      </c>
      <c r="H51" s="688" t="s">
        <v>1073</v>
      </c>
      <c r="I51" s="690" t="s">
        <v>1074</v>
      </c>
      <c r="J51" s="756" t="e">
        <f>VLOOKUP(D51,[5]Sheet1!$D$1:$D$65536,1,0)</f>
        <v>#N/A</v>
      </c>
      <c r="K51" s="688" t="s">
        <v>28</v>
      </c>
      <c r="L51" s="649">
        <v>2</v>
      </c>
      <c r="M51" s="688"/>
      <c r="N51" s="689" t="s">
        <v>296</v>
      </c>
      <c r="O51" s="691">
        <v>0.04</v>
      </c>
      <c r="P51" s="652"/>
      <c r="Q51" s="652"/>
      <c r="R51" s="691">
        <f t="shared" si="1"/>
        <v>4.1399999999999999E-2</v>
      </c>
      <c r="S51" s="652">
        <f t="shared" si="5"/>
        <v>1.8009000000000004E-2</v>
      </c>
      <c r="T51" s="691"/>
      <c r="U51" s="650" t="s">
        <v>1127</v>
      </c>
      <c r="V51" s="650"/>
      <c r="W51" s="650"/>
      <c r="X51" s="653"/>
      <c r="Y51" s="759"/>
      <c r="Z51" s="752" t="s">
        <v>1128</v>
      </c>
      <c r="AA51" s="753" t="s">
        <v>1538</v>
      </c>
      <c r="AB51" s="765" t="str">
        <f>VLOOKUP(D51,[6]删除物料!$C$3:$F$14,4,0)</f>
        <v>位号不变，主料删除</v>
      </c>
    </row>
    <row r="52" spans="1:54" s="658" customFormat="1" ht="15.75" customHeight="1">
      <c r="A52" s="654">
        <v>2</v>
      </c>
      <c r="B52" s="754" t="s">
        <v>493</v>
      </c>
      <c r="C52" s="754" t="s">
        <v>487</v>
      </c>
      <c r="D52" s="754" t="s">
        <v>493</v>
      </c>
      <c r="E52" s="655" t="s">
        <v>493</v>
      </c>
      <c r="F52" s="659" t="s">
        <v>493</v>
      </c>
      <c r="G52" s="766" t="s">
        <v>489</v>
      </c>
      <c r="H52" s="767" t="s">
        <v>1073</v>
      </c>
      <c r="I52" s="768" t="s">
        <v>1074</v>
      </c>
      <c r="J52" s="756" t="e">
        <f>VLOOKUP(D52,[5]Sheet1!$D$1:$D$65536,1,0)</f>
        <v>#N/A</v>
      </c>
      <c r="K52" s="757" t="s">
        <v>28</v>
      </c>
      <c r="L52" s="654"/>
      <c r="M52" s="757">
        <v>2</v>
      </c>
      <c r="N52" s="754" t="s">
        <v>494</v>
      </c>
      <c r="O52" s="754">
        <v>2.2599999999999999E-2</v>
      </c>
      <c r="P52" s="655">
        <f>VLOOKUP(D52,'EEBOM Feb.2nd2026'!$D:$N,11,0)</f>
        <v>2.2599999999999999E-2</v>
      </c>
      <c r="Q52" s="655">
        <f>O52-P52</f>
        <v>0</v>
      </c>
      <c r="R52" s="691">
        <f t="shared" si="1"/>
        <v>2.3390999999999995E-2</v>
      </c>
      <c r="S52" s="652">
        <f t="shared" si="5"/>
        <v>0</v>
      </c>
      <c r="T52" s="754"/>
      <c r="U52" s="655" t="s">
        <v>1443</v>
      </c>
      <c r="V52" s="655">
        <v>2000</v>
      </c>
      <c r="W52" s="655">
        <v>18</v>
      </c>
      <c r="X52" s="657" t="s">
        <v>1454</v>
      </c>
      <c r="Y52" s="758" t="s">
        <v>1448</v>
      </c>
      <c r="Z52" s="752"/>
      <c r="AA52" s="753" t="s">
        <v>1538</v>
      </c>
      <c r="AB52" s="765" t="str">
        <f>VLOOKUP(D52,[6]删除物料!$C$3:$F$14,4,0)</f>
        <v>位号不变，替代料删除</v>
      </c>
      <c r="AC52" s="753"/>
      <c r="AD52" s="753"/>
      <c r="AE52" s="753"/>
      <c r="AF52" s="753"/>
      <c r="AG52" s="753"/>
      <c r="AH52" s="753"/>
      <c r="AI52" s="753"/>
      <c r="AJ52" s="753"/>
      <c r="AK52" s="753"/>
      <c r="AL52" s="753"/>
      <c r="AM52" s="753"/>
      <c r="AN52" s="753"/>
      <c r="AO52" s="753"/>
      <c r="AP52" s="753"/>
      <c r="AQ52" s="753"/>
      <c r="AR52" s="753"/>
      <c r="AS52" s="753"/>
      <c r="AT52" s="753"/>
      <c r="AU52" s="753"/>
      <c r="AV52" s="753"/>
      <c r="AW52" s="753"/>
      <c r="AX52" s="753"/>
      <c r="AY52" s="753"/>
      <c r="AZ52" s="753"/>
      <c r="BA52" s="753"/>
      <c r="BB52" s="753"/>
    </row>
    <row r="53" spans="1:54" ht="15.75" customHeight="1">
      <c r="A53" s="649">
        <v>2</v>
      </c>
      <c r="B53" s="689" t="s">
        <v>492</v>
      </c>
      <c r="C53" s="689" t="s">
        <v>487</v>
      </c>
      <c r="D53" s="689" t="s">
        <v>492</v>
      </c>
      <c r="E53" s="650" t="s">
        <v>492</v>
      </c>
      <c r="F53" s="650" t="s">
        <v>492</v>
      </c>
      <c r="G53" s="689" t="s">
        <v>489</v>
      </c>
      <c r="H53" s="688" t="s">
        <v>1073</v>
      </c>
      <c r="I53" s="690" t="s">
        <v>1074</v>
      </c>
      <c r="J53" s="756" t="e">
        <f>VLOOKUP(D53,[5]Sheet1!$D$1:$D$65536,1,0)</f>
        <v>#N/A</v>
      </c>
      <c r="K53" s="688" t="s">
        <v>28</v>
      </c>
      <c r="L53" s="649"/>
      <c r="M53" s="688"/>
      <c r="N53" s="689" t="s">
        <v>237</v>
      </c>
      <c r="O53" s="691">
        <v>6.5000000000000002E-2</v>
      </c>
      <c r="P53" s="652"/>
      <c r="Q53" s="652"/>
      <c r="R53" s="691">
        <f t="shared" si="1"/>
        <v>6.7275000000000001E-2</v>
      </c>
      <c r="S53" s="652">
        <f t="shared" si="5"/>
        <v>4.3884000000000006E-2</v>
      </c>
      <c r="T53" s="691"/>
      <c r="U53" s="650" t="s">
        <v>1086</v>
      </c>
      <c r="V53" s="650">
        <v>10000</v>
      </c>
      <c r="W53" s="650">
        <v>12</v>
      </c>
      <c r="X53" s="653"/>
      <c r="Y53" s="759"/>
      <c r="Z53" s="752"/>
      <c r="AA53" s="753" t="s">
        <v>1538</v>
      </c>
      <c r="AB53" s="765" t="str">
        <f>VLOOKUP(D53,[6]删除物料!$C$3:$F$14,4,0)</f>
        <v>位号不变，替代料删除</v>
      </c>
    </row>
    <row r="54" spans="1:54" ht="15.75" customHeight="1">
      <c r="A54" s="649">
        <v>2</v>
      </c>
      <c r="B54" s="689" t="s">
        <v>491</v>
      </c>
      <c r="C54" s="689" t="s">
        <v>487</v>
      </c>
      <c r="D54" s="689" t="s">
        <v>491</v>
      </c>
      <c r="E54" s="650" t="s">
        <v>491</v>
      </c>
      <c r="F54" s="650" t="s">
        <v>491</v>
      </c>
      <c r="G54" s="689" t="s">
        <v>489</v>
      </c>
      <c r="H54" s="688" t="s">
        <v>1073</v>
      </c>
      <c r="I54" s="690" t="s">
        <v>1074</v>
      </c>
      <c r="J54" s="756" t="e">
        <f>VLOOKUP(D54,[5]Sheet1!$D$1:$D$65536,1,0)</f>
        <v>#N/A</v>
      </c>
      <c r="K54" s="688" t="s">
        <v>28</v>
      </c>
      <c r="L54" s="649"/>
      <c r="M54" s="688"/>
      <c r="N54" s="689" t="s">
        <v>237</v>
      </c>
      <c r="O54" s="691">
        <v>6.5000000000000002E-2</v>
      </c>
      <c r="P54" s="652"/>
      <c r="Q54" s="652"/>
      <c r="R54" s="691">
        <f t="shared" si="1"/>
        <v>6.7275000000000001E-2</v>
      </c>
      <c r="S54" s="652">
        <f t="shared" si="5"/>
        <v>4.3884000000000006E-2</v>
      </c>
      <c r="T54" s="691"/>
      <c r="U54" s="650" t="s">
        <v>1086</v>
      </c>
      <c r="V54" s="650">
        <v>10000</v>
      </c>
      <c r="W54" s="650">
        <v>12</v>
      </c>
      <c r="X54" s="653"/>
      <c r="Y54" s="759"/>
      <c r="Z54" s="752"/>
      <c r="AA54" s="753" t="s">
        <v>1538</v>
      </c>
      <c r="AB54" s="765" t="str">
        <f>VLOOKUP(D54,[6]删除物料!$C$3:$F$14,4,0)</f>
        <v>位号不变，替代料删除</v>
      </c>
    </row>
    <row r="55" spans="1:54" ht="15.75" customHeight="1">
      <c r="A55" s="649">
        <v>2</v>
      </c>
      <c r="B55" s="689" t="s">
        <v>496</v>
      </c>
      <c r="C55" s="689" t="s">
        <v>487</v>
      </c>
      <c r="D55" s="689" t="s">
        <v>496</v>
      </c>
      <c r="E55" s="650" t="s">
        <v>496</v>
      </c>
      <c r="F55" s="650" t="s">
        <v>496</v>
      </c>
      <c r="G55" s="689" t="s">
        <v>489</v>
      </c>
      <c r="H55" s="688" t="s">
        <v>1073</v>
      </c>
      <c r="I55" s="690" t="s">
        <v>1074</v>
      </c>
      <c r="J55" s="756" t="e">
        <f>VLOOKUP(D55,[5]Sheet1!$D$1:$D$65536,1,0)</f>
        <v>#N/A</v>
      </c>
      <c r="K55" s="688" t="s">
        <v>28</v>
      </c>
      <c r="L55" s="649"/>
      <c r="M55" s="688"/>
      <c r="N55" s="689" t="s">
        <v>254</v>
      </c>
      <c r="O55" s="691">
        <v>7.0000000000000007E-2</v>
      </c>
      <c r="P55" s="652"/>
      <c r="Q55" s="652"/>
      <c r="R55" s="691">
        <f t="shared" si="1"/>
        <v>7.2450000000000001E-2</v>
      </c>
      <c r="S55" s="652">
        <f t="shared" si="5"/>
        <v>4.9059000000000005E-2</v>
      </c>
      <c r="T55" s="691"/>
      <c r="U55" s="650" t="s">
        <v>1127</v>
      </c>
      <c r="V55" s="650"/>
      <c r="W55" s="650"/>
      <c r="X55" s="653"/>
      <c r="Y55" s="759"/>
      <c r="Z55" s="752"/>
      <c r="AA55" s="753" t="s">
        <v>1538</v>
      </c>
      <c r="AB55" s="765" t="str">
        <f>VLOOKUP(D55,[6]删除物料!$C$3:$F$14,4,0)</f>
        <v>位号不变，替代料删除</v>
      </c>
    </row>
    <row r="56" spans="1:54" ht="15.75" customHeight="1">
      <c r="A56" s="649">
        <v>2</v>
      </c>
      <c r="B56" s="689" t="s">
        <v>488</v>
      </c>
      <c r="C56" s="689" t="s">
        <v>487</v>
      </c>
      <c r="D56" s="689" t="s">
        <v>488</v>
      </c>
      <c r="E56" s="650" t="s">
        <v>488</v>
      </c>
      <c r="F56" s="650" t="s">
        <v>488</v>
      </c>
      <c r="G56" s="689" t="s">
        <v>489</v>
      </c>
      <c r="H56" s="688" t="s">
        <v>1073</v>
      </c>
      <c r="I56" s="690" t="s">
        <v>1074</v>
      </c>
      <c r="J56" s="756" t="e">
        <f>VLOOKUP(D56,[5]Sheet1!$D$1:$D$65536,1,0)</f>
        <v>#N/A</v>
      </c>
      <c r="K56" s="688" t="s">
        <v>28</v>
      </c>
      <c r="L56" s="649"/>
      <c r="M56" s="688"/>
      <c r="N56" s="689" t="s">
        <v>254</v>
      </c>
      <c r="O56" s="691">
        <v>7.0000000000000007E-2</v>
      </c>
      <c r="P56" s="652"/>
      <c r="Q56" s="652"/>
      <c r="R56" s="691">
        <f t="shared" si="1"/>
        <v>7.2450000000000001E-2</v>
      </c>
      <c r="S56" s="652">
        <f t="shared" si="5"/>
        <v>4.9059000000000005E-2</v>
      </c>
      <c r="T56" s="691"/>
      <c r="U56" s="650" t="s">
        <v>1127</v>
      </c>
      <c r="V56" s="650"/>
      <c r="W56" s="650"/>
      <c r="X56" s="653"/>
      <c r="Y56" s="759"/>
      <c r="Z56" s="752"/>
      <c r="AA56" s="753" t="s">
        <v>1538</v>
      </c>
      <c r="AB56" s="765" t="str">
        <f>VLOOKUP(D56,[6]删除物料!$C$3:$F$14,4,0)</f>
        <v>位号不变，替代料删除</v>
      </c>
    </row>
    <row r="57" spans="1:54" ht="15.75" customHeight="1">
      <c r="A57" s="649">
        <v>2</v>
      </c>
      <c r="B57" s="689" t="s">
        <v>495</v>
      </c>
      <c r="C57" s="689" t="s">
        <v>487</v>
      </c>
      <c r="D57" s="689" t="s">
        <v>1397</v>
      </c>
      <c r="E57" s="650" t="s">
        <v>495</v>
      </c>
      <c r="F57" s="650" t="s">
        <v>495</v>
      </c>
      <c r="G57" s="689" t="s">
        <v>489</v>
      </c>
      <c r="H57" s="688" t="s">
        <v>1073</v>
      </c>
      <c r="I57" s="690" t="s">
        <v>1074</v>
      </c>
      <c r="J57" s="756" t="e">
        <f>VLOOKUP(D57,[5]Sheet1!$D$1:$D$65536,1,0)</f>
        <v>#N/A</v>
      </c>
      <c r="K57" s="688" t="s">
        <v>28</v>
      </c>
      <c r="L57" s="649"/>
      <c r="M57" s="688"/>
      <c r="N57" s="689" t="s">
        <v>333</v>
      </c>
      <c r="O57" s="760">
        <v>2.5409999999999999E-2</v>
      </c>
      <c r="P57" s="669"/>
      <c r="Q57" s="669"/>
      <c r="R57" s="691">
        <f t="shared" si="1"/>
        <v>2.6299349999999996E-2</v>
      </c>
      <c r="S57" s="652">
        <f t="shared" si="5"/>
        <v>2.9083500000000005E-3</v>
      </c>
      <c r="T57" s="760"/>
      <c r="U57" s="650" t="s">
        <v>1443</v>
      </c>
      <c r="V57" s="650"/>
      <c r="W57" s="650"/>
      <c r="X57" s="653"/>
      <c r="Y57" s="759"/>
      <c r="Z57" s="752"/>
      <c r="AA57" s="753" t="s">
        <v>1538</v>
      </c>
      <c r="AB57" s="765" t="str">
        <f>VLOOKUP(D57,[6]删除物料!$C$3:$F$14,4,0)</f>
        <v>位号不变，替代料删除</v>
      </c>
    </row>
    <row r="58" spans="1:54" ht="15.75" customHeight="1">
      <c r="A58" s="649">
        <v>2</v>
      </c>
      <c r="B58" s="689" t="s">
        <v>497</v>
      </c>
      <c r="C58" s="689" t="s">
        <v>487</v>
      </c>
      <c r="D58" s="689" t="s">
        <v>497</v>
      </c>
      <c r="E58" s="650" t="s">
        <v>497</v>
      </c>
      <c r="F58" s="650" t="s">
        <v>497</v>
      </c>
      <c r="G58" s="689" t="s">
        <v>489</v>
      </c>
      <c r="H58" s="688" t="s">
        <v>1073</v>
      </c>
      <c r="I58" s="690" t="s">
        <v>1074</v>
      </c>
      <c r="J58" s="756" t="e">
        <f>VLOOKUP(D58,[5]Sheet1!$D$1:$D$65536,1,0)</f>
        <v>#N/A</v>
      </c>
      <c r="K58" s="688" t="s">
        <v>28</v>
      </c>
      <c r="L58" s="649"/>
      <c r="M58" s="688"/>
      <c r="N58" s="689" t="s">
        <v>333</v>
      </c>
      <c r="O58" s="760">
        <v>2.5409999999999999E-2</v>
      </c>
      <c r="P58" s="669"/>
      <c r="Q58" s="669"/>
      <c r="R58" s="691">
        <f t="shared" si="1"/>
        <v>2.6299349999999996E-2</v>
      </c>
      <c r="S58" s="652">
        <f t="shared" si="5"/>
        <v>2.9083500000000005E-3</v>
      </c>
      <c r="T58" s="760"/>
      <c r="U58" s="650" t="s">
        <v>1443</v>
      </c>
      <c r="V58" s="650"/>
      <c r="W58" s="650"/>
      <c r="X58" s="653"/>
      <c r="Y58" s="759"/>
      <c r="Z58" s="752"/>
      <c r="AA58" s="753" t="s">
        <v>1538</v>
      </c>
      <c r="AB58" s="765" t="str">
        <f>VLOOKUP(D58,[6]删除物料!$C$3:$F$14,4,0)</f>
        <v>位号不变，替代料删除</v>
      </c>
    </row>
    <row r="59" spans="1:54" ht="15.75" customHeight="1">
      <c r="A59" s="649">
        <v>2</v>
      </c>
      <c r="B59" s="650" t="s">
        <v>336</v>
      </c>
      <c r="C59" s="650" t="s">
        <v>328</v>
      </c>
      <c r="D59" s="650" t="s">
        <v>336</v>
      </c>
      <c r="E59" s="650" t="s">
        <v>336</v>
      </c>
      <c r="F59" s="650" t="s">
        <v>336</v>
      </c>
      <c r="G59" s="650" t="s">
        <v>329</v>
      </c>
      <c r="H59" s="649" t="s">
        <v>1073</v>
      </c>
      <c r="I59" s="651" t="s">
        <v>1074</v>
      </c>
      <c r="J59" s="651" t="str">
        <f>VLOOKUP(D59,[5]Sheet1!$D$1:$D$65536,1,0)</f>
        <v>MAASH21GSB7224KTNA01</v>
      </c>
      <c r="K59" s="649" t="s">
        <v>28</v>
      </c>
      <c r="L59" s="649">
        <v>1</v>
      </c>
      <c r="M59" s="649"/>
      <c r="N59" s="650" t="s">
        <v>257</v>
      </c>
      <c r="O59" s="652">
        <v>1.7299999999999999E-2</v>
      </c>
      <c r="P59" s="652"/>
      <c r="Q59" s="652"/>
      <c r="R59" s="652">
        <f t="shared" si="1"/>
        <v>1.7905499999999998E-2</v>
      </c>
      <c r="S59" s="652">
        <f t="shared" si="5"/>
        <v>7.5327299999999996E-3</v>
      </c>
      <c r="T59" s="652"/>
      <c r="U59" s="650" t="s">
        <v>1129</v>
      </c>
      <c r="V59" s="650"/>
      <c r="W59" s="650"/>
      <c r="X59" s="653"/>
      <c r="Y59" s="653"/>
      <c r="Z59" s="752" t="s">
        <v>330</v>
      </c>
    </row>
    <row r="60" spans="1:54" ht="15.75" customHeight="1">
      <c r="A60" s="649">
        <v>2</v>
      </c>
      <c r="B60" s="650" t="s">
        <v>327</v>
      </c>
      <c r="C60" s="650" t="s">
        <v>328</v>
      </c>
      <c r="D60" s="650" t="s">
        <v>327</v>
      </c>
      <c r="E60" s="650" t="s">
        <v>327</v>
      </c>
      <c r="F60" s="650" t="s">
        <v>327</v>
      </c>
      <c r="G60" s="650" t="s">
        <v>329</v>
      </c>
      <c r="H60" s="649" t="s">
        <v>1073</v>
      </c>
      <c r="I60" s="651" t="s">
        <v>1074</v>
      </c>
      <c r="J60" s="651" t="str">
        <f>VLOOKUP(D60,[5]Sheet1!$D$1:$D$65536,1,0)</f>
        <v>MCASH21GSB7224KTNA01</v>
      </c>
      <c r="K60" s="649" t="s">
        <v>28</v>
      </c>
      <c r="L60" s="649"/>
      <c r="M60" s="649"/>
      <c r="N60" s="650" t="s">
        <v>257</v>
      </c>
      <c r="O60" s="652">
        <v>1.264E-2</v>
      </c>
      <c r="P60" s="652"/>
      <c r="Q60" s="652"/>
      <c r="R60" s="652">
        <f t="shared" si="1"/>
        <v>1.3082399999999999E-2</v>
      </c>
      <c r="S60" s="652">
        <f t="shared" si="5"/>
        <v>2.7096300000000011E-3</v>
      </c>
      <c r="T60" s="652"/>
      <c r="U60" s="650" t="s">
        <v>1080</v>
      </c>
      <c r="V60" s="650"/>
      <c r="W60" s="650"/>
      <c r="X60" s="653"/>
      <c r="Y60" s="653"/>
      <c r="Z60" s="752"/>
    </row>
    <row r="61" spans="1:54" ht="15.75" customHeight="1">
      <c r="A61" s="649">
        <v>2</v>
      </c>
      <c r="B61" s="650" t="s">
        <v>335</v>
      </c>
      <c r="C61" s="650" t="s">
        <v>328</v>
      </c>
      <c r="D61" s="650" t="s">
        <v>335</v>
      </c>
      <c r="E61" s="650" t="s">
        <v>335</v>
      </c>
      <c r="F61" s="650" t="s">
        <v>335</v>
      </c>
      <c r="G61" s="650" t="s">
        <v>329</v>
      </c>
      <c r="H61" s="649" t="s">
        <v>1073</v>
      </c>
      <c r="I61" s="651" t="s">
        <v>1074</v>
      </c>
      <c r="J61" s="651" t="str">
        <f>VLOOKUP(D61,[5]Sheet1!$D$1:$D$65536,1,0)</f>
        <v>C0805C224K1RACAUTO</v>
      </c>
      <c r="K61" s="649" t="s">
        <v>28</v>
      </c>
      <c r="L61" s="649"/>
      <c r="M61" s="649"/>
      <c r="N61" s="650" t="s">
        <v>254</v>
      </c>
      <c r="O61" s="652">
        <v>0.14000000000000001</v>
      </c>
      <c r="P61" s="652"/>
      <c r="Q61" s="652"/>
      <c r="R61" s="652">
        <f t="shared" si="1"/>
        <v>0.1449</v>
      </c>
      <c r="S61" s="652">
        <f t="shared" si="5"/>
        <v>0.13452723</v>
      </c>
      <c r="T61" s="652"/>
      <c r="U61" s="650" t="s">
        <v>1127</v>
      </c>
      <c r="V61" s="650"/>
      <c r="W61" s="650"/>
      <c r="X61" s="653"/>
      <c r="Y61" s="653"/>
      <c r="Z61" s="752"/>
    </row>
    <row r="62" spans="1:54" ht="15.75" customHeight="1">
      <c r="A62" s="649">
        <v>2</v>
      </c>
      <c r="B62" s="650" t="s">
        <v>334</v>
      </c>
      <c r="C62" s="650" t="s">
        <v>328</v>
      </c>
      <c r="D62" s="650" t="s">
        <v>334</v>
      </c>
      <c r="E62" s="650" t="s">
        <v>334</v>
      </c>
      <c r="F62" s="650" t="s">
        <v>334</v>
      </c>
      <c r="G62" s="650" t="s">
        <v>329</v>
      </c>
      <c r="H62" s="649" t="s">
        <v>1073</v>
      </c>
      <c r="I62" s="651" t="s">
        <v>1074</v>
      </c>
      <c r="J62" s="651" t="str">
        <f>VLOOKUP(D62,[5]Sheet1!$D$1:$D$65536,1,0)</f>
        <v>C0805C224K1RACAUTO7210</v>
      </c>
      <c r="K62" s="649" t="s">
        <v>28</v>
      </c>
      <c r="L62" s="649"/>
      <c r="M62" s="649"/>
      <c r="N62" s="650" t="s">
        <v>254</v>
      </c>
      <c r="O62" s="652">
        <v>0.14000000000000001</v>
      </c>
      <c r="P62" s="652"/>
      <c r="Q62" s="652"/>
      <c r="R62" s="652">
        <f t="shared" si="1"/>
        <v>0.1449</v>
      </c>
      <c r="S62" s="652">
        <f t="shared" si="5"/>
        <v>0.13452723</v>
      </c>
      <c r="T62" s="652"/>
      <c r="U62" s="650" t="s">
        <v>1127</v>
      </c>
      <c r="V62" s="650"/>
      <c r="W62" s="650"/>
      <c r="X62" s="653"/>
      <c r="Y62" s="653"/>
      <c r="Z62" s="752"/>
    </row>
    <row r="63" spans="1:54" s="658" customFormat="1" ht="15.75" customHeight="1">
      <c r="A63" s="654">
        <v>2</v>
      </c>
      <c r="B63" s="655" t="s">
        <v>331</v>
      </c>
      <c r="C63" s="655" t="s">
        <v>328</v>
      </c>
      <c r="D63" s="655" t="s">
        <v>331</v>
      </c>
      <c r="E63" s="655" t="s">
        <v>331</v>
      </c>
      <c r="F63" s="659" t="s">
        <v>331</v>
      </c>
      <c r="G63" s="659" t="s">
        <v>329</v>
      </c>
      <c r="H63" s="660" t="s">
        <v>1073</v>
      </c>
      <c r="I63" s="661" t="s">
        <v>1074</v>
      </c>
      <c r="J63" s="651" t="str">
        <f>VLOOKUP(D63,[5]Sheet1!$D$1:$D$65536,1,0)</f>
        <v>CL21B224KCQVPNE</v>
      </c>
      <c r="K63" s="654" t="s">
        <v>28</v>
      </c>
      <c r="L63" s="654"/>
      <c r="M63" s="654">
        <v>1</v>
      </c>
      <c r="N63" s="655" t="s">
        <v>275</v>
      </c>
      <c r="O63" s="655">
        <v>1.0022E-2</v>
      </c>
      <c r="P63" s="655">
        <f>VLOOKUP(D63,'EEBOM Feb.2nd2026'!$D:$N,11,0)</f>
        <v>1.0022E-2</v>
      </c>
      <c r="Q63" s="655">
        <f>O63-P63</f>
        <v>0</v>
      </c>
      <c r="R63" s="652">
        <f t="shared" si="1"/>
        <v>1.0372769999999998E-2</v>
      </c>
      <c r="S63" s="652">
        <f t="shared" si="5"/>
        <v>0</v>
      </c>
      <c r="T63" s="655">
        <f>R63*M63</f>
        <v>1.0372769999999998E-2</v>
      </c>
      <c r="U63" s="655" t="s">
        <v>1443</v>
      </c>
      <c r="V63" s="655">
        <v>2000</v>
      </c>
      <c r="W63" s="655">
        <v>18</v>
      </c>
      <c r="X63" s="657" t="s">
        <v>1454</v>
      </c>
      <c r="Y63" s="657" t="s">
        <v>1448</v>
      </c>
      <c r="Z63" s="752"/>
      <c r="AA63" s="753"/>
      <c r="AB63" s="753"/>
      <c r="AC63" s="753"/>
      <c r="AD63" s="753"/>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3"/>
    </row>
    <row r="64" spans="1:54" ht="15.5" customHeight="1">
      <c r="A64" s="649">
        <v>2</v>
      </c>
      <c r="B64" s="650" t="s">
        <v>332</v>
      </c>
      <c r="C64" s="650" t="s">
        <v>328</v>
      </c>
      <c r="D64" s="650" t="s">
        <v>332</v>
      </c>
      <c r="E64" s="650" t="s">
        <v>332</v>
      </c>
      <c r="F64" s="650" t="s">
        <v>332</v>
      </c>
      <c r="G64" s="650" t="s">
        <v>329</v>
      </c>
      <c r="H64" s="649" t="s">
        <v>1073</v>
      </c>
      <c r="I64" s="651" t="s">
        <v>1074</v>
      </c>
      <c r="J64" s="651" t="str">
        <f>VLOOKUP(D64,[5]Sheet1!$D$1:$D$65536,1,0)</f>
        <v>08051C224K4T2A</v>
      </c>
      <c r="K64" s="649" t="s">
        <v>28</v>
      </c>
      <c r="L64" s="649"/>
      <c r="M64" s="649"/>
      <c r="N64" s="650" t="s">
        <v>333</v>
      </c>
      <c r="O64" s="669">
        <v>1.128E-2</v>
      </c>
      <c r="P64" s="669"/>
      <c r="Q64" s="669"/>
      <c r="R64" s="652">
        <f t="shared" si="1"/>
        <v>1.1674799999999999E-2</v>
      </c>
      <c r="S64" s="652">
        <f t="shared" si="5"/>
        <v>1.3020300000000009E-3</v>
      </c>
      <c r="T64" s="669"/>
      <c r="U64" s="650" t="s">
        <v>1443</v>
      </c>
      <c r="V64" s="650"/>
      <c r="W64" s="650"/>
      <c r="X64" s="653"/>
      <c r="Y64" s="653"/>
      <c r="Z64" s="752"/>
    </row>
    <row r="65" spans="1:54" ht="15.75" customHeight="1">
      <c r="A65" s="649">
        <v>2</v>
      </c>
      <c r="B65" s="650" t="s">
        <v>326</v>
      </c>
      <c r="C65" s="650" t="s">
        <v>318</v>
      </c>
      <c r="D65" s="650" t="s">
        <v>326</v>
      </c>
      <c r="E65" s="650" t="s">
        <v>326</v>
      </c>
      <c r="F65" s="650" t="s">
        <v>326</v>
      </c>
      <c r="G65" s="650" t="s">
        <v>320</v>
      </c>
      <c r="H65" s="649" t="s">
        <v>1073</v>
      </c>
      <c r="I65" s="651" t="s">
        <v>1074</v>
      </c>
      <c r="J65" s="651" t="str">
        <f>VLOOKUP(D65,[5]Sheet1!$D$1:$D$65536,1,0)</f>
        <v>A771KS476M1JLAS020</v>
      </c>
      <c r="K65" s="649" t="s">
        <v>28</v>
      </c>
      <c r="L65" s="649">
        <v>2</v>
      </c>
      <c r="M65" s="670"/>
      <c r="N65" s="650" t="s">
        <v>1399</v>
      </c>
      <c r="O65" s="652"/>
      <c r="P65" s="652"/>
      <c r="Q65" s="652"/>
      <c r="R65" s="652">
        <f t="shared" si="1"/>
        <v>0</v>
      </c>
      <c r="S65" s="652">
        <f t="shared" si="5"/>
        <v>0</v>
      </c>
      <c r="T65" s="652"/>
      <c r="U65" s="650"/>
      <c r="V65" s="650"/>
      <c r="W65" s="650"/>
      <c r="X65" s="653"/>
      <c r="Y65" s="653"/>
      <c r="Z65" s="752" t="s">
        <v>1130</v>
      </c>
    </row>
    <row r="66" spans="1:54" ht="15.75" customHeight="1">
      <c r="A66" s="649">
        <v>2</v>
      </c>
      <c r="B66" s="650" t="s">
        <v>324</v>
      </c>
      <c r="C66" s="650" t="s">
        <v>318</v>
      </c>
      <c r="D66" s="650" t="s">
        <v>324</v>
      </c>
      <c r="E66" s="650" t="s">
        <v>324</v>
      </c>
      <c r="F66" s="650" t="s">
        <v>324</v>
      </c>
      <c r="G66" s="650" t="s">
        <v>320</v>
      </c>
      <c r="H66" s="649" t="s">
        <v>1073</v>
      </c>
      <c r="I66" s="651" t="s">
        <v>1074</v>
      </c>
      <c r="J66" s="651" t="str">
        <f>VLOOKUP(D66,[5]Sheet1!$D$1:$D$65536,1,0)</f>
        <v>63FVF47M+P</v>
      </c>
      <c r="K66" s="649" t="s">
        <v>28</v>
      </c>
      <c r="L66" s="649"/>
      <c r="M66" s="649"/>
      <c r="N66" s="650" t="s">
        <v>325</v>
      </c>
      <c r="O66" s="652"/>
      <c r="P66" s="652"/>
      <c r="Q66" s="652"/>
      <c r="R66" s="652">
        <f t="shared" si="1"/>
        <v>0</v>
      </c>
      <c r="S66" s="652">
        <f t="shared" si="5"/>
        <v>0</v>
      </c>
      <c r="T66" s="652"/>
      <c r="U66" s="650"/>
      <c r="V66" s="650"/>
      <c r="W66" s="650"/>
      <c r="X66" s="653"/>
      <c r="Y66" s="653"/>
      <c r="Z66" s="752"/>
    </row>
    <row r="67" spans="1:54" ht="15.75" customHeight="1">
      <c r="A67" s="649">
        <v>2</v>
      </c>
      <c r="B67" s="650" t="s">
        <v>319</v>
      </c>
      <c r="C67" s="650" t="s">
        <v>318</v>
      </c>
      <c r="D67" s="650" t="s">
        <v>319</v>
      </c>
      <c r="E67" s="650" t="s">
        <v>319</v>
      </c>
      <c r="F67" s="650" t="s">
        <v>319</v>
      </c>
      <c r="G67" s="650" t="s">
        <v>320</v>
      </c>
      <c r="H67" s="649" t="s">
        <v>1073</v>
      </c>
      <c r="I67" s="651" t="s">
        <v>1074</v>
      </c>
      <c r="J67" s="651" t="str">
        <f>VLOOKUP(D67,[5]Sheet1!$D$1:$D$65536,1,0)</f>
        <v>PCA1J470MCL1GS</v>
      </c>
      <c r="K67" s="649" t="s">
        <v>28</v>
      </c>
      <c r="L67" s="649"/>
      <c r="M67" s="649"/>
      <c r="N67" s="650" t="s">
        <v>321</v>
      </c>
      <c r="O67" s="652">
        <v>0.71499999999999997</v>
      </c>
      <c r="P67" s="652"/>
      <c r="Q67" s="652"/>
      <c r="R67" s="652">
        <f t="shared" si="1"/>
        <v>0.74002499999999993</v>
      </c>
      <c r="S67" s="652">
        <f t="shared" ref="S67:S97" si="6">R67-_xlfn.MINIFS(R:R,C:C,C67)</f>
        <v>0.74002499999999993</v>
      </c>
      <c r="T67" s="652"/>
      <c r="U67" s="650" t="s">
        <v>1443</v>
      </c>
      <c r="V67" s="650"/>
      <c r="W67" s="650"/>
      <c r="X67" s="653"/>
      <c r="Y67" s="653"/>
      <c r="Z67" s="752"/>
    </row>
    <row r="68" spans="1:54" s="668" customFormat="1" ht="15.75" customHeight="1">
      <c r="A68" s="662">
        <v>2</v>
      </c>
      <c r="B68" s="663" t="s">
        <v>323</v>
      </c>
      <c r="C68" s="663" t="s">
        <v>318</v>
      </c>
      <c r="D68" s="664" t="s">
        <v>323</v>
      </c>
      <c r="E68" s="655" t="s">
        <v>323</v>
      </c>
      <c r="F68" s="659" t="s">
        <v>323</v>
      </c>
      <c r="G68" s="659" t="s">
        <v>320</v>
      </c>
      <c r="H68" s="660" t="s">
        <v>1073</v>
      </c>
      <c r="I68" s="661" t="s">
        <v>1074</v>
      </c>
      <c r="J68" s="651" t="str">
        <f>VLOOKUP(D68,[5]Sheet1!$D$1:$D$65536,1,0)</f>
        <v>EEH-ZT1J470P</v>
      </c>
      <c r="K68" s="662" t="s">
        <v>28</v>
      </c>
      <c r="L68" s="662"/>
      <c r="M68" s="662">
        <v>2</v>
      </c>
      <c r="N68" s="663" t="s">
        <v>289</v>
      </c>
      <c r="O68" s="663">
        <v>0.315</v>
      </c>
      <c r="P68" s="663"/>
      <c r="Q68" s="663"/>
      <c r="R68" s="652">
        <f t="shared" ref="R68:R132" si="7">O68*1.035</f>
        <v>0.32602499999999995</v>
      </c>
      <c r="S68" s="652">
        <f t="shared" si="6"/>
        <v>0.32602499999999995</v>
      </c>
      <c r="T68" s="655">
        <f>R68*M68</f>
        <v>0.65204999999999991</v>
      </c>
      <c r="U68" s="664" t="s">
        <v>1457</v>
      </c>
      <c r="V68" s="664">
        <v>1000</v>
      </c>
      <c r="W68" s="666">
        <v>19</v>
      </c>
      <c r="X68" s="667" t="s">
        <v>1458</v>
      </c>
      <c r="Y68" s="667" t="s">
        <v>1453</v>
      </c>
      <c r="Z68" s="752"/>
      <c r="AA68" s="753"/>
      <c r="AB68" s="753"/>
      <c r="AC68" s="753"/>
      <c r="AD68" s="753"/>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row>
    <row r="69" spans="1:54" s="658" customFormat="1" ht="15.75" customHeight="1">
      <c r="A69" s="654">
        <v>2</v>
      </c>
      <c r="B69" s="655" t="s">
        <v>508</v>
      </c>
      <c r="C69" s="655" t="s">
        <v>507</v>
      </c>
      <c r="D69" s="655" t="s">
        <v>508</v>
      </c>
      <c r="E69" s="655" t="s">
        <v>508</v>
      </c>
      <c r="F69" s="659" t="s">
        <v>508</v>
      </c>
      <c r="G69" s="659" t="s">
        <v>509</v>
      </c>
      <c r="H69" s="660" t="s">
        <v>1073</v>
      </c>
      <c r="I69" s="661" t="s">
        <v>1074</v>
      </c>
      <c r="J69" s="651" t="str">
        <f>VLOOKUP(D69,[5]Sheet1!$D$1:$D$65536,1,0)</f>
        <v>GCM033R71E331KA03D</v>
      </c>
      <c r="K69" s="654" t="s">
        <v>28</v>
      </c>
      <c r="L69" s="654">
        <v>1</v>
      </c>
      <c r="M69" s="654"/>
      <c r="N69" s="655" t="s">
        <v>237</v>
      </c>
      <c r="O69" s="655">
        <v>2.2000000000000001E-3</v>
      </c>
      <c r="P69" s="655">
        <f>VLOOKUP(D69,'EEBOM Feb.2nd2026'!$D:$N,11,0)</f>
        <v>2.2000000000000001E-3</v>
      </c>
      <c r="Q69" s="655">
        <f>O69-P69</f>
        <v>0</v>
      </c>
      <c r="R69" s="652">
        <f t="shared" si="7"/>
        <v>2.2769999999999999E-3</v>
      </c>
      <c r="S69" s="652">
        <f t="shared" si="6"/>
        <v>1.4904000000000002E-4</v>
      </c>
      <c r="T69" s="655"/>
      <c r="U69" s="655" t="s">
        <v>1086</v>
      </c>
      <c r="V69" s="655">
        <v>10000</v>
      </c>
      <c r="W69" s="655">
        <v>12</v>
      </c>
      <c r="X69" s="657" t="s">
        <v>1455</v>
      </c>
      <c r="Y69" s="657" t="s">
        <v>1448</v>
      </c>
      <c r="Z69" s="752" t="s">
        <v>510</v>
      </c>
      <c r="AA69" s="753"/>
      <c r="AB69" s="753"/>
      <c r="AC69" s="753"/>
      <c r="AD69" s="753"/>
      <c r="AE69" s="753"/>
      <c r="AF69" s="753"/>
      <c r="AG69" s="753"/>
      <c r="AH69" s="753"/>
      <c r="AI69" s="753"/>
      <c r="AJ69" s="753"/>
      <c r="AK69" s="753"/>
      <c r="AL69" s="753"/>
      <c r="AM69" s="753"/>
      <c r="AN69" s="753"/>
      <c r="AO69" s="753"/>
      <c r="AP69" s="753"/>
      <c r="AQ69" s="753"/>
      <c r="AR69" s="753"/>
      <c r="AS69" s="753"/>
      <c r="AT69" s="753"/>
      <c r="AU69" s="753"/>
      <c r="AV69" s="753"/>
      <c r="AW69" s="753"/>
      <c r="AX69" s="753"/>
      <c r="AY69" s="753"/>
      <c r="AZ69" s="753"/>
      <c r="BA69" s="753"/>
      <c r="BB69" s="753"/>
    </row>
    <row r="70" spans="1:54" ht="15.75" customHeight="1">
      <c r="A70" s="649">
        <v>2</v>
      </c>
      <c r="B70" s="650" t="s">
        <v>511</v>
      </c>
      <c r="C70" s="650" t="s">
        <v>507</v>
      </c>
      <c r="D70" s="650" t="s">
        <v>512</v>
      </c>
      <c r="E70" s="650" t="s">
        <v>512</v>
      </c>
      <c r="F70" s="650" t="s">
        <v>512</v>
      </c>
      <c r="G70" s="650" t="s">
        <v>509</v>
      </c>
      <c r="H70" s="649" t="s">
        <v>1073</v>
      </c>
      <c r="I70" s="651" t="s">
        <v>1074</v>
      </c>
      <c r="J70" s="651" t="str">
        <f>VLOOKUP(D70,[5]Sheet1!$D$1:$D$65536,1,0)</f>
        <v>GCM033R71E331KA03J</v>
      </c>
      <c r="K70" s="649" t="s">
        <v>28</v>
      </c>
      <c r="L70" s="649"/>
      <c r="M70" s="649"/>
      <c r="N70" s="650" t="s">
        <v>237</v>
      </c>
      <c r="O70" s="652">
        <v>2.2000000000000001E-3</v>
      </c>
      <c r="P70" s="652"/>
      <c r="Q70" s="652"/>
      <c r="R70" s="652">
        <f t="shared" si="7"/>
        <v>2.2769999999999999E-3</v>
      </c>
      <c r="S70" s="652">
        <f t="shared" si="6"/>
        <v>1.4904000000000002E-4</v>
      </c>
      <c r="T70" s="652"/>
      <c r="U70" s="650" t="s">
        <v>1086</v>
      </c>
      <c r="V70" s="650">
        <v>10000</v>
      </c>
      <c r="W70" s="650">
        <v>12</v>
      </c>
      <c r="X70" s="653"/>
      <c r="Y70" s="653"/>
      <c r="Z70" s="752"/>
    </row>
    <row r="71" spans="1:54" ht="15.75" customHeight="1">
      <c r="A71" s="649">
        <v>2</v>
      </c>
      <c r="B71" s="650" t="s">
        <v>513</v>
      </c>
      <c r="C71" s="650" t="s">
        <v>507</v>
      </c>
      <c r="D71" s="650" t="s">
        <v>513</v>
      </c>
      <c r="E71" s="650" t="s">
        <v>513</v>
      </c>
      <c r="F71" s="650" t="s">
        <v>513</v>
      </c>
      <c r="G71" s="650" t="s">
        <v>509</v>
      </c>
      <c r="H71" s="649" t="s">
        <v>1073</v>
      </c>
      <c r="I71" s="651" t="s">
        <v>1074</v>
      </c>
      <c r="J71" s="651" t="str">
        <f>VLOOKUP(D71,[5]Sheet1!$D$1:$D$65536,1,0)</f>
        <v>CGA1A2X7R1E331K030BA</v>
      </c>
      <c r="K71" s="649" t="s">
        <v>28</v>
      </c>
      <c r="L71" s="649"/>
      <c r="M71" s="649">
        <v>1</v>
      </c>
      <c r="N71" s="650" t="s">
        <v>240</v>
      </c>
      <c r="O71" s="652">
        <v>2.0560000000000001E-3</v>
      </c>
      <c r="P71" s="652"/>
      <c r="Q71" s="652"/>
      <c r="R71" s="652">
        <f t="shared" si="7"/>
        <v>2.1279599999999999E-3</v>
      </c>
      <c r="S71" s="652">
        <f t="shared" si="6"/>
        <v>0</v>
      </c>
      <c r="T71" s="655">
        <f>R71*M71</f>
        <v>2.1279599999999999E-3</v>
      </c>
      <c r="U71" s="650" t="s">
        <v>1443</v>
      </c>
      <c r="V71" s="650"/>
      <c r="W71" s="650"/>
      <c r="X71" s="653"/>
      <c r="Y71" s="653"/>
      <c r="Z71" s="752"/>
    </row>
    <row r="72" spans="1:54" s="658" customFormat="1" ht="15.75" customHeight="1">
      <c r="A72" s="654">
        <v>2</v>
      </c>
      <c r="B72" s="655" t="s">
        <v>1131</v>
      </c>
      <c r="C72" s="655" t="s">
        <v>1132</v>
      </c>
      <c r="D72" s="655" t="s">
        <v>1131</v>
      </c>
      <c r="E72" s="655" t="s">
        <v>1131</v>
      </c>
      <c r="F72" s="659" t="e">
        <v>#N/A</v>
      </c>
      <c r="G72" s="659" t="s">
        <v>1133</v>
      </c>
      <c r="H72" s="660" t="s">
        <v>1073</v>
      </c>
      <c r="I72" s="661" t="s">
        <v>1074</v>
      </c>
      <c r="J72" s="651" t="str">
        <f>VLOOKUP(D72,[5]Sheet1!$D$1:$D$65536,1,0)</f>
        <v>UUD1E221MNL1GS</v>
      </c>
      <c r="K72" s="654" t="s">
        <v>28</v>
      </c>
      <c r="L72" s="654">
        <v>1</v>
      </c>
      <c r="M72" s="654"/>
      <c r="N72" s="655" t="s">
        <v>321</v>
      </c>
      <c r="O72" s="655">
        <v>7.9000000000000001E-2</v>
      </c>
      <c r="P72" s="655">
        <f>VLOOKUP(D72,'EEBOM Feb.2nd2026'!$D:$N,11,0)</f>
        <v>7.9000000000000001E-2</v>
      </c>
      <c r="Q72" s="655">
        <f>O72-P72</f>
        <v>0</v>
      </c>
      <c r="R72" s="652">
        <f t="shared" si="7"/>
        <v>8.176499999999999E-2</v>
      </c>
      <c r="S72" s="652">
        <f t="shared" si="6"/>
        <v>8.176499999999999E-2</v>
      </c>
      <c r="T72" s="655"/>
      <c r="U72" s="655" t="s">
        <v>1443</v>
      </c>
      <c r="V72" s="655">
        <v>500</v>
      </c>
      <c r="W72" s="655">
        <v>28</v>
      </c>
      <c r="X72" s="657" t="s">
        <v>1454</v>
      </c>
      <c r="Y72" s="657" t="s">
        <v>1448</v>
      </c>
      <c r="Z72" s="752" t="s">
        <v>1134</v>
      </c>
      <c r="AA72" s="753"/>
      <c r="AB72" s="753"/>
      <c r="AC72" s="753"/>
      <c r="AD72" s="753"/>
      <c r="AE72" s="753"/>
      <c r="AF72" s="753"/>
      <c r="AG72" s="753"/>
      <c r="AH72" s="753"/>
      <c r="AI72" s="753"/>
      <c r="AJ72" s="753"/>
      <c r="AK72" s="753"/>
      <c r="AL72" s="753"/>
      <c r="AM72" s="753"/>
      <c r="AN72" s="753"/>
      <c r="AO72" s="753"/>
      <c r="AP72" s="753"/>
      <c r="AQ72" s="753"/>
      <c r="AR72" s="753"/>
      <c r="AS72" s="753"/>
      <c r="AT72" s="753"/>
      <c r="AU72" s="753"/>
      <c r="AV72" s="753"/>
      <c r="AW72" s="753"/>
      <c r="AX72" s="753"/>
      <c r="AY72" s="753"/>
      <c r="AZ72" s="753"/>
      <c r="BA72" s="753"/>
      <c r="BB72" s="753"/>
    </row>
    <row r="73" spans="1:54" ht="15.75" customHeight="1">
      <c r="A73" s="649">
        <v>2</v>
      </c>
      <c r="B73" s="650" t="s">
        <v>1135</v>
      </c>
      <c r="C73" s="650" t="s">
        <v>1132</v>
      </c>
      <c r="D73" s="650" t="s">
        <v>1135</v>
      </c>
      <c r="E73" s="650" t="s">
        <v>1135</v>
      </c>
      <c r="F73" s="650" t="e">
        <v>#N/A</v>
      </c>
      <c r="G73" s="650" t="s">
        <v>1133</v>
      </c>
      <c r="H73" s="649" t="s">
        <v>1073</v>
      </c>
      <c r="I73" s="651" t="s">
        <v>1074</v>
      </c>
      <c r="J73" s="651" t="str">
        <f>VLOOKUP(D73,[5]Sheet1!$D$1:$D$65536,1,0)</f>
        <v>EMVY250ARA221MHA0G</v>
      </c>
      <c r="K73" s="649" t="s">
        <v>28</v>
      </c>
      <c r="L73" s="649"/>
      <c r="M73" s="670"/>
      <c r="N73" s="650" t="s">
        <v>1136</v>
      </c>
      <c r="O73" s="652"/>
      <c r="P73" s="652"/>
      <c r="Q73" s="652"/>
      <c r="R73" s="652">
        <f t="shared" si="7"/>
        <v>0</v>
      </c>
      <c r="S73" s="652">
        <f t="shared" si="6"/>
        <v>0</v>
      </c>
      <c r="T73" s="652"/>
      <c r="U73" s="650"/>
      <c r="V73" s="650"/>
      <c r="W73" s="650"/>
      <c r="X73" s="653"/>
      <c r="Y73" s="653"/>
      <c r="Z73" s="752"/>
    </row>
    <row r="74" spans="1:54" ht="15.75" customHeight="1">
      <c r="A74" s="649">
        <v>2</v>
      </c>
      <c r="B74" s="650" t="s">
        <v>1137</v>
      </c>
      <c r="C74" s="650" t="s">
        <v>1132</v>
      </c>
      <c r="D74" s="650" t="s">
        <v>1137</v>
      </c>
      <c r="E74" s="650" t="s">
        <v>1137</v>
      </c>
      <c r="F74" s="650" t="e">
        <v>#N/A</v>
      </c>
      <c r="G74" s="650" t="s">
        <v>1133</v>
      </c>
      <c r="H74" s="649" t="s">
        <v>1073</v>
      </c>
      <c r="I74" s="651" t="s">
        <v>1074</v>
      </c>
      <c r="J74" s="651" t="str">
        <f>VLOOKUP(D74,[5]Sheet1!$D$1:$D$65536,1,0)</f>
        <v>MAL215097612E3</v>
      </c>
      <c r="K74" s="649" t="s">
        <v>28</v>
      </c>
      <c r="L74" s="649"/>
      <c r="M74" s="649">
        <v>1</v>
      </c>
      <c r="N74" s="650" t="s">
        <v>368</v>
      </c>
      <c r="O74" s="652">
        <v>0.53</v>
      </c>
      <c r="P74" s="652"/>
      <c r="Q74" s="652"/>
      <c r="R74" s="652">
        <f t="shared" si="7"/>
        <v>0.54854999999999998</v>
      </c>
      <c r="S74" s="652">
        <f t="shared" si="6"/>
        <v>0.54854999999999998</v>
      </c>
      <c r="T74" s="655">
        <f t="shared" ref="T74:T75" si="8">R74*M74</f>
        <v>0.54854999999999998</v>
      </c>
      <c r="U74" s="650" t="s">
        <v>1443</v>
      </c>
      <c r="V74" s="650"/>
      <c r="W74" s="650"/>
      <c r="X74" s="653"/>
      <c r="Y74" s="653"/>
      <c r="Z74" s="752"/>
    </row>
    <row r="75" spans="1:54" s="658" customFormat="1" ht="15.75" customHeight="1">
      <c r="A75" s="654">
        <v>2</v>
      </c>
      <c r="B75" s="655" t="s">
        <v>1459</v>
      </c>
      <c r="C75" s="655" t="s">
        <v>1139</v>
      </c>
      <c r="D75" s="655" t="s">
        <v>1138</v>
      </c>
      <c r="E75" s="655" t="s">
        <v>1138</v>
      </c>
      <c r="F75" s="659" t="e">
        <v>#N/A</v>
      </c>
      <c r="G75" s="659" t="s">
        <v>1140</v>
      </c>
      <c r="H75" s="660" t="s">
        <v>1073</v>
      </c>
      <c r="I75" s="661" t="s">
        <v>1074</v>
      </c>
      <c r="J75" s="651" t="str">
        <f>VLOOKUP(D75,[5]Sheet1!$D$1:$D$65536,1,0)</f>
        <v>CGA3E1X7T0J106M080AC</v>
      </c>
      <c r="K75" s="654" t="s">
        <v>28</v>
      </c>
      <c r="L75" s="654">
        <v>1</v>
      </c>
      <c r="M75" s="654">
        <v>1</v>
      </c>
      <c r="N75" s="655" t="s">
        <v>1460</v>
      </c>
      <c r="O75" s="655">
        <v>2.76E-2</v>
      </c>
      <c r="P75" s="655">
        <f>VLOOKUP(D75,'EEBOM Feb.2nd2026'!$D:$N,11,0)</f>
        <v>2.7778000000000001E-2</v>
      </c>
      <c r="Q75" s="655">
        <f>O75-P75</f>
        <v>-1.7800000000000107E-4</v>
      </c>
      <c r="R75" s="652">
        <f t="shared" si="7"/>
        <v>2.8565999999999998E-2</v>
      </c>
      <c r="S75" s="652">
        <f t="shared" si="6"/>
        <v>0</v>
      </c>
      <c r="T75" s="655">
        <f t="shared" si="8"/>
        <v>2.8565999999999998E-2</v>
      </c>
      <c r="U75" s="655" t="s">
        <v>1443</v>
      </c>
      <c r="V75" s="655">
        <v>3000</v>
      </c>
      <c r="W75" s="655">
        <v>24</v>
      </c>
      <c r="X75" s="657" t="s">
        <v>1454</v>
      </c>
      <c r="Y75" s="657" t="s">
        <v>1448</v>
      </c>
      <c r="Z75" s="752" t="s">
        <v>1141</v>
      </c>
      <c r="AA75" s="753"/>
      <c r="AB75" s="753"/>
      <c r="AC75" s="753"/>
      <c r="AD75" s="753"/>
      <c r="AE75" s="753"/>
      <c r="AF75" s="753"/>
      <c r="AG75" s="753"/>
      <c r="AH75" s="753"/>
      <c r="AI75" s="753"/>
      <c r="AJ75" s="753"/>
      <c r="AK75" s="753"/>
      <c r="AL75" s="753"/>
      <c r="AM75" s="753"/>
      <c r="AN75" s="753"/>
      <c r="AO75" s="753"/>
      <c r="AP75" s="753"/>
      <c r="AQ75" s="753"/>
      <c r="AR75" s="753"/>
      <c r="AS75" s="753"/>
      <c r="AT75" s="753"/>
      <c r="AU75" s="753"/>
      <c r="AV75" s="753"/>
      <c r="AW75" s="753"/>
      <c r="AX75" s="753"/>
      <c r="AY75" s="753"/>
      <c r="AZ75" s="753"/>
      <c r="BA75" s="753"/>
      <c r="BB75" s="753"/>
    </row>
    <row r="76" spans="1:54" ht="15.75" customHeight="1">
      <c r="A76" s="649">
        <v>2</v>
      </c>
      <c r="B76" s="650" t="s">
        <v>1142</v>
      </c>
      <c r="C76" s="650" t="s">
        <v>1139</v>
      </c>
      <c r="D76" s="650" t="s">
        <v>1142</v>
      </c>
      <c r="E76" s="650" t="s">
        <v>1142</v>
      </c>
      <c r="F76" s="650" t="e">
        <v>#N/A</v>
      </c>
      <c r="G76" s="650" t="s">
        <v>1140</v>
      </c>
      <c r="H76" s="649" t="s">
        <v>1073</v>
      </c>
      <c r="I76" s="651" t="s">
        <v>1074</v>
      </c>
      <c r="J76" s="651" t="str">
        <f>VLOOKUP(D76,[5]Sheet1!$D$1:$D$65536,1,0)</f>
        <v>GCM188D70J106ME36D</v>
      </c>
      <c r="K76" s="649" t="s">
        <v>28</v>
      </c>
      <c r="L76" s="649"/>
      <c r="M76" s="649"/>
      <c r="N76" s="650" t="s">
        <v>237</v>
      </c>
      <c r="O76" s="652">
        <v>4.0500000000000001E-2</v>
      </c>
      <c r="P76" s="652"/>
      <c r="Q76" s="652"/>
      <c r="R76" s="652">
        <f t="shared" si="7"/>
        <v>4.1917499999999996E-2</v>
      </c>
      <c r="S76" s="652">
        <f t="shared" si="6"/>
        <v>1.3351499999999999E-2</v>
      </c>
      <c r="T76" s="652"/>
      <c r="U76" s="650" t="s">
        <v>1089</v>
      </c>
      <c r="V76" s="650"/>
      <c r="W76" s="650"/>
      <c r="X76" s="653"/>
      <c r="Y76" s="653"/>
      <c r="Z76" s="752"/>
    </row>
    <row r="77" spans="1:54" ht="15.75" customHeight="1">
      <c r="A77" s="649">
        <v>2</v>
      </c>
      <c r="B77" s="650" t="s">
        <v>1143</v>
      </c>
      <c r="C77" s="650" t="s">
        <v>1139</v>
      </c>
      <c r="D77" s="650" t="s">
        <v>1143</v>
      </c>
      <c r="E77" s="650" t="s">
        <v>1143</v>
      </c>
      <c r="F77" s="650" t="e">
        <v>#N/A</v>
      </c>
      <c r="G77" s="650" t="s">
        <v>1140</v>
      </c>
      <c r="H77" s="649" t="s">
        <v>1073</v>
      </c>
      <c r="I77" s="651" t="s">
        <v>1074</v>
      </c>
      <c r="J77" s="651" t="str">
        <f>VLOOKUP(D77,[5]Sheet1!$D$1:$D$65536,1,0)</f>
        <v>GCM188D70J106ME36J</v>
      </c>
      <c r="K77" s="649" t="s">
        <v>28</v>
      </c>
      <c r="L77" s="649"/>
      <c r="M77" s="649"/>
      <c r="N77" s="650" t="s">
        <v>237</v>
      </c>
      <c r="O77" s="652">
        <v>4.0500000000000001E-2</v>
      </c>
      <c r="P77" s="652"/>
      <c r="Q77" s="652"/>
      <c r="R77" s="652">
        <f t="shared" si="7"/>
        <v>4.1917499999999996E-2</v>
      </c>
      <c r="S77" s="652">
        <f t="shared" si="6"/>
        <v>1.3351499999999999E-2</v>
      </c>
      <c r="T77" s="652"/>
      <c r="U77" s="650" t="s">
        <v>1089</v>
      </c>
      <c r="V77" s="650"/>
      <c r="W77" s="650"/>
      <c r="X77" s="653"/>
      <c r="Y77" s="653"/>
      <c r="Z77" s="752"/>
    </row>
    <row r="78" spans="1:54" s="668" customFormat="1" ht="15.75" customHeight="1">
      <c r="A78" s="662">
        <v>2</v>
      </c>
      <c r="B78" s="663" t="s">
        <v>1144</v>
      </c>
      <c r="C78" s="663" t="s">
        <v>1145</v>
      </c>
      <c r="D78" s="663" t="s">
        <v>1146</v>
      </c>
      <c r="E78" s="655" t="s">
        <v>1146</v>
      </c>
      <c r="F78" s="659" t="e">
        <v>#N/A</v>
      </c>
      <c r="G78" s="659" t="s">
        <v>1147</v>
      </c>
      <c r="H78" s="660" t="s">
        <v>1073</v>
      </c>
      <c r="I78" s="661" t="s">
        <v>1074</v>
      </c>
      <c r="J78" s="651" t="str">
        <f>VLOOKUP(D78,[5]Sheet1!$D$1:$D$65536,1,0)</f>
        <v>DESD1CAN2SOQ-7</v>
      </c>
      <c r="K78" s="662" t="s">
        <v>28</v>
      </c>
      <c r="L78" s="662">
        <v>3</v>
      </c>
      <c r="M78" s="662">
        <v>3</v>
      </c>
      <c r="N78" s="663" t="s">
        <v>416</v>
      </c>
      <c r="O78" s="663">
        <v>1.03E-2</v>
      </c>
      <c r="P78" s="663"/>
      <c r="Q78" s="663"/>
      <c r="R78" s="652">
        <f t="shared" si="7"/>
        <v>1.06605E-2</v>
      </c>
      <c r="S78" s="652">
        <f t="shared" si="6"/>
        <v>1.06605E-2</v>
      </c>
      <c r="T78" s="655">
        <f>R78*M78</f>
        <v>3.1981499999999996E-2</v>
      </c>
      <c r="U78" s="663" t="s">
        <v>1400</v>
      </c>
      <c r="V78" s="664">
        <v>3000</v>
      </c>
      <c r="W78" s="662">
        <v>24</v>
      </c>
      <c r="X78" s="667" t="s">
        <v>1461</v>
      </c>
      <c r="Y78" s="667" t="s">
        <v>1453</v>
      </c>
      <c r="Z78" s="752" t="s">
        <v>1148</v>
      </c>
      <c r="AA78" s="753"/>
      <c r="AB78" s="753"/>
      <c r="AC78" s="753"/>
      <c r="AD78" s="753"/>
      <c r="AE78" s="753"/>
      <c r="AF78" s="753"/>
      <c r="AG78" s="753"/>
      <c r="AH78" s="753"/>
      <c r="AI78" s="753"/>
      <c r="AJ78" s="753"/>
      <c r="AK78" s="753"/>
      <c r="AL78" s="753"/>
      <c r="AM78" s="753"/>
      <c r="AN78" s="753"/>
      <c r="AO78" s="753"/>
      <c r="AP78" s="753"/>
      <c r="AQ78" s="753"/>
      <c r="AR78" s="753"/>
      <c r="AS78" s="753"/>
      <c r="AT78" s="753"/>
      <c r="AU78" s="753"/>
      <c r="AV78" s="753"/>
      <c r="AW78" s="753"/>
      <c r="AX78" s="753"/>
      <c r="AY78" s="753"/>
      <c r="AZ78" s="753"/>
      <c r="BA78" s="753"/>
      <c r="BB78" s="753"/>
    </row>
    <row r="79" spans="1:54" ht="15.75" customHeight="1">
      <c r="A79" s="649">
        <v>2</v>
      </c>
      <c r="B79" s="650" t="s">
        <v>1149</v>
      </c>
      <c r="C79" s="650" t="s">
        <v>1145</v>
      </c>
      <c r="D79" s="650" t="s">
        <v>1150</v>
      </c>
      <c r="E79" s="650" t="s">
        <v>1150</v>
      </c>
      <c r="F79" s="650" t="e">
        <v>#N/A</v>
      </c>
      <c r="G79" s="650" t="s">
        <v>1147</v>
      </c>
      <c r="H79" s="649" t="s">
        <v>1073</v>
      </c>
      <c r="I79" s="651" t="s">
        <v>1074</v>
      </c>
      <c r="J79" s="651" t="str">
        <f>VLOOKUP(D79,[5]Sheet1!$D$1:$D$65536,1,0)</f>
        <v>DESD1CAN2SOQ-7-52</v>
      </c>
      <c r="K79" s="649" t="s">
        <v>28</v>
      </c>
      <c r="L79" s="649"/>
      <c r="M79" s="649"/>
      <c r="N79" s="650" t="s">
        <v>416</v>
      </c>
      <c r="O79" s="652">
        <v>1.03E-2</v>
      </c>
      <c r="P79" s="652"/>
      <c r="Q79" s="652"/>
      <c r="R79" s="652">
        <f t="shared" si="7"/>
        <v>1.06605E-2</v>
      </c>
      <c r="S79" s="652">
        <f t="shared" si="6"/>
        <v>1.06605E-2</v>
      </c>
      <c r="T79" s="652"/>
      <c r="U79" s="650" t="s">
        <v>1400</v>
      </c>
      <c r="V79" s="650"/>
      <c r="W79" s="650"/>
      <c r="X79" s="653"/>
      <c r="Y79" s="653"/>
      <c r="Z79" s="752"/>
    </row>
    <row r="80" spans="1:54" ht="15.75" customHeight="1">
      <c r="A80" s="649">
        <v>2</v>
      </c>
      <c r="B80" s="650" t="s">
        <v>1151</v>
      </c>
      <c r="C80" s="650" t="s">
        <v>1145</v>
      </c>
      <c r="D80" s="650" t="s">
        <v>1152</v>
      </c>
      <c r="E80" s="650" t="s">
        <v>1152</v>
      </c>
      <c r="F80" s="650" t="e">
        <v>#N/A</v>
      </c>
      <c r="G80" s="650" t="s">
        <v>1147</v>
      </c>
      <c r="H80" s="649" t="s">
        <v>1073</v>
      </c>
      <c r="I80" s="651" t="s">
        <v>1074</v>
      </c>
      <c r="J80" s="651" t="str">
        <f>VLOOKUP(D80,[5]Sheet1!$D$1:$D$65536,1,0)</f>
        <v>SESDONCAN1LT3G</v>
      </c>
      <c r="K80" s="649" t="s">
        <v>28</v>
      </c>
      <c r="L80" s="649"/>
      <c r="M80" s="649"/>
      <c r="N80" s="650" t="s">
        <v>1153</v>
      </c>
      <c r="O80" s="652">
        <v>1.4800000000000001E-2</v>
      </c>
      <c r="P80" s="652"/>
      <c r="Q80" s="652"/>
      <c r="R80" s="652">
        <f t="shared" si="7"/>
        <v>1.5318E-2</v>
      </c>
      <c r="S80" s="652">
        <f t="shared" si="6"/>
        <v>1.5318E-2</v>
      </c>
      <c r="T80" s="652"/>
      <c r="U80" s="650" t="s">
        <v>1079</v>
      </c>
      <c r="V80" s="650"/>
      <c r="W80" s="650"/>
      <c r="X80" s="653"/>
      <c r="Y80" s="653"/>
      <c r="Z80" s="752"/>
    </row>
    <row r="81" spans="1:54" ht="15.75" customHeight="1">
      <c r="A81" s="649">
        <v>2</v>
      </c>
      <c r="B81" s="650" t="s">
        <v>1154</v>
      </c>
      <c r="C81" s="650" t="s">
        <v>1145</v>
      </c>
      <c r="D81" s="650" t="s">
        <v>1155</v>
      </c>
      <c r="E81" s="650" t="s">
        <v>1155</v>
      </c>
      <c r="F81" s="650" t="e">
        <v>#N/A</v>
      </c>
      <c r="G81" s="650" t="s">
        <v>1147</v>
      </c>
      <c r="H81" s="649" t="s">
        <v>1073</v>
      </c>
      <c r="I81" s="651" t="s">
        <v>1074</v>
      </c>
      <c r="J81" s="651" t="str">
        <f>VLOOKUP(D81,[5]Sheet1!$D$1:$D$65536,1,0)</f>
        <v>AQ24CANA-02HTG</v>
      </c>
      <c r="K81" s="649" t="s">
        <v>28</v>
      </c>
      <c r="L81" s="649"/>
      <c r="M81" s="649"/>
      <c r="N81" s="650" t="s">
        <v>1156</v>
      </c>
      <c r="O81" s="652">
        <v>3.1199999999999999E-2</v>
      </c>
      <c r="P81" s="652"/>
      <c r="Q81" s="652"/>
      <c r="R81" s="652">
        <f t="shared" si="7"/>
        <v>3.2291999999999994E-2</v>
      </c>
      <c r="S81" s="652">
        <f t="shared" si="6"/>
        <v>3.2291999999999994E-2</v>
      </c>
      <c r="T81" s="652"/>
      <c r="U81" s="650" t="s">
        <v>1157</v>
      </c>
      <c r="V81" s="650"/>
      <c r="W81" s="650"/>
      <c r="X81" s="653"/>
      <c r="Y81" s="653"/>
      <c r="Z81" s="752"/>
    </row>
    <row r="82" spans="1:54" ht="15.75" customHeight="1">
      <c r="A82" s="649">
        <v>2</v>
      </c>
      <c r="B82" s="650" t="s">
        <v>1158</v>
      </c>
      <c r="C82" s="650" t="s">
        <v>1145</v>
      </c>
      <c r="D82" s="650" t="s">
        <v>1159</v>
      </c>
      <c r="E82" s="650" t="s">
        <v>1159</v>
      </c>
      <c r="F82" s="650" t="e">
        <v>#N/A</v>
      </c>
      <c r="G82" s="650" t="s">
        <v>1147</v>
      </c>
      <c r="H82" s="649" t="s">
        <v>1073</v>
      </c>
      <c r="I82" s="651" t="s">
        <v>1074</v>
      </c>
      <c r="J82" s="651" t="str">
        <f>VLOOKUP(D82,[5]Sheet1!$D$1:$D$65536,1,0)</f>
        <v>SM24CANA-02HTG</v>
      </c>
      <c r="K82" s="649" t="s">
        <v>28</v>
      </c>
      <c r="L82" s="649"/>
      <c r="M82" s="649"/>
      <c r="N82" s="650" t="s">
        <v>1156</v>
      </c>
      <c r="O82" s="652">
        <v>0.04</v>
      </c>
      <c r="P82" s="652"/>
      <c r="Q82" s="652"/>
      <c r="R82" s="652">
        <f t="shared" si="7"/>
        <v>4.1399999999999999E-2</v>
      </c>
      <c r="S82" s="652">
        <f t="shared" si="6"/>
        <v>4.1399999999999999E-2</v>
      </c>
      <c r="T82" s="652"/>
      <c r="U82" s="650" t="s">
        <v>1445</v>
      </c>
      <c r="V82" s="650"/>
      <c r="W82" s="650"/>
      <c r="X82" s="653"/>
      <c r="Y82" s="653"/>
      <c r="Z82" s="752"/>
    </row>
    <row r="83" spans="1:54" ht="15.75" customHeight="1">
      <c r="A83" s="649">
        <v>2</v>
      </c>
      <c r="B83" s="650" t="s">
        <v>1160</v>
      </c>
      <c r="C83" s="650" t="s">
        <v>1145</v>
      </c>
      <c r="D83" s="650" t="s">
        <v>1160</v>
      </c>
      <c r="E83" s="650" t="s">
        <v>1160</v>
      </c>
      <c r="F83" s="650" t="e">
        <v>#N/A</v>
      </c>
      <c r="G83" s="650" t="s">
        <v>1147</v>
      </c>
      <c r="H83" s="649" t="s">
        <v>1073</v>
      </c>
      <c r="I83" s="651" t="s">
        <v>1074</v>
      </c>
      <c r="J83" s="651" t="str">
        <f>VLOOKUP(D83,[5]Sheet1!$D$1:$D$65536,1,0)</f>
        <v>CDSOT23-T24CAN-Q</v>
      </c>
      <c r="K83" s="649" t="s">
        <v>28</v>
      </c>
      <c r="L83" s="649"/>
      <c r="M83" s="649"/>
      <c r="N83" s="650" t="s">
        <v>374</v>
      </c>
      <c r="O83" s="652">
        <v>7.0999999999999994E-2</v>
      </c>
      <c r="P83" s="652"/>
      <c r="Q83" s="652"/>
      <c r="R83" s="652">
        <f t="shared" si="7"/>
        <v>7.3484999999999981E-2</v>
      </c>
      <c r="S83" s="652">
        <f t="shared" si="6"/>
        <v>7.3484999999999981E-2</v>
      </c>
      <c r="T83" s="652"/>
      <c r="U83" s="650" t="s">
        <v>1127</v>
      </c>
      <c r="V83" s="650"/>
      <c r="W83" s="650"/>
      <c r="X83" s="653"/>
      <c r="Y83" s="653"/>
      <c r="Z83" s="752"/>
    </row>
    <row r="84" spans="1:54" ht="15.5" customHeight="1">
      <c r="A84" s="649">
        <v>2</v>
      </c>
      <c r="B84" s="650" t="s">
        <v>1161</v>
      </c>
      <c r="C84" s="650" t="s">
        <v>1145</v>
      </c>
      <c r="D84" s="650" t="s">
        <v>1161</v>
      </c>
      <c r="E84" s="650" t="s">
        <v>1161</v>
      </c>
      <c r="F84" s="650" t="e">
        <v>#N/A</v>
      </c>
      <c r="G84" s="650" t="s">
        <v>1147</v>
      </c>
      <c r="H84" s="649" t="s">
        <v>1073</v>
      </c>
      <c r="I84" s="651" t="s">
        <v>1074</v>
      </c>
      <c r="J84" s="651" t="str">
        <f>VLOOKUP(D84,[5]Sheet1!$D$1:$D$65536,1,0)</f>
        <v>PESD2CANFD24VT-QR</v>
      </c>
      <c r="K84" s="649" t="s">
        <v>28</v>
      </c>
      <c r="L84" s="649"/>
      <c r="M84" s="649"/>
      <c r="N84" s="650" t="s">
        <v>244</v>
      </c>
      <c r="O84" s="652">
        <v>3.7400000000000003E-2</v>
      </c>
      <c r="P84" s="652"/>
      <c r="Q84" s="652"/>
      <c r="R84" s="652">
        <f t="shared" si="7"/>
        <v>3.8709E-2</v>
      </c>
      <c r="S84" s="652">
        <f t="shared" si="6"/>
        <v>3.8709E-2</v>
      </c>
      <c r="T84" s="652"/>
      <c r="U84" s="650" t="s">
        <v>1443</v>
      </c>
      <c r="V84" s="650"/>
      <c r="W84" s="650"/>
      <c r="X84" s="653"/>
      <c r="Y84" s="653"/>
      <c r="Z84" s="752"/>
    </row>
    <row r="85" spans="1:54" ht="15.75" customHeight="1">
      <c r="A85" s="649">
        <v>2</v>
      </c>
      <c r="B85" s="650" t="s">
        <v>1162</v>
      </c>
      <c r="C85" s="650" t="s">
        <v>1145</v>
      </c>
      <c r="D85" s="650" t="s">
        <v>1163</v>
      </c>
      <c r="E85" s="650" t="s">
        <v>1163</v>
      </c>
      <c r="F85" s="650" t="e">
        <v>#N/A</v>
      </c>
      <c r="G85" s="650" t="s">
        <v>1147</v>
      </c>
      <c r="H85" s="649" t="s">
        <v>1073</v>
      </c>
      <c r="I85" s="651" t="s">
        <v>1074</v>
      </c>
      <c r="J85" s="651" t="str">
        <f>VLOOKUP(D85,[5]Sheet1!$D$1:$D$65536,1,0)</f>
        <v>PESD1CAN_215</v>
      </c>
      <c r="K85" s="649" t="s">
        <v>28</v>
      </c>
      <c r="L85" s="649"/>
      <c r="M85" s="649"/>
      <c r="N85" s="650" t="s">
        <v>244</v>
      </c>
      <c r="O85" s="652"/>
      <c r="P85" s="652"/>
      <c r="Q85" s="652"/>
      <c r="R85" s="652">
        <f t="shared" si="7"/>
        <v>0</v>
      </c>
      <c r="S85" s="652">
        <f t="shared" si="6"/>
        <v>0</v>
      </c>
      <c r="T85" s="652"/>
      <c r="U85" s="650"/>
      <c r="V85" s="650"/>
      <c r="W85" s="650"/>
      <c r="X85" s="653"/>
      <c r="Y85" s="653"/>
      <c r="Z85" s="752"/>
    </row>
    <row r="86" spans="1:54" s="658" customFormat="1" ht="15.75" customHeight="1">
      <c r="A86" s="654">
        <v>2</v>
      </c>
      <c r="B86" s="655" t="s">
        <v>1462</v>
      </c>
      <c r="C86" s="655" t="s">
        <v>1166</v>
      </c>
      <c r="D86" s="655" t="s">
        <v>1165</v>
      </c>
      <c r="E86" s="655" t="s">
        <v>1165</v>
      </c>
      <c r="F86" s="659" t="e">
        <v>#N/A</v>
      </c>
      <c r="G86" s="659" t="s">
        <v>1167</v>
      </c>
      <c r="H86" s="660" t="s">
        <v>1073</v>
      </c>
      <c r="I86" s="661" t="s">
        <v>1074</v>
      </c>
      <c r="J86" s="651" t="str">
        <f>VLOOKUP(D86,[5]Sheet1!$D$1:$D$65536,1,0)</f>
        <v>NSVR02100HT1G</v>
      </c>
      <c r="K86" s="654" t="s">
        <v>28</v>
      </c>
      <c r="L86" s="654">
        <v>2</v>
      </c>
      <c r="M86" s="654">
        <v>2</v>
      </c>
      <c r="N86" s="655" t="s">
        <v>1153</v>
      </c>
      <c r="O86" s="655">
        <v>4.1799999999999997E-2</v>
      </c>
      <c r="P86" s="655"/>
      <c r="Q86" s="655"/>
      <c r="R86" s="652">
        <f t="shared" si="7"/>
        <v>4.3262999999999996E-2</v>
      </c>
      <c r="S86" s="652">
        <f t="shared" si="6"/>
        <v>0</v>
      </c>
      <c r="T86" s="655">
        <f t="shared" ref="T86:T88" si="9">R86*M86</f>
        <v>8.6525999999999992E-2</v>
      </c>
      <c r="U86" s="655" t="s">
        <v>1463</v>
      </c>
      <c r="V86" s="655"/>
      <c r="W86" s="655"/>
      <c r="X86" s="657" t="s">
        <v>1444</v>
      </c>
      <c r="Y86" s="657" t="s">
        <v>1444</v>
      </c>
      <c r="Z86" s="752" t="s">
        <v>1168</v>
      </c>
      <c r="AA86" s="753"/>
      <c r="AB86" s="753"/>
      <c r="AC86" s="753"/>
      <c r="AD86" s="753"/>
      <c r="AE86" s="753"/>
      <c r="AF86" s="753"/>
      <c r="AG86" s="753"/>
      <c r="AH86" s="753"/>
      <c r="AI86" s="753"/>
      <c r="AJ86" s="753"/>
      <c r="AK86" s="753"/>
      <c r="AL86" s="753"/>
      <c r="AM86" s="753"/>
      <c r="AN86" s="753"/>
      <c r="AO86" s="753"/>
      <c r="AP86" s="753"/>
      <c r="AQ86" s="753"/>
      <c r="AR86" s="753"/>
      <c r="AS86" s="753"/>
      <c r="AT86" s="753"/>
      <c r="AU86" s="753"/>
      <c r="AV86" s="753"/>
      <c r="AW86" s="753"/>
      <c r="AX86" s="753"/>
      <c r="AY86" s="753"/>
      <c r="AZ86" s="753"/>
      <c r="BA86" s="753"/>
      <c r="BB86" s="753"/>
    </row>
    <row r="87" spans="1:54" s="658" customFormat="1" ht="15.5" customHeight="1">
      <c r="A87" s="654">
        <v>2</v>
      </c>
      <c r="B87" s="655" t="s">
        <v>401</v>
      </c>
      <c r="C87" s="655" t="s">
        <v>402</v>
      </c>
      <c r="D87" s="655" t="s">
        <v>401</v>
      </c>
      <c r="E87" s="655" t="s">
        <v>401</v>
      </c>
      <c r="F87" s="659" t="s">
        <v>401</v>
      </c>
      <c r="G87" s="659" t="s">
        <v>403</v>
      </c>
      <c r="H87" s="660" t="s">
        <v>1073</v>
      </c>
      <c r="I87" s="661" t="s">
        <v>1074</v>
      </c>
      <c r="J87" s="651" t="str">
        <f>VLOOKUP(D87,[5]Sheet1!$D$1:$D$65536,1,0)</f>
        <v>ESD601DPYRQ1</v>
      </c>
      <c r="K87" s="654" t="s">
        <v>28</v>
      </c>
      <c r="L87" s="654">
        <v>2</v>
      </c>
      <c r="M87" s="654">
        <v>2</v>
      </c>
      <c r="N87" s="655" t="s">
        <v>1464</v>
      </c>
      <c r="O87" s="655">
        <v>2.9000000000000001E-2</v>
      </c>
      <c r="P87" s="655"/>
      <c r="Q87" s="655"/>
      <c r="R87" s="652">
        <f t="shared" si="7"/>
        <v>3.0015E-2</v>
      </c>
      <c r="S87" s="652">
        <f t="shared" si="6"/>
        <v>0</v>
      </c>
      <c r="T87" s="655">
        <f t="shared" si="9"/>
        <v>6.003E-2</v>
      </c>
      <c r="U87" s="655" t="s">
        <v>1464</v>
      </c>
      <c r="V87" s="655">
        <v>10000</v>
      </c>
      <c r="W87" s="655">
        <v>12</v>
      </c>
      <c r="X87" s="657" t="s">
        <v>1444</v>
      </c>
      <c r="Y87" s="657" t="s">
        <v>1444</v>
      </c>
      <c r="Z87" s="752" t="s">
        <v>1170</v>
      </c>
      <c r="AA87" s="753"/>
      <c r="AB87" s="753"/>
      <c r="AC87" s="753"/>
      <c r="AD87" s="753"/>
      <c r="AE87" s="753"/>
      <c r="AF87" s="753"/>
      <c r="AG87" s="753"/>
      <c r="AH87" s="753"/>
      <c r="AI87" s="753"/>
      <c r="AJ87" s="753"/>
      <c r="AK87" s="753"/>
      <c r="AL87" s="753"/>
      <c r="AM87" s="753"/>
      <c r="AN87" s="753"/>
      <c r="AO87" s="753"/>
      <c r="AP87" s="753"/>
      <c r="AQ87" s="753"/>
      <c r="AR87" s="753"/>
      <c r="AS87" s="753"/>
      <c r="AT87" s="753"/>
      <c r="AU87" s="753"/>
      <c r="AV87" s="753"/>
      <c r="AW87" s="753"/>
      <c r="AX87" s="753"/>
      <c r="AY87" s="753"/>
      <c r="AZ87" s="753"/>
      <c r="BA87" s="753"/>
      <c r="BB87" s="753"/>
    </row>
    <row r="88" spans="1:54" s="668" customFormat="1" ht="15.75" customHeight="1">
      <c r="A88" s="662">
        <v>2</v>
      </c>
      <c r="B88" s="663" t="s">
        <v>1171</v>
      </c>
      <c r="C88" s="663" t="s">
        <v>1172</v>
      </c>
      <c r="D88" s="663" t="s">
        <v>1401</v>
      </c>
      <c r="E88" s="655" t="s">
        <v>1171</v>
      </c>
      <c r="F88" s="671" t="e">
        <v>#N/A</v>
      </c>
      <c r="G88" s="671" t="s">
        <v>373</v>
      </c>
      <c r="H88" s="672" t="s">
        <v>1073</v>
      </c>
      <c r="I88" s="673" t="s">
        <v>1074</v>
      </c>
      <c r="J88" s="651" t="str">
        <f>VLOOKUP(D88,[5]Sheet1!$D$1:$D$65536,1,0)</f>
        <v>SMAJ54AQ-13-F</v>
      </c>
      <c r="K88" s="662" t="s">
        <v>28</v>
      </c>
      <c r="L88" s="662">
        <v>1</v>
      </c>
      <c r="M88" s="662">
        <v>1</v>
      </c>
      <c r="N88" s="663" t="s">
        <v>416</v>
      </c>
      <c r="O88" s="663">
        <v>7.2300000000000003E-2</v>
      </c>
      <c r="P88" s="663"/>
      <c r="Q88" s="663"/>
      <c r="R88" s="652">
        <f t="shared" si="7"/>
        <v>7.4830499999999994E-2</v>
      </c>
      <c r="S88" s="652">
        <f t="shared" si="6"/>
        <v>7.4830499999999994E-2</v>
      </c>
      <c r="T88" s="655">
        <f t="shared" si="9"/>
        <v>7.4830499999999994E-2</v>
      </c>
      <c r="U88" s="663" t="s">
        <v>1400</v>
      </c>
      <c r="V88" s="663">
        <v>5000</v>
      </c>
      <c r="W88" s="662">
        <v>24</v>
      </c>
      <c r="X88" s="667" t="s">
        <v>1461</v>
      </c>
      <c r="Y88" s="667" t="s">
        <v>1453</v>
      </c>
      <c r="Z88" s="752" t="s">
        <v>375</v>
      </c>
      <c r="AA88" s="753"/>
      <c r="AB88" s="753"/>
      <c r="AC88" s="753"/>
      <c r="AD88" s="753"/>
      <c r="AE88" s="753"/>
      <c r="AF88" s="753"/>
      <c r="AG88" s="753"/>
      <c r="AH88" s="753"/>
      <c r="AI88" s="753"/>
      <c r="AJ88" s="753"/>
      <c r="AK88" s="753"/>
      <c r="AL88" s="753"/>
      <c r="AM88" s="753"/>
      <c r="AN88" s="753"/>
      <c r="AO88" s="753"/>
      <c r="AP88" s="753"/>
      <c r="AQ88" s="753"/>
      <c r="AR88" s="753"/>
      <c r="AS88" s="753"/>
      <c r="AT88" s="753"/>
      <c r="AU88" s="753"/>
      <c r="AV88" s="753"/>
      <c r="AW88" s="753"/>
      <c r="AX88" s="753"/>
      <c r="AY88" s="753"/>
      <c r="AZ88" s="753"/>
      <c r="BA88" s="753"/>
      <c r="BB88" s="753"/>
    </row>
    <row r="89" spans="1:54" ht="15.75" customHeight="1">
      <c r="A89" s="649">
        <v>2</v>
      </c>
      <c r="B89" s="650" t="s">
        <v>1173</v>
      </c>
      <c r="C89" s="650" t="s">
        <v>1172</v>
      </c>
      <c r="D89" s="674" t="s">
        <v>1402</v>
      </c>
      <c r="E89" s="675" t="s">
        <v>1173</v>
      </c>
      <c r="F89" s="675" t="e">
        <v>#N/A</v>
      </c>
      <c r="G89" s="675" t="s">
        <v>373</v>
      </c>
      <c r="H89" s="676" t="s">
        <v>1073</v>
      </c>
      <c r="I89" s="677" t="s">
        <v>1074</v>
      </c>
      <c r="J89" s="651" t="str">
        <f>VLOOKUP(D89,[5]Sheet1!$D$1:$D$65536,1,0)</f>
        <v>SMAJ54AQ-13-F-52</v>
      </c>
      <c r="K89" s="676" t="s">
        <v>28</v>
      </c>
      <c r="L89" s="676"/>
      <c r="M89" s="678"/>
      <c r="N89" s="675" t="s">
        <v>416</v>
      </c>
      <c r="O89" s="652"/>
      <c r="P89" s="652"/>
      <c r="Q89" s="652"/>
      <c r="R89" s="652">
        <f t="shared" si="7"/>
        <v>0</v>
      </c>
      <c r="S89" s="652">
        <f t="shared" si="6"/>
        <v>0</v>
      </c>
      <c r="T89" s="652"/>
      <c r="U89" s="675"/>
      <c r="V89" s="650"/>
      <c r="W89" s="650"/>
      <c r="X89" s="653"/>
      <c r="Y89" s="653"/>
      <c r="Z89" s="752"/>
    </row>
    <row r="90" spans="1:54" ht="15.75" customHeight="1">
      <c r="A90" s="649">
        <v>2</v>
      </c>
      <c r="B90" s="650" t="s">
        <v>1174</v>
      </c>
      <c r="C90" s="650" t="s">
        <v>1172</v>
      </c>
      <c r="D90" s="674" t="s">
        <v>1174</v>
      </c>
      <c r="E90" s="675" t="s">
        <v>1174</v>
      </c>
      <c r="F90" s="675" t="e">
        <v>#N/A</v>
      </c>
      <c r="G90" s="675" t="s">
        <v>373</v>
      </c>
      <c r="H90" s="676" t="s">
        <v>1073</v>
      </c>
      <c r="I90" s="677" t="s">
        <v>1074</v>
      </c>
      <c r="J90" s="651" t="str">
        <f>VLOOKUP(D90,[5]Sheet1!$D$1:$D$65536,1,0)</f>
        <v>SMAJ54AQ-13-F-52-N</v>
      </c>
      <c r="K90" s="676" t="s">
        <v>28</v>
      </c>
      <c r="L90" s="676"/>
      <c r="M90" s="676"/>
      <c r="N90" s="675" t="s">
        <v>416</v>
      </c>
      <c r="O90" s="652"/>
      <c r="P90" s="652"/>
      <c r="Q90" s="652"/>
      <c r="R90" s="652">
        <f t="shared" si="7"/>
        <v>0</v>
      </c>
      <c r="S90" s="652">
        <f t="shared" si="6"/>
        <v>0</v>
      </c>
      <c r="T90" s="652"/>
      <c r="U90" s="675"/>
      <c r="V90" s="650"/>
      <c r="W90" s="650"/>
      <c r="X90" s="653"/>
      <c r="Y90" s="653"/>
      <c r="Z90" s="752"/>
    </row>
    <row r="91" spans="1:54" ht="15.75" customHeight="1">
      <c r="A91" s="649">
        <v>2</v>
      </c>
      <c r="B91" s="650" t="s">
        <v>372</v>
      </c>
      <c r="C91" s="650" t="s">
        <v>1172</v>
      </c>
      <c r="D91" s="674" t="s">
        <v>372</v>
      </c>
      <c r="E91" s="675" t="s">
        <v>372</v>
      </c>
      <c r="F91" s="675" t="s">
        <v>372</v>
      </c>
      <c r="G91" s="675" t="s">
        <v>373</v>
      </c>
      <c r="H91" s="676" t="s">
        <v>1073</v>
      </c>
      <c r="I91" s="677" t="s">
        <v>1074</v>
      </c>
      <c r="J91" s="651" t="str">
        <f>VLOOKUP(D91,[5]Sheet1!$D$1:$D$65536,1,0)</f>
        <v>SMAJ54A-Q</v>
      </c>
      <c r="K91" s="676" t="s">
        <v>28</v>
      </c>
      <c r="L91" s="676"/>
      <c r="M91" s="676"/>
      <c r="N91" s="675" t="s">
        <v>374</v>
      </c>
      <c r="O91" s="652">
        <v>7.3700000000000002E-2</v>
      </c>
      <c r="P91" s="652"/>
      <c r="Q91" s="652"/>
      <c r="R91" s="652">
        <f t="shared" si="7"/>
        <v>7.62795E-2</v>
      </c>
      <c r="S91" s="652">
        <f t="shared" si="6"/>
        <v>7.62795E-2</v>
      </c>
      <c r="T91" s="652"/>
      <c r="U91" s="675" t="s">
        <v>1175</v>
      </c>
      <c r="V91" s="650"/>
      <c r="W91" s="650"/>
      <c r="X91" s="653"/>
      <c r="Y91" s="653"/>
      <c r="Z91" s="752"/>
    </row>
    <row r="92" spans="1:54" s="668" customFormat="1" ht="15.75" customHeight="1">
      <c r="A92" s="662">
        <v>2</v>
      </c>
      <c r="B92" s="663" t="s">
        <v>1176</v>
      </c>
      <c r="C92" s="663" t="s">
        <v>1177</v>
      </c>
      <c r="D92" s="664" t="s">
        <v>1403</v>
      </c>
      <c r="E92" s="679" t="s">
        <v>1176</v>
      </c>
      <c r="F92" s="679" t="e">
        <v>#N/A</v>
      </c>
      <c r="G92" s="679" t="s">
        <v>1178</v>
      </c>
      <c r="H92" s="680" t="s">
        <v>1073</v>
      </c>
      <c r="I92" s="681" t="s">
        <v>1074</v>
      </c>
      <c r="J92" s="651" t="str">
        <f>VLOOKUP(D92,[5]Sheet1!$D$1:$D$65536,1,0)</f>
        <v>STPS2L60ZFY</v>
      </c>
      <c r="K92" s="662" t="s">
        <v>28</v>
      </c>
      <c r="L92" s="662">
        <v>2</v>
      </c>
      <c r="M92" s="662">
        <v>2</v>
      </c>
      <c r="N92" s="663" t="s">
        <v>1179</v>
      </c>
      <c r="O92" s="664">
        <v>3.5000000000000003E-2</v>
      </c>
      <c r="P92" s="663"/>
      <c r="Q92" s="663"/>
      <c r="R92" s="652">
        <f t="shared" si="7"/>
        <v>3.6225E-2</v>
      </c>
      <c r="S92" s="652">
        <f t="shared" si="6"/>
        <v>0</v>
      </c>
      <c r="T92" s="655">
        <f t="shared" ref="T92:T93" si="10">R92*M92</f>
        <v>7.2450000000000001E-2</v>
      </c>
      <c r="U92" s="664" t="s">
        <v>1465</v>
      </c>
      <c r="V92" s="663">
        <v>3000</v>
      </c>
      <c r="W92" s="666">
        <v>15</v>
      </c>
      <c r="X92" s="667" t="s">
        <v>1466</v>
      </c>
      <c r="Y92" s="667" t="s">
        <v>1453</v>
      </c>
      <c r="Z92" s="752" t="s">
        <v>1180</v>
      </c>
      <c r="AA92" s="753"/>
      <c r="AB92" s="753"/>
      <c r="AC92" s="753"/>
      <c r="AD92" s="753"/>
      <c r="AE92" s="753"/>
      <c r="AF92" s="753"/>
      <c r="AG92" s="753"/>
      <c r="AH92" s="753"/>
      <c r="AI92" s="753"/>
      <c r="AJ92" s="753"/>
      <c r="AK92" s="753"/>
      <c r="AL92" s="753"/>
      <c r="AM92" s="753"/>
      <c r="AN92" s="753"/>
      <c r="AO92" s="753"/>
      <c r="AP92" s="753"/>
      <c r="AQ92" s="753"/>
      <c r="AR92" s="753"/>
      <c r="AS92" s="753"/>
      <c r="AT92" s="753"/>
      <c r="AU92" s="753"/>
      <c r="AV92" s="753"/>
      <c r="AW92" s="753"/>
      <c r="AX92" s="753"/>
      <c r="AY92" s="753"/>
      <c r="AZ92" s="753"/>
      <c r="BA92" s="753"/>
      <c r="BB92" s="753"/>
    </row>
    <row r="93" spans="1:54" s="668" customFormat="1" ht="15.75" customHeight="1">
      <c r="A93" s="662">
        <v>2</v>
      </c>
      <c r="B93" s="663" t="s">
        <v>1181</v>
      </c>
      <c r="C93" s="663" t="s">
        <v>1182</v>
      </c>
      <c r="D93" s="663" t="s">
        <v>1181</v>
      </c>
      <c r="E93" s="655" t="s">
        <v>1181</v>
      </c>
      <c r="F93" s="682" t="e">
        <v>#N/A</v>
      </c>
      <c r="G93" s="682" t="s">
        <v>1183</v>
      </c>
      <c r="H93" s="683" t="s">
        <v>1073</v>
      </c>
      <c r="I93" s="684" t="s">
        <v>1074</v>
      </c>
      <c r="J93" s="651" t="str">
        <f>VLOOKUP(D93,[5]Sheet1!$D$1:$D$65536,1,0)</f>
        <v>DFLS2100Q-7</v>
      </c>
      <c r="K93" s="662" t="s">
        <v>28</v>
      </c>
      <c r="L93" s="662">
        <v>1</v>
      </c>
      <c r="M93" s="662">
        <v>1</v>
      </c>
      <c r="N93" s="663" t="s">
        <v>416</v>
      </c>
      <c r="O93" s="663">
        <v>0.10249999999999999</v>
      </c>
      <c r="P93" s="663"/>
      <c r="Q93" s="663"/>
      <c r="R93" s="652">
        <f t="shared" si="7"/>
        <v>0.10608749999999999</v>
      </c>
      <c r="S93" s="652">
        <f t="shared" si="6"/>
        <v>0</v>
      </c>
      <c r="T93" s="655">
        <f t="shared" si="10"/>
        <v>0.10608749999999999</v>
      </c>
      <c r="U93" s="663" t="s">
        <v>1400</v>
      </c>
      <c r="V93" s="663">
        <v>3000</v>
      </c>
      <c r="W93" s="662">
        <v>24</v>
      </c>
      <c r="X93" s="667" t="s">
        <v>1461</v>
      </c>
      <c r="Y93" s="667" t="s">
        <v>1453</v>
      </c>
      <c r="Z93" s="752" t="s">
        <v>1184</v>
      </c>
      <c r="AA93" s="753"/>
      <c r="AB93" s="753"/>
      <c r="AC93" s="753"/>
      <c r="AD93" s="753"/>
      <c r="AE93" s="753"/>
      <c r="AF93" s="753"/>
      <c r="AG93" s="753"/>
      <c r="AH93" s="753"/>
      <c r="AI93" s="753"/>
      <c r="AJ93" s="753"/>
      <c r="AK93" s="753"/>
      <c r="AL93" s="753"/>
      <c r="AM93" s="753"/>
      <c r="AN93" s="753"/>
      <c r="AO93" s="753"/>
      <c r="AP93" s="753"/>
      <c r="AQ93" s="753"/>
      <c r="AR93" s="753"/>
      <c r="AS93" s="753"/>
      <c r="AT93" s="753"/>
      <c r="AU93" s="753"/>
      <c r="AV93" s="753"/>
      <c r="AW93" s="753"/>
      <c r="AX93" s="753"/>
      <c r="AY93" s="753"/>
      <c r="AZ93" s="753"/>
      <c r="BA93" s="753"/>
      <c r="BB93" s="753"/>
    </row>
    <row r="94" spans="1:54" ht="15.75" customHeight="1">
      <c r="A94" s="649">
        <v>2</v>
      </c>
      <c r="B94" s="650" t="s">
        <v>1185</v>
      </c>
      <c r="C94" s="650" t="s">
        <v>1182</v>
      </c>
      <c r="D94" s="674" t="s">
        <v>1185</v>
      </c>
      <c r="E94" s="674" t="s">
        <v>1185</v>
      </c>
      <c r="F94" s="674" t="e">
        <v>#N/A</v>
      </c>
      <c r="G94" s="674" t="s">
        <v>1183</v>
      </c>
      <c r="H94" s="685" t="s">
        <v>1073</v>
      </c>
      <c r="I94" s="686" t="s">
        <v>1074</v>
      </c>
      <c r="J94" s="651" t="str">
        <f>VLOOKUP(D94,[5]Sheet1!$D$1:$D$65536,1,0)</f>
        <v>DFLS2100Q-7-52</v>
      </c>
      <c r="K94" s="685" t="s">
        <v>28</v>
      </c>
      <c r="L94" s="685"/>
      <c r="M94" s="685"/>
      <c r="N94" s="674" t="s">
        <v>416</v>
      </c>
      <c r="O94" s="652">
        <v>0.10249999999999999</v>
      </c>
      <c r="P94" s="652"/>
      <c r="Q94" s="652"/>
      <c r="R94" s="652">
        <f t="shared" si="7"/>
        <v>0.10608749999999999</v>
      </c>
      <c r="S94" s="652">
        <f t="shared" si="6"/>
        <v>0</v>
      </c>
      <c r="T94" s="652"/>
      <c r="U94" s="674" t="s">
        <v>1400</v>
      </c>
      <c r="V94" s="650"/>
      <c r="W94" s="650"/>
      <c r="X94" s="653"/>
      <c r="Y94" s="653"/>
      <c r="Z94" s="752"/>
    </row>
    <row r="95" spans="1:54" s="658" customFormat="1" ht="15.75" customHeight="1">
      <c r="A95" s="654">
        <v>2</v>
      </c>
      <c r="B95" s="655" t="s">
        <v>1186</v>
      </c>
      <c r="C95" s="655" t="s">
        <v>1187</v>
      </c>
      <c r="D95" s="655" t="s">
        <v>1186</v>
      </c>
      <c r="E95" s="655" t="s">
        <v>1186</v>
      </c>
      <c r="F95" s="659" t="e">
        <v>#N/A</v>
      </c>
      <c r="G95" s="659" t="s">
        <v>1188</v>
      </c>
      <c r="H95" s="660" t="s">
        <v>1073</v>
      </c>
      <c r="I95" s="661" t="s">
        <v>1074</v>
      </c>
      <c r="J95" s="651" t="str">
        <f>VLOOKUP(D95,[5]Sheet1!$D$1:$D$65536,1,0)</f>
        <v>BCL322520RT-220M-D</v>
      </c>
      <c r="K95" s="654" t="s">
        <v>28</v>
      </c>
      <c r="L95" s="654">
        <v>1</v>
      </c>
      <c r="M95" s="654">
        <v>1</v>
      </c>
      <c r="N95" s="655" t="s">
        <v>526</v>
      </c>
      <c r="O95" s="655">
        <v>0.20619999999999999</v>
      </c>
      <c r="P95" s="655"/>
      <c r="Q95" s="655"/>
      <c r="R95" s="652">
        <f t="shared" si="7"/>
        <v>0.21341699999999997</v>
      </c>
      <c r="S95" s="652">
        <f t="shared" si="6"/>
        <v>0</v>
      </c>
      <c r="T95" s="655">
        <f t="shared" ref="T95:T97" si="11">R95*M95</f>
        <v>0.21341699999999997</v>
      </c>
      <c r="U95" s="655" t="s">
        <v>1445</v>
      </c>
      <c r="V95" s="655"/>
      <c r="W95" s="655"/>
      <c r="X95" s="657" t="s">
        <v>1444</v>
      </c>
      <c r="Y95" s="657" t="s">
        <v>1444</v>
      </c>
      <c r="Z95" s="752" t="s">
        <v>1189</v>
      </c>
      <c r="AA95" s="753"/>
      <c r="AB95" s="753"/>
      <c r="AC95" s="753"/>
      <c r="AD95" s="753"/>
      <c r="AE95" s="753"/>
      <c r="AF95" s="753"/>
      <c r="AG95" s="753"/>
      <c r="AH95" s="753"/>
      <c r="AI95" s="753"/>
      <c r="AJ95" s="753"/>
      <c r="AK95" s="753"/>
      <c r="AL95" s="753"/>
      <c r="AM95" s="753"/>
      <c r="AN95" s="753"/>
      <c r="AO95" s="753"/>
      <c r="AP95" s="753"/>
      <c r="AQ95" s="753"/>
      <c r="AR95" s="753"/>
      <c r="AS95" s="753"/>
      <c r="AT95" s="753"/>
      <c r="AU95" s="753"/>
      <c r="AV95" s="753"/>
      <c r="AW95" s="753"/>
      <c r="AX95" s="753"/>
      <c r="AY95" s="753"/>
      <c r="AZ95" s="753"/>
      <c r="BA95" s="753"/>
      <c r="BB95" s="753"/>
    </row>
    <row r="96" spans="1:54" s="658" customFormat="1" ht="15.75" customHeight="1">
      <c r="A96" s="654">
        <v>2</v>
      </c>
      <c r="B96" s="655" t="s">
        <v>523</v>
      </c>
      <c r="C96" s="655" t="s">
        <v>524</v>
      </c>
      <c r="D96" s="655" t="s">
        <v>1467</v>
      </c>
      <c r="E96" s="655" t="s">
        <v>523</v>
      </c>
      <c r="F96" s="659" t="s">
        <v>523</v>
      </c>
      <c r="G96" s="659" t="s">
        <v>525</v>
      </c>
      <c r="H96" s="660" t="s">
        <v>1073</v>
      </c>
      <c r="I96" s="661" t="s">
        <v>1074</v>
      </c>
      <c r="J96" s="651" t="str">
        <f>VLOOKUP(D96,[5]Sheet1!$D$1:$D$65536,1,0)</f>
        <v>ACT1210E-241-2P</v>
      </c>
      <c r="K96" s="654" t="s">
        <v>28</v>
      </c>
      <c r="L96" s="654">
        <v>1</v>
      </c>
      <c r="M96" s="654">
        <v>1</v>
      </c>
      <c r="N96" s="655" t="s">
        <v>526</v>
      </c>
      <c r="O96" s="655">
        <v>0.27836</v>
      </c>
      <c r="P96" s="655">
        <f>VLOOKUP(D96,'EEBOM Feb.2nd2026'!$D:$N,11,0)</f>
        <v>0.28697</v>
      </c>
      <c r="Q96" s="655">
        <f t="shared" ref="Q96:Q98" si="12">O96-P96</f>
        <v>-8.6100000000000065E-3</v>
      </c>
      <c r="R96" s="652">
        <f t="shared" si="7"/>
        <v>0.28810259999999999</v>
      </c>
      <c r="S96" s="652">
        <f t="shared" si="6"/>
        <v>0</v>
      </c>
      <c r="T96" s="655">
        <f t="shared" si="11"/>
        <v>0.28810259999999999</v>
      </c>
      <c r="U96" s="655" t="s">
        <v>1445</v>
      </c>
      <c r="V96" s="655">
        <v>6000</v>
      </c>
      <c r="W96" s="655">
        <v>14</v>
      </c>
      <c r="X96" s="657" t="s">
        <v>1468</v>
      </c>
      <c r="Y96" s="657" t="s">
        <v>1448</v>
      </c>
      <c r="Z96" s="752" t="s">
        <v>527</v>
      </c>
      <c r="AA96" s="753"/>
      <c r="AB96" s="753"/>
      <c r="AC96" s="753"/>
      <c r="AD96" s="753"/>
      <c r="AE96" s="753"/>
      <c r="AF96" s="753"/>
      <c r="AG96" s="753"/>
      <c r="AH96" s="753"/>
      <c r="AI96" s="753"/>
      <c r="AJ96" s="753"/>
      <c r="AK96" s="753"/>
      <c r="AL96" s="753"/>
      <c r="AM96" s="753"/>
      <c r="AN96" s="753"/>
      <c r="AO96" s="753"/>
      <c r="AP96" s="753"/>
      <c r="AQ96" s="753"/>
      <c r="AR96" s="753"/>
      <c r="AS96" s="753"/>
      <c r="AT96" s="753"/>
      <c r="AU96" s="753"/>
      <c r="AV96" s="753"/>
      <c r="AW96" s="753"/>
      <c r="AX96" s="753"/>
      <c r="AY96" s="753"/>
      <c r="AZ96" s="753"/>
      <c r="BA96" s="753"/>
      <c r="BB96" s="753"/>
    </row>
    <row r="97" spans="1:54" s="658" customFormat="1" ht="15.75" customHeight="1">
      <c r="A97" s="654">
        <v>2</v>
      </c>
      <c r="B97" s="655" t="s">
        <v>1190</v>
      </c>
      <c r="C97" s="655" t="s">
        <v>1191</v>
      </c>
      <c r="D97" s="687" t="s">
        <v>1469</v>
      </c>
      <c r="E97" s="655" t="s">
        <v>1190</v>
      </c>
      <c r="F97" s="659" t="e">
        <v>#N/A</v>
      </c>
      <c r="G97" s="659" t="s">
        <v>1192</v>
      </c>
      <c r="H97" s="660" t="s">
        <v>1073</v>
      </c>
      <c r="I97" s="661" t="s">
        <v>1074</v>
      </c>
      <c r="J97" s="651" t="str">
        <f>VLOOKUP(D97,[5]Sheet1!$D$1:$D$65536,1,0)</f>
        <v>MAT-06CZE220M-V2-CY</v>
      </c>
      <c r="K97" s="654" t="s">
        <v>28</v>
      </c>
      <c r="L97" s="654">
        <v>1</v>
      </c>
      <c r="M97" s="654">
        <v>1</v>
      </c>
      <c r="N97" s="655" t="s">
        <v>1193</v>
      </c>
      <c r="O97" s="687">
        <v>0.185</v>
      </c>
      <c r="P97" s="655">
        <f>VLOOKUP(D97,'EEBOM Feb.2nd2026'!$D:$N,11,0)</f>
        <v>7.0000000000000007E-2</v>
      </c>
      <c r="Q97" s="655">
        <f t="shared" si="12"/>
        <v>0.11499999999999999</v>
      </c>
      <c r="R97" s="652">
        <f t="shared" si="7"/>
        <v>0.19147499999999998</v>
      </c>
      <c r="S97" s="652">
        <f t="shared" si="6"/>
        <v>0</v>
      </c>
      <c r="T97" s="655">
        <f t="shared" si="11"/>
        <v>0.19147499999999998</v>
      </c>
      <c r="U97" s="655" t="s">
        <v>1470</v>
      </c>
      <c r="V97" s="655">
        <v>1000</v>
      </c>
      <c r="W97" s="655">
        <v>16</v>
      </c>
      <c r="X97" s="657" t="s">
        <v>1468</v>
      </c>
      <c r="Y97" s="657" t="s">
        <v>1448</v>
      </c>
      <c r="Z97" s="752" t="s">
        <v>486</v>
      </c>
      <c r="AA97" s="753"/>
      <c r="AB97" s="753"/>
      <c r="AC97" s="753"/>
      <c r="AD97" s="753"/>
      <c r="AE97" s="753"/>
      <c r="AF97" s="753"/>
      <c r="AG97" s="753"/>
      <c r="AH97" s="753"/>
      <c r="AI97" s="753"/>
      <c r="AJ97" s="753"/>
      <c r="AK97" s="753"/>
      <c r="AL97" s="753"/>
      <c r="AM97" s="753"/>
      <c r="AN97" s="753"/>
      <c r="AO97" s="753"/>
      <c r="AP97" s="753"/>
      <c r="AQ97" s="753"/>
      <c r="AR97" s="753"/>
      <c r="AS97" s="753"/>
      <c r="AT97" s="753"/>
      <c r="AU97" s="753"/>
      <c r="AV97" s="753"/>
      <c r="AW97" s="753"/>
      <c r="AX97" s="753"/>
      <c r="AY97" s="753"/>
      <c r="AZ97" s="753"/>
      <c r="BA97" s="753"/>
      <c r="BB97" s="753"/>
    </row>
    <row r="98" spans="1:54" s="658" customFormat="1" ht="15.75" customHeight="1">
      <c r="A98" s="654">
        <v>2</v>
      </c>
      <c r="B98" s="754" t="s">
        <v>1194</v>
      </c>
      <c r="C98" s="754" t="s">
        <v>1195</v>
      </c>
      <c r="D98" s="754" t="s">
        <v>1194</v>
      </c>
      <c r="E98" s="655" t="s">
        <v>1194</v>
      </c>
      <c r="F98" s="659" t="e">
        <v>#N/A</v>
      </c>
      <c r="G98" s="766" t="s">
        <v>1196</v>
      </c>
      <c r="H98" s="767" t="s">
        <v>1073</v>
      </c>
      <c r="I98" s="768" t="s">
        <v>1074</v>
      </c>
      <c r="J98" s="756" t="e">
        <f>VLOOKUP(D98,[5]Sheet1!$D$1:$D$65536,1,0)</f>
        <v>#N/A</v>
      </c>
      <c r="K98" s="757" t="s">
        <v>28</v>
      </c>
      <c r="L98" s="654">
        <v>1</v>
      </c>
      <c r="M98" s="757">
        <v>1</v>
      </c>
      <c r="N98" s="754" t="s">
        <v>368</v>
      </c>
      <c r="O98" s="754">
        <v>0.11799999999999999</v>
      </c>
      <c r="P98" s="655">
        <f>VLOOKUP(D98,'EEBOM Feb.2nd2026'!$D:$N,11,0)</f>
        <v>0.11799999999999999</v>
      </c>
      <c r="Q98" s="655">
        <f t="shared" si="12"/>
        <v>0</v>
      </c>
      <c r="R98" s="691">
        <f t="shared" si="7"/>
        <v>0.12212999999999999</v>
      </c>
      <c r="S98" s="691"/>
      <c r="T98" s="754"/>
      <c r="U98" s="655" t="s">
        <v>1443</v>
      </c>
      <c r="V98" s="655">
        <v>3000</v>
      </c>
      <c r="W98" s="655">
        <v>24</v>
      </c>
      <c r="X98" s="657" t="s">
        <v>1468</v>
      </c>
      <c r="Y98" s="758" t="s">
        <v>1448</v>
      </c>
      <c r="Z98" s="764" t="s">
        <v>1197</v>
      </c>
      <c r="AA98" s="753" t="s">
        <v>1538</v>
      </c>
      <c r="AB98" s="765" t="str">
        <f>VLOOKUP(D98,[6]删除物料!$C$3:$F$14,4,0)</f>
        <v>位号不变，主料删除</v>
      </c>
      <c r="AC98" s="753"/>
      <c r="AD98" s="753"/>
      <c r="AE98" s="753"/>
      <c r="AF98" s="753"/>
      <c r="AG98" s="753"/>
      <c r="AH98" s="753"/>
      <c r="AI98" s="753"/>
      <c r="AJ98" s="753"/>
      <c r="AK98" s="753"/>
      <c r="AL98" s="753"/>
      <c r="AM98" s="753"/>
      <c r="AN98" s="753"/>
      <c r="AO98" s="753"/>
      <c r="AP98" s="753"/>
      <c r="AQ98" s="753"/>
      <c r="AR98" s="753"/>
      <c r="AS98" s="753"/>
      <c r="AT98" s="753"/>
      <c r="AU98" s="753"/>
      <c r="AV98" s="753"/>
      <c r="AW98" s="753"/>
      <c r="AX98" s="753"/>
      <c r="AY98" s="753"/>
      <c r="AZ98" s="753"/>
      <c r="BA98" s="753"/>
      <c r="BB98" s="753"/>
    </row>
    <row r="99" spans="1:54" s="658" customFormat="1" ht="15.75" customHeight="1">
      <c r="A99" s="654">
        <v>2</v>
      </c>
      <c r="B99" s="655" t="s">
        <v>1549</v>
      </c>
      <c r="C99" s="655" t="s">
        <v>1195</v>
      </c>
      <c r="D99" s="655" t="s">
        <v>1549</v>
      </c>
      <c r="E99" s="655"/>
      <c r="F99" s="659"/>
      <c r="G99" s="659" t="s">
        <v>1196</v>
      </c>
      <c r="H99" s="660"/>
      <c r="I99" s="661"/>
      <c r="J99" s="756"/>
      <c r="K99" s="757"/>
      <c r="L99" s="771">
        <v>1</v>
      </c>
      <c r="M99" s="654">
        <v>1</v>
      </c>
      <c r="N99" s="658" t="s">
        <v>368</v>
      </c>
      <c r="O99" s="770">
        <f>VLOOKUP(D99,[7]Sheet3!$C$2:$G$13,5,0)</f>
        <v>9.0999999999999998E-2</v>
      </c>
      <c r="R99" s="770">
        <f>O99*1.035</f>
        <v>9.4184999999999991E-2</v>
      </c>
      <c r="S99" s="770"/>
      <c r="T99" s="773">
        <f>R99*L99</f>
        <v>9.4184999999999991E-2</v>
      </c>
      <c r="U99" s="655"/>
      <c r="V99" s="655"/>
      <c r="W99" s="655"/>
      <c r="X99" s="657"/>
      <c r="Y99" s="758"/>
      <c r="Z99" s="752" t="s">
        <v>1197</v>
      </c>
      <c r="AA99" s="753" t="s">
        <v>1550</v>
      </c>
      <c r="AB99" s="765" t="s">
        <v>1551</v>
      </c>
      <c r="AC99" s="753"/>
      <c r="AD99" s="753"/>
      <c r="AE99" s="753"/>
      <c r="AF99" s="753"/>
      <c r="AG99" s="753"/>
      <c r="AH99" s="753"/>
      <c r="AI99" s="753"/>
      <c r="AJ99" s="753"/>
      <c r="AK99" s="753"/>
      <c r="AL99" s="753"/>
      <c r="AM99" s="753"/>
      <c r="AN99" s="753"/>
      <c r="AO99" s="753"/>
      <c r="AP99" s="753"/>
      <c r="AQ99" s="753"/>
      <c r="AR99" s="753"/>
      <c r="AS99" s="753"/>
      <c r="AT99" s="753"/>
      <c r="AU99" s="753"/>
      <c r="AV99" s="753"/>
      <c r="AW99" s="753"/>
      <c r="AX99" s="753"/>
      <c r="AY99" s="753"/>
      <c r="AZ99" s="753"/>
      <c r="BA99" s="753"/>
      <c r="BB99" s="753"/>
    </row>
    <row r="100" spans="1:54" s="668" customFormat="1" ht="15.75" customHeight="1">
      <c r="A100" s="662">
        <v>2</v>
      </c>
      <c r="B100" s="663" t="s">
        <v>1471</v>
      </c>
      <c r="C100" s="663" t="s">
        <v>413</v>
      </c>
      <c r="D100" s="663" t="s">
        <v>414</v>
      </c>
      <c r="E100" s="655" t="s">
        <v>414</v>
      </c>
      <c r="F100" s="659" t="s">
        <v>414</v>
      </c>
      <c r="G100" s="659" t="s">
        <v>415</v>
      </c>
      <c r="H100" s="660" t="s">
        <v>1073</v>
      </c>
      <c r="I100" s="661" t="s">
        <v>1074</v>
      </c>
      <c r="J100" s="651" t="str">
        <f>VLOOKUP(D100,[5]Sheet1!$D$1:$D$65536,1,0)</f>
        <v>BSS123Q-13</v>
      </c>
      <c r="K100" s="662" t="s">
        <v>28</v>
      </c>
      <c r="L100" s="662">
        <v>2</v>
      </c>
      <c r="M100" s="662"/>
      <c r="N100" s="663" t="s">
        <v>416</v>
      </c>
      <c r="O100" s="650">
        <v>1.4800000000000001E-2</v>
      </c>
      <c r="P100" s="663"/>
      <c r="Q100" s="663"/>
      <c r="R100" s="652">
        <f t="shared" si="7"/>
        <v>1.5318E-2</v>
      </c>
      <c r="S100" s="652">
        <f t="shared" ref="S100:S131" si="13">R100-_xlfn.MINIFS(R:R,C:C,C100)</f>
        <v>8.2800000000000061E-4</v>
      </c>
      <c r="T100" s="663"/>
      <c r="U100" s="663" t="s">
        <v>1400</v>
      </c>
      <c r="V100" s="663">
        <v>10000</v>
      </c>
      <c r="W100" s="662">
        <v>24</v>
      </c>
      <c r="X100" s="667" t="s">
        <v>1461</v>
      </c>
      <c r="Y100" s="667" t="s">
        <v>1453</v>
      </c>
      <c r="Z100" s="752" t="s">
        <v>1198</v>
      </c>
      <c r="AA100" s="753"/>
      <c r="AB100" s="753"/>
      <c r="AC100" s="753"/>
      <c r="AD100" s="753"/>
      <c r="AE100" s="753"/>
      <c r="AF100" s="753"/>
      <c r="AG100" s="753"/>
      <c r="AH100" s="753"/>
      <c r="AI100" s="753"/>
      <c r="AJ100" s="753"/>
      <c r="AK100" s="753"/>
      <c r="AL100" s="753"/>
      <c r="AM100" s="753"/>
      <c r="AN100" s="753"/>
      <c r="AO100" s="753"/>
      <c r="AP100" s="753"/>
      <c r="AQ100" s="753"/>
      <c r="AR100" s="753"/>
      <c r="AS100" s="753"/>
      <c r="AT100" s="753"/>
      <c r="AU100" s="753"/>
      <c r="AV100" s="753"/>
      <c r="AW100" s="753"/>
      <c r="AX100" s="753"/>
      <c r="AY100" s="753"/>
      <c r="AZ100" s="753"/>
      <c r="BA100" s="753"/>
      <c r="BB100" s="753"/>
    </row>
    <row r="101" spans="1:54" ht="15.75" customHeight="1">
      <c r="A101" s="649">
        <v>2</v>
      </c>
      <c r="B101" s="650" t="s">
        <v>418</v>
      </c>
      <c r="C101" s="650" t="s">
        <v>413</v>
      </c>
      <c r="D101" s="650" t="s">
        <v>418</v>
      </c>
      <c r="E101" s="650" t="s">
        <v>418</v>
      </c>
      <c r="F101" s="650" t="s">
        <v>418</v>
      </c>
      <c r="G101" s="650" t="s">
        <v>415</v>
      </c>
      <c r="H101" s="649" t="s">
        <v>1073</v>
      </c>
      <c r="I101" s="651" t="s">
        <v>1074</v>
      </c>
      <c r="J101" s="651" t="str">
        <f>VLOOKUP(D101,[5]Sheet1!$D$1:$D$65536,1,0)</f>
        <v>BSS123Q-7</v>
      </c>
      <c r="K101" s="649" t="s">
        <v>28</v>
      </c>
      <c r="L101" s="649"/>
      <c r="M101" s="649">
        <v>2</v>
      </c>
      <c r="N101" s="650" t="s">
        <v>416</v>
      </c>
      <c r="O101" s="650">
        <v>1.4E-2</v>
      </c>
      <c r="P101" s="652"/>
      <c r="Q101" s="652"/>
      <c r="R101" s="652">
        <f t="shared" si="7"/>
        <v>1.4489999999999999E-2</v>
      </c>
      <c r="S101" s="652">
        <f t="shared" si="13"/>
        <v>0</v>
      </c>
      <c r="T101" s="655">
        <f>R101*M101</f>
        <v>2.8979999999999999E-2</v>
      </c>
      <c r="U101" s="650" t="s">
        <v>1400</v>
      </c>
      <c r="V101" s="650"/>
      <c r="W101" s="650"/>
      <c r="X101" s="653"/>
      <c r="Y101" s="653"/>
      <c r="Z101" s="752"/>
    </row>
    <row r="102" spans="1:54" ht="15.75" customHeight="1">
      <c r="A102" s="649">
        <v>2</v>
      </c>
      <c r="B102" s="650" t="s">
        <v>419</v>
      </c>
      <c r="C102" s="650" t="s">
        <v>413</v>
      </c>
      <c r="D102" s="650" t="s">
        <v>1199</v>
      </c>
      <c r="E102" s="650" t="s">
        <v>419</v>
      </c>
      <c r="F102" s="650" t="s">
        <v>419</v>
      </c>
      <c r="G102" s="650" t="s">
        <v>415</v>
      </c>
      <c r="H102" s="649" t="s">
        <v>1073</v>
      </c>
      <c r="I102" s="651" t="s">
        <v>1074</v>
      </c>
      <c r="J102" s="651" t="str">
        <f>VLOOKUP(D102,[5]Sheet1!$D$1:$D$65536,1,0)</f>
        <v>BSS123NH6433XTMA1</v>
      </c>
      <c r="K102" s="649" t="s">
        <v>28</v>
      </c>
      <c r="L102" s="649"/>
      <c r="M102" s="649"/>
      <c r="N102" s="650" t="s">
        <v>420</v>
      </c>
      <c r="O102" s="650">
        <v>2.8000000000000001E-2</v>
      </c>
      <c r="P102" s="652"/>
      <c r="Q102" s="652"/>
      <c r="R102" s="652">
        <f t="shared" si="7"/>
        <v>2.8979999999999999E-2</v>
      </c>
      <c r="S102" s="652">
        <f t="shared" si="13"/>
        <v>1.4489999999999999E-2</v>
      </c>
      <c r="T102" s="652"/>
      <c r="U102" s="650" t="s">
        <v>1200</v>
      </c>
      <c r="V102" s="650">
        <v>15000</v>
      </c>
      <c r="W102" s="650" t="s">
        <v>1201</v>
      </c>
      <c r="X102" s="653"/>
      <c r="Y102" s="653"/>
      <c r="Z102" s="752"/>
    </row>
    <row r="103" spans="1:54" ht="15.75" customHeight="1">
      <c r="A103" s="649">
        <v>2</v>
      </c>
      <c r="B103" s="650" t="s">
        <v>421</v>
      </c>
      <c r="C103" s="650" t="s">
        <v>413</v>
      </c>
      <c r="D103" s="650" t="s">
        <v>421</v>
      </c>
      <c r="E103" s="650" t="s">
        <v>421</v>
      </c>
      <c r="F103" s="650" t="s">
        <v>421</v>
      </c>
      <c r="G103" s="650" t="s">
        <v>415</v>
      </c>
      <c r="H103" s="649" t="s">
        <v>1073</v>
      </c>
      <c r="I103" s="651" t="s">
        <v>1074</v>
      </c>
      <c r="J103" s="651" t="str">
        <f>VLOOKUP(D103,[5]Sheet1!$D$1:$D$65536,1,0)</f>
        <v>BSS123NH6327XTSA1</v>
      </c>
      <c r="K103" s="649" t="s">
        <v>28</v>
      </c>
      <c r="L103" s="649"/>
      <c r="M103" s="649"/>
      <c r="N103" s="650" t="s">
        <v>420</v>
      </c>
      <c r="O103" s="650">
        <v>3.2000000000000001E-2</v>
      </c>
      <c r="P103" s="652"/>
      <c r="Q103" s="652"/>
      <c r="R103" s="652">
        <f t="shared" si="7"/>
        <v>3.3119999999999997E-2</v>
      </c>
      <c r="S103" s="652">
        <f t="shared" si="13"/>
        <v>1.8629999999999997E-2</v>
      </c>
      <c r="T103" s="652"/>
      <c r="U103" s="650" t="s">
        <v>1200</v>
      </c>
      <c r="V103" s="650">
        <v>10000</v>
      </c>
      <c r="W103" s="650" t="s">
        <v>1201</v>
      </c>
      <c r="X103" s="653"/>
      <c r="Y103" s="653"/>
      <c r="Z103" s="752"/>
    </row>
    <row r="104" spans="1:54" s="668" customFormat="1" ht="15.75" customHeight="1">
      <c r="A104" s="662">
        <v>2</v>
      </c>
      <c r="B104" s="663" t="s">
        <v>1202</v>
      </c>
      <c r="C104" s="663" t="s">
        <v>1203</v>
      </c>
      <c r="D104" s="663" t="s">
        <v>1202</v>
      </c>
      <c r="E104" s="655" t="s">
        <v>1202</v>
      </c>
      <c r="F104" s="659" t="e">
        <v>#N/A</v>
      </c>
      <c r="G104" s="659" t="s">
        <v>1204</v>
      </c>
      <c r="H104" s="660" t="s">
        <v>1073</v>
      </c>
      <c r="I104" s="661" t="s">
        <v>1074</v>
      </c>
      <c r="J104" s="651" t="str">
        <f>VLOOKUP(D104,[5]Sheet1!$D$1:$D$65536,1,0)</f>
        <v>DMC3061SVTQ-13</v>
      </c>
      <c r="K104" s="662" t="s">
        <v>28</v>
      </c>
      <c r="L104" s="662">
        <v>4</v>
      </c>
      <c r="M104" s="662">
        <v>4</v>
      </c>
      <c r="N104" s="663" t="s">
        <v>416</v>
      </c>
      <c r="O104" s="650">
        <v>3.5000000000000003E-2</v>
      </c>
      <c r="P104" s="663"/>
      <c r="Q104" s="663"/>
      <c r="R104" s="652">
        <f t="shared" si="7"/>
        <v>3.6225E-2</v>
      </c>
      <c r="S104" s="652">
        <f t="shared" si="13"/>
        <v>3.6225E-2</v>
      </c>
      <c r="T104" s="655">
        <f>R104*M104</f>
        <v>0.1449</v>
      </c>
      <c r="U104" s="663" t="s">
        <v>1400</v>
      </c>
      <c r="V104" s="663">
        <v>10000</v>
      </c>
      <c r="W104" s="662">
        <v>20</v>
      </c>
      <c r="X104" s="667" t="s">
        <v>1461</v>
      </c>
      <c r="Y104" s="667" t="s">
        <v>1453</v>
      </c>
      <c r="Z104" s="752" t="s">
        <v>1205</v>
      </c>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3"/>
      <c r="AV104" s="753"/>
      <c r="AW104" s="753"/>
      <c r="AX104" s="753"/>
      <c r="AY104" s="753"/>
      <c r="AZ104" s="753"/>
      <c r="BA104" s="753"/>
      <c r="BB104" s="753"/>
    </row>
    <row r="105" spans="1:54" ht="15.75" customHeight="1">
      <c r="A105" s="649">
        <v>2</v>
      </c>
      <c r="B105" s="650" t="s">
        <v>1206</v>
      </c>
      <c r="C105" s="650" t="s">
        <v>1203</v>
      </c>
      <c r="D105" s="650" t="s">
        <v>1206</v>
      </c>
      <c r="E105" s="650" t="s">
        <v>1206</v>
      </c>
      <c r="F105" s="650" t="e">
        <v>#N/A</v>
      </c>
      <c r="G105" s="650" t="s">
        <v>1204</v>
      </c>
      <c r="H105" s="649" t="s">
        <v>1073</v>
      </c>
      <c r="I105" s="651" t="s">
        <v>1074</v>
      </c>
      <c r="J105" s="651" t="str">
        <f>VLOOKUP(D105,[5]Sheet1!$D$1:$D$65536,1,0)</f>
        <v>DMC3061SVTQ-13-52</v>
      </c>
      <c r="K105" s="649" t="s">
        <v>28</v>
      </c>
      <c r="L105" s="649"/>
      <c r="M105" s="670"/>
      <c r="N105" s="650" t="s">
        <v>416</v>
      </c>
      <c r="O105" s="650"/>
      <c r="P105" s="652"/>
      <c r="Q105" s="652"/>
      <c r="R105" s="652">
        <f t="shared" si="7"/>
        <v>0</v>
      </c>
      <c r="S105" s="652">
        <f t="shared" si="13"/>
        <v>0</v>
      </c>
      <c r="T105" s="652"/>
      <c r="U105" s="650"/>
      <c r="V105" s="650"/>
      <c r="W105" s="650"/>
      <c r="X105" s="653"/>
      <c r="Y105" s="653"/>
      <c r="Z105" s="752"/>
    </row>
    <row r="106" spans="1:54" ht="15.75" customHeight="1">
      <c r="A106" s="649">
        <v>2</v>
      </c>
      <c r="B106" s="650" t="s">
        <v>1207</v>
      </c>
      <c r="C106" s="650" t="s">
        <v>1203</v>
      </c>
      <c r="D106" s="650" t="s">
        <v>1207</v>
      </c>
      <c r="E106" s="650" t="s">
        <v>1207</v>
      </c>
      <c r="F106" s="650" t="e">
        <v>#N/A</v>
      </c>
      <c r="G106" s="650" t="s">
        <v>1204</v>
      </c>
      <c r="H106" s="649" t="s">
        <v>1073</v>
      </c>
      <c r="I106" s="651" t="s">
        <v>1074</v>
      </c>
      <c r="J106" s="651" t="str">
        <f>VLOOKUP(D106,[5]Sheet1!$D$1:$D$65536,1,0)</f>
        <v>DMC3061SVTQ-7</v>
      </c>
      <c r="K106" s="649" t="s">
        <v>28</v>
      </c>
      <c r="L106" s="649"/>
      <c r="M106" s="649"/>
      <c r="N106" s="650" t="s">
        <v>416</v>
      </c>
      <c r="O106" s="650">
        <v>3.5000000000000003E-2</v>
      </c>
      <c r="P106" s="652"/>
      <c r="Q106" s="652"/>
      <c r="R106" s="652">
        <f t="shared" si="7"/>
        <v>3.6225E-2</v>
      </c>
      <c r="S106" s="652">
        <f t="shared" si="13"/>
        <v>3.6225E-2</v>
      </c>
      <c r="T106" s="652"/>
      <c r="U106" s="650" t="s">
        <v>1400</v>
      </c>
      <c r="V106" s="650"/>
      <c r="W106" s="650"/>
      <c r="X106" s="653"/>
      <c r="Y106" s="653"/>
      <c r="Z106" s="752"/>
    </row>
    <row r="107" spans="1:54" ht="15.75" customHeight="1">
      <c r="A107" s="649">
        <v>2</v>
      </c>
      <c r="B107" s="650" t="s">
        <v>1208</v>
      </c>
      <c r="C107" s="650" t="s">
        <v>1203</v>
      </c>
      <c r="D107" s="650" t="s">
        <v>1208</v>
      </c>
      <c r="E107" s="650" t="s">
        <v>1208</v>
      </c>
      <c r="F107" s="650" t="e">
        <v>#N/A</v>
      </c>
      <c r="G107" s="650" t="s">
        <v>1204</v>
      </c>
      <c r="H107" s="649" t="s">
        <v>1073</v>
      </c>
      <c r="I107" s="651" t="s">
        <v>1074</v>
      </c>
      <c r="J107" s="651" t="str">
        <f>VLOOKUP(D107,[5]Sheet1!$D$1:$D$65536,1,0)</f>
        <v>DMC3061SVTQ-7-52</v>
      </c>
      <c r="K107" s="649" t="s">
        <v>28</v>
      </c>
      <c r="L107" s="649"/>
      <c r="M107" s="649"/>
      <c r="N107" s="650" t="s">
        <v>416</v>
      </c>
      <c r="O107" s="650">
        <v>3.5000000000000003E-2</v>
      </c>
      <c r="P107" s="652"/>
      <c r="Q107" s="652"/>
      <c r="R107" s="652">
        <f t="shared" si="7"/>
        <v>3.6225E-2</v>
      </c>
      <c r="S107" s="652">
        <f t="shared" si="13"/>
        <v>3.6225E-2</v>
      </c>
      <c r="T107" s="652"/>
      <c r="U107" s="650" t="s">
        <v>1400</v>
      </c>
      <c r="V107" s="650"/>
      <c r="W107" s="650"/>
      <c r="X107" s="653"/>
      <c r="Y107" s="653"/>
      <c r="Z107" s="752"/>
    </row>
    <row r="108" spans="1:54" ht="15.75" customHeight="1">
      <c r="A108" s="649">
        <v>2</v>
      </c>
      <c r="B108" s="650" t="s">
        <v>1209</v>
      </c>
      <c r="C108" s="650" t="s">
        <v>1203</v>
      </c>
      <c r="D108" s="650" t="s">
        <v>1209</v>
      </c>
      <c r="E108" s="650" t="s">
        <v>1209</v>
      </c>
      <c r="F108" s="650" t="e">
        <v>#N/A</v>
      </c>
      <c r="G108" s="650" t="s">
        <v>1204</v>
      </c>
      <c r="H108" s="649" t="s">
        <v>1073</v>
      </c>
      <c r="I108" s="651" t="s">
        <v>1074</v>
      </c>
      <c r="J108" s="651" t="str">
        <f>VLOOKUP(D108,[5]Sheet1!$D$1:$D$65536,1,0)</f>
        <v>DMC3061SVTQ-13-52-N</v>
      </c>
      <c r="K108" s="649" t="s">
        <v>28</v>
      </c>
      <c r="L108" s="649"/>
      <c r="M108" s="649"/>
      <c r="N108" s="650" t="s">
        <v>416</v>
      </c>
      <c r="O108" s="650"/>
      <c r="P108" s="652"/>
      <c r="Q108" s="652"/>
      <c r="R108" s="652">
        <f t="shared" si="7"/>
        <v>0</v>
      </c>
      <c r="S108" s="652">
        <f t="shared" si="13"/>
        <v>0</v>
      </c>
      <c r="T108" s="652"/>
      <c r="U108" s="650"/>
      <c r="V108" s="650"/>
      <c r="W108" s="650"/>
      <c r="X108" s="653"/>
      <c r="Y108" s="653"/>
      <c r="Z108" s="752"/>
    </row>
    <row r="109" spans="1:54" ht="15.75" customHeight="1">
      <c r="A109" s="649">
        <v>2</v>
      </c>
      <c r="B109" s="650" t="s">
        <v>1210</v>
      </c>
      <c r="C109" s="650" t="s">
        <v>1203</v>
      </c>
      <c r="D109" s="650" t="s">
        <v>1210</v>
      </c>
      <c r="E109" s="650" t="s">
        <v>1210</v>
      </c>
      <c r="F109" s="650" t="e">
        <v>#N/A</v>
      </c>
      <c r="G109" s="650" t="s">
        <v>1204</v>
      </c>
      <c r="H109" s="649" t="s">
        <v>1073</v>
      </c>
      <c r="I109" s="651" t="s">
        <v>1074</v>
      </c>
      <c r="J109" s="651" t="str">
        <f>VLOOKUP(D109,[5]Sheet1!$D$1:$D$65536,1,0)</f>
        <v>DMC3061SVTQ-7-52-N</v>
      </c>
      <c r="K109" s="649" t="s">
        <v>28</v>
      </c>
      <c r="L109" s="649"/>
      <c r="M109" s="649"/>
      <c r="N109" s="650" t="s">
        <v>416</v>
      </c>
      <c r="O109" s="650"/>
      <c r="P109" s="652"/>
      <c r="Q109" s="652"/>
      <c r="R109" s="652">
        <f t="shared" si="7"/>
        <v>0</v>
      </c>
      <c r="S109" s="652">
        <f t="shared" si="13"/>
        <v>0</v>
      </c>
      <c r="T109" s="652"/>
      <c r="U109" s="650"/>
      <c r="V109" s="650"/>
      <c r="W109" s="650"/>
      <c r="X109" s="653"/>
      <c r="Y109" s="653"/>
      <c r="Z109" s="752"/>
    </row>
    <row r="110" spans="1:54" ht="15.75" customHeight="1">
      <c r="A110" s="649">
        <v>2</v>
      </c>
      <c r="B110" s="650" t="s">
        <v>1211</v>
      </c>
      <c r="C110" s="650" t="s">
        <v>1203</v>
      </c>
      <c r="D110" s="650" t="s">
        <v>1211</v>
      </c>
      <c r="E110" s="650" t="s">
        <v>1211</v>
      </c>
      <c r="F110" s="650" t="e">
        <v>#N/A</v>
      </c>
      <c r="G110" s="650" t="s">
        <v>1204</v>
      </c>
      <c r="H110" s="649" t="s">
        <v>1073</v>
      </c>
      <c r="I110" s="651" t="s">
        <v>1074</v>
      </c>
      <c r="J110" s="651" t="str">
        <f>VLOOKUP(D110,[5]Sheet1!$D$1:$D$65536,1,0)</f>
        <v>PJS6603-AU</v>
      </c>
      <c r="K110" s="649" t="s">
        <v>28</v>
      </c>
      <c r="L110" s="649"/>
      <c r="M110" s="649"/>
      <c r="N110" s="650" t="s">
        <v>1212</v>
      </c>
      <c r="O110" s="650">
        <v>3.9899999999999998E-2</v>
      </c>
      <c r="P110" s="652"/>
      <c r="Q110" s="652"/>
      <c r="R110" s="652">
        <f t="shared" si="7"/>
        <v>4.1296499999999993E-2</v>
      </c>
      <c r="S110" s="652">
        <f t="shared" si="13"/>
        <v>4.1296499999999993E-2</v>
      </c>
      <c r="T110" s="652"/>
      <c r="U110" s="650" t="s">
        <v>1445</v>
      </c>
      <c r="V110" s="650"/>
      <c r="W110" s="650"/>
      <c r="X110" s="653"/>
      <c r="Y110" s="653"/>
      <c r="Z110" s="752"/>
    </row>
    <row r="111" spans="1:54" ht="15.75" customHeight="1">
      <c r="A111" s="649">
        <v>2</v>
      </c>
      <c r="B111" s="650" t="s">
        <v>1213</v>
      </c>
      <c r="C111" s="650" t="s">
        <v>1203</v>
      </c>
      <c r="D111" s="650" t="s">
        <v>1213</v>
      </c>
      <c r="E111" s="650" t="s">
        <v>1213</v>
      </c>
      <c r="F111" s="650" t="e">
        <v>#N/A</v>
      </c>
      <c r="G111" s="650" t="s">
        <v>1204</v>
      </c>
      <c r="H111" s="649" t="s">
        <v>1073</v>
      </c>
      <c r="I111" s="651" t="s">
        <v>1074</v>
      </c>
      <c r="J111" s="651" t="str">
        <f>VLOOKUP(D111,[5]Sheet1!$D$1:$D$65536,1,0)</f>
        <v>PJS6603-AU_S1_008A1</v>
      </c>
      <c r="K111" s="649" t="s">
        <v>28</v>
      </c>
      <c r="L111" s="649"/>
      <c r="M111" s="649"/>
      <c r="N111" s="650" t="s">
        <v>1212</v>
      </c>
      <c r="O111" s="650">
        <v>3.9899999999999998E-2</v>
      </c>
      <c r="P111" s="652"/>
      <c r="Q111" s="652"/>
      <c r="R111" s="652">
        <f t="shared" si="7"/>
        <v>4.1296499999999993E-2</v>
      </c>
      <c r="S111" s="652">
        <f t="shared" si="13"/>
        <v>4.1296499999999993E-2</v>
      </c>
      <c r="T111" s="652"/>
      <c r="U111" s="650" t="s">
        <v>1445</v>
      </c>
      <c r="V111" s="650"/>
      <c r="W111" s="650"/>
      <c r="X111" s="653"/>
      <c r="Y111" s="653"/>
      <c r="Z111" s="752"/>
    </row>
    <row r="112" spans="1:54" ht="15.75" customHeight="1">
      <c r="A112" s="649">
        <v>2</v>
      </c>
      <c r="B112" s="650" t="s">
        <v>1214</v>
      </c>
      <c r="C112" s="650" t="s">
        <v>1215</v>
      </c>
      <c r="D112" s="650" t="s">
        <v>1214</v>
      </c>
      <c r="E112" s="650" t="s">
        <v>1214</v>
      </c>
      <c r="F112" s="650" t="e">
        <v>#N/A</v>
      </c>
      <c r="G112" s="650" t="s">
        <v>1216</v>
      </c>
      <c r="H112" s="649" t="s">
        <v>1073</v>
      </c>
      <c r="I112" s="651" t="s">
        <v>1074</v>
      </c>
      <c r="J112" s="651" t="str">
        <f>VLOOKUP(D112,[5]Sheet1!$D$1:$D$65536,1,0)</f>
        <v>CRCW0402560RFKED</v>
      </c>
      <c r="K112" s="649" t="s">
        <v>28</v>
      </c>
      <c r="L112" s="649">
        <v>4</v>
      </c>
      <c r="M112" s="649"/>
      <c r="N112" s="650" t="s">
        <v>368</v>
      </c>
      <c r="O112" s="650">
        <v>8.3299999999999997E-4</v>
      </c>
      <c r="P112" s="652"/>
      <c r="Q112" s="652"/>
      <c r="R112" s="652">
        <f t="shared" si="7"/>
        <v>8.6215499999999987E-4</v>
      </c>
      <c r="S112" s="652">
        <f t="shared" si="13"/>
        <v>5.1025499999999982E-4</v>
      </c>
      <c r="T112" s="652"/>
      <c r="U112" s="650" t="s">
        <v>1443</v>
      </c>
      <c r="V112" s="650"/>
      <c r="W112" s="650"/>
      <c r="X112" s="653"/>
      <c r="Y112" s="653"/>
      <c r="Z112" s="752" t="s">
        <v>1217</v>
      </c>
    </row>
    <row r="113" spans="1:54" s="658" customFormat="1" ht="15.75" customHeight="1">
      <c r="A113" s="654">
        <v>2</v>
      </c>
      <c r="B113" s="655" t="s">
        <v>1218</v>
      </c>
      <c r="C113" s="655" t="s">
        <v>1215</v>
      </c>
      <c r="D113" s="655" t="s">
        <v>1218</v>
      </c>
      <c r="E113" s="655" t="s">
        <v>1218</v>
      </c>
      <c r="F113" s="659" t="e">
        <v>#N/A</v>
      </c>
      <c r="G113" s="659" t="s">
        <v>1216</v>
      </c>
      <c r="H113" s="660" t="s">
        <v>1073</v>
      </c>
      <c r="I113" s="661" t="s">
        <v>1074</v>
      </c>
      <c r="J113" s="651" t="str">
        <f>VLOOKUP(D113,[5]Sheet1!$D$1:$D$65536,1,0)</f>
        <v>AC0402FR-07560RL</v>
      </c>
      <c r="K113" s="654" t="s">
        <v>28</v>
      </c>
      <c r="L113" s="654"/>
      <c r="M113" s="654">
        <v>4</v>
      </c>
      <c r="N113" s="655" t="s">
        <v>296</v>
      </c>
      <c r="O113" s="650">
        <v>3.4000000000000002E-4</v>
      </c>
      <c r="P113" s="655">
        <f>VLOOKUP(D113,'EEBOM Feb.2nd2026'!$D:$N,11,0)</f>
        <v>3.4000000000000002E-4</v>
      </c>
      <c r="Q113" s="655">
        <f>O113-P113</f>
        <v>0</v>
      </c>
      <c r="R113" s="652">
        <f t="shared" si="7"/>
        <v>3.5189999999999999E-4</v>
      </c>
      <c r="S113" s="652">
        <f t="shared" si="13"/>
        <v>0</v>
      </c>
      <c r="T113" s="655">
        <f>R113*M113</f>
        <v>1.4076E-3</v>
      </c>
      <c r="U113" s="655" t="s">
        <v>1470</v>
      </c>
      <c r="V113" s="655">
        <v>10000</v>
      </c>
      <c r="W113" s="655">
        <v>10</v>
      </c>
      <c r="X113" s="657" t="s">
        <v>1472</v>
      </c>
      <c r="Y113" s="657" t="s">
        <v>1448</v>
      </c>
      <c r="Z113" s="752"/>
      <c r="AA113" s="753"/>
      <c r="AB113" s="753"/>
      <c r="AC113" s="753"/>
      <c r="AD113" s="753"/>
      <c r="AE113" s="753"/>
      <c r="AF113" s="753"/>
      <c r="AG113" s="753"/>
      <c r="AH113" s="753"/>
      <c r="AI113" s="753"/>
      <c r="AJ113" s="753"/>
      <c r="AK113" s="753"/>
      <c r="AL113" s="753"/>
      <c r="AM113" s="753"/>
      <c r="AN113" s="753"/>
      <c r="AO113" s="753"/>
      <c r="AP113" s="753"/>
      <c r="AQ113" s="753"/>
      <c r="AR113" s="753"/>
      <c r="AS113" s="753"/>
      <c r="AT113" s="753"/>
      <c r="AU113" s="753"/>
      <c r="AV113" s="753"/>
      <c r="AW113" s="753"/>
      <c r="AX113" s="753"/>
      <c r="AY113" s="753"/>
      <c r="AZ113" s="753"/>
      <c r="BA113" s="753"/>
      <c r="BB113" s="753"/>
    </row>
    <row r="114" spans="1:54" ht="15.75" customHeight="1">
      <c r="A114" s="649">
        <v>2</v>
      </c>
      <c r="B114" s="650" t="s">
        <v>1219</v>
      </c>
      <c r="C114" s="650" t="s">
        <v>1215</v>
      </c>
      <c r="D114" s="650" t="s">
        <v>1219</v>
      </c>
      <c r="E114" s="650" t="s">
        <v>1219</v>
      </c>
      <c r="F114" s="650" t="e">
        <v>#N/A</v>
      </c>
      <c r="G114" s="650" t="s">
        <v>1216</v>
      </c>
      <c r="H114" s="649" t="s">
        <v>1073</v>
      </c>
      <c r="I114" s="651" t="s">
        <v>1074</v>
      </c>
      <c r="J114" s="651" t="str">
        <f>VLOOKUP(D114,[5]Sheet1!$D$1:$D$65536,1,0)</f>
        <v>RK73H1ETTP5600F</v>
      </c>
      <c r="K114" s="649" t="s">
        <v>28</v>
      </c>
      <c r="L114" s="649"/>
      <c r="M114" s="649"/>
      <c r="N114" s="650" t="s">
        <v>292</v>
      </c>
      <c r="O114" s="650">
        <v>1.047E-3</v>
      </c>
      <c r="P114" s="652"/>
      <c r="Q114" s="652"/>
      <c r="R114" s="652">
        <f t="shared" si="7"/>
        <v>1.0836449999999998E-3</v>
      </c>
      <c r="S114" s="652">
        <f t="shared" si="13"/>
        <v>7.3174499999999979E-4</v>
      </c>
      <c r="T114" s="652"/>
      <c r="U114" s="650" t="s">
        <v>1443</v>
      </c>
      <c r="V114" s="650"/>
      <c r="W114" s="650"/>
      <c r="X114" s="653"/>
      <c r="Y114" s="653"/>
      <c r="Z114" s="752"/>
    </row>
    <row r="115" spans="1:54" ht="15.75" customHeight="1">
      <c r="A115" s="649">
        <v>2</v>
      </c>
      <c r="B115" s="650" t="s">
        <v>1220</v>
      </c>
      <c r="C115" s="650" t="s">
        <v>1215</v>
      </c>
      <c r="D115" s="650" t="s">
        <v>1220</v>
      </c>
      <c r="E115" s="650" t="s">
        <v>1220</v>
      </c>
      <c r="F115" s="650" t="e">
        <v>#N/A</v>
      </c>
      <c r="G115" s="650" t="s">
        <v>1216</v>
      </c>
      <c r="H115" s="649" t="s">
        <v>1073</v>
      </c>
      <c r="I115" s="651" t="s">
        <v>1074</v>
      </c>
      <c r="J115" s="651" t="str">
        <f>VLOOKUP(D115,[5]Sheet1!$D$1:$D$65536,1,0)</f>
        <v>RMCH10K561FTH</v>
      </c>
      <c r="K115" s="649" t="s">
        <v>28</v>
      </c>
      <c r="L115" s="649"/>
      <c r="M115" s="649"/>
      <c r="N115" s="650" t="s">
        <v>294</v>
      </c>
      <c r="O115" s="650">
        <v>2.2669999999999999E-3</v>
      </c>
      <c r="P115" s="652"/>
      <c r="Q115" s="652"/>
      <c r="R115" s="652">
        <f t="shared" si="7"/>
        <v>2.3463449999999997E-3</v>
      </c>
      <c r="S115" s="652">
        <f t="shared" si="13"/>
        <v>1.9944449999999996E-3</v>
      </c>
      <c r="T115" s="652"/>
      <c r="U115" s="650" t="s">
        <v>1443</v>
      </c>
      <c r="V115" s="650"/>
      <c r="W115" s="650"/>
      <c r="X115" s="653"/>
      <c r="Y115" s="653"/>
      <c r="Z115" s="752"/>
    </row>
    <row r="116" spans="1:54" s="658" customFormat="1" ht="15.75" customHeight="1">
      <c r="A116" s="654">
        <v>2</v>
      </c>
      <c r="B116" s="655" t="s">
        <v>467</v>
      </c>
      <c r="C116" s="655" t="s">
        <v>459</v>
      </c>
      <c r="D116" s="655" t="s">
        <v>468</v>
      </c>
      <c r="E116" s="655" t="s">
        <v>468</v>
      </c>
      <c r="F116" s="659" t="s">
        <v>468</v>
      </c>
      <c r="G116" s="659" t="s">
        <v>1221</v>
      </c>
      <c r="H116" s="660" t="s">
        <v>1073</v>
      </c>
      <c r="I116" s="661" t="s">
        <v>1074</v>
      </c>
      <c r="J116" s="651" t="str">
        <f>VLOOKUP(D116,[5]Sheet1!$D$1:$D$65536,1,0)</f>
        <v>AC0201FR-0710KL</v>
      </c>
      <c r="K116" s="654" t="s">
        <v>28</v>
      </c>
      <c r="L116" s="654">
        <v>56</v>
      </c>
      <c r="M116" s="654">
        <v>56</v>
      </c>
      <c r="N116" s="655" t="s">
        <v>296</v>
      </c>
      <c r="O116" s="650">
        <v>5.9999999999999995E-4</v>
      </c>
      <c r="P116" s="655">
        <f>VLOOKUP(D116,'EEBOM Feb.2nd2026'!$D:$N,11,0)</f>
        <v>5.9999999999999995E-4</v>
      </c>
      <c r="Q116" s="655">
        <f>O116-P116</f>
        <v>0</v>
      </c>
      <c r="R116" s="652">
        <f t="shared" si="7"/>
        <v>6.2099999999999992E-4</v>
      </c>
      <c r="S116" s="652">
        <f t="shared" si="13"/>
        <v>0</v>
      </c>
      <c r="T116" s="655">
        <f>R116*M116</f>
        <v>3.4775999999999994E-2</v>
      </c>
      <c r="U116" s="655" t="s">
        <v>1470</v>
      </c>
      <c r="V116" s="655">
        <v>10000</v>
      </c>
      <c r="W116" s="655">
        <v>10</v>
      </c>
      <c r="X116" s="657" t="s">
        <v>1472</v>
      </c>
      <c r="Y116" s="657" t="s">
        <v>1448</v>
      </c>
      <c r="Z116" s="752" t="s">
        <v>1222</v>
      </c>
      <c r="AA116" s="753"/>
      <c r="AB116" s="753"/>
      <c r="AC116" s="753"/>
      <c r="AD116" s="753"/>
      <c r="AE116" s="753"/>
      <c r="AF116" s="753"/>
      <c r="AG116" s="753"/>
      <c r="AH116" s="753"/>
      <c r="AI116" s="753"/>
      <c r="AJ116" s="753"/>
      <c r="AK116" s="753"/>
      <c r="AL116" s="753"/>
      <c r="AM116" s="753"/>
      <c r="AN116" s="753"/>
      <c r="AO116" s="753"/>
      <c r="AP116" s="753"/>
      <c r="AQ116" s="753"/>
      <c r="AR116" s="753"/>
      <c r="AS116" s="753"/>
      <c r="AT116" s="753"/>
      <c r="AU116" s="753"/>
      <c r="AV116" s="753"/>
      <c r="AW116" s="753"/>
      <c r="AX116" s="753"/>
      <c r="AY116" s="753"/>
      <c r="AZ116" s="753"/>
      <c r="BA116" s="753"/>
      <c r="BB116" s="753"/>
    </row>
    <row r="117" spans="1:54" ht="15.75" customHeight="1">
      <c r="A117" s="649">
        <v>2</v>
      </c>
      <c r="B117" s="650" t="s">
        <v>465</v>
      </c>
      <c r="C117" s="650" t="s">
        <v>459</v>
      </c>
      <c r="D117" s="650" t="s">
        <v>465</v>
      </c>
      <c r="E117" s="650" t="s">
        <v>465</v>
      </c>
      <c r="F117" s="650" t="s">
        <v>465</v>
      </c>
      <c r="G117" s="650" t="s">
        <v>1221</v>
      </c>
      <c r="H117" s="649" t="s">
        <v>1073</v>
      </c>
      <c r="I117" s="651" t="s">
        <v>1074</v>
      </c>
      <c r="J117" s="651" t="str">
        <f>VLOOKUP(D117,[5]Sheet1!$D$1:$D$65536,1,0)</f>
        <v>RMCH06-103FPA</v>
      </c>
      <c r="K117" s="649" t="s">
        <v>28</v>
      </c>
      <c r="L117" s="649"/>
      <c r="M117" s="649"/>
      <c r="N117" s="650" t="s">
        <v>294</v>
      </c>
      <c r="O117" s="650">
        <v>2.7390000000000001E-3</v>
      </c>
      <c r="P117" s="652"/>
      <c r="Q117" s="652"/>
      <c r="R117" s="652">
        <f t="shared" si="7"/>
        <v>2.8348649999999998E-3</v>
      </c>
      <c r="S117" s="652">
        <f t="shared" si="13"/>
        <v>2.2138649999999998E-3</v>
      </c>
      <c r="T117" s="652"/>
      <c r="U117" s="650" t="s">
        <v>1443</v>
      </c>
      <c r="V117" s="650"/>
      <c r="W117" s="650"/>
      <c r="X117" s="653"/>
      <c r="Y117" s="653"/>
      <c r="Z117" s="752"/>
    </row>
    <row r="118" spans="1:54" ht="15.75" customHeight="1">
      <c r="A118" s="649">
        <v>2</v>
      </c>
      <c r="B118" s="650" t="s">
        <v>463</v>
      </c>
      <c r="C118" s="650" t="s">
        <v>459</v>
      </c>
      <c r="D118" s="650" t="s">
        <v>463</v>
      </c>
      <c r="E118" s="650" t="s">
        <v>463</v>
      </c>
      <c r="F118" s="650" t="s">
        <v>463</v>
      </c>
      <c r="G118" s="650" t="s">
        <v>1221</v>
      </c>
      <c r="H118" s="649" t="s">
        <v>1073</v>
      </c>
      <c r="I118" s="651" t="s">
        <v>1074</v>
      </c>
      <c r="J118" s="651" t="str">
        <f>VLOOKUP(D118,[5]Sheet1!$D$1:$D$65536,1,0)</f>
        <v>RK73H1HTTC1002F</v>
      </c>
      <c r="K118" s="649" t="s">
        <v>28</v>
      </c>
      <c r="L118" s="649"/>
      <c r="M118" s="649"/>
      <c r="N118" s="650" t="s">
        <v>292</v>
      </c>
      <c r="O118" s="650">
        <v>1.5139999999999999E-3</v>
      </c>
      <c r="P118" s="652"/>
      <c r="Q118" s="652"/>
      <c r="R118" s="652">
        <f t="shared" si="7"/>
        <v>1.5669899999999999E-3</v>
      </c>
      <c r="S118" s="652">
        <f t="shared" si="13"/>
        <v>9.4598999999999996E-4</v>
      </c>
      <c r="T118" s="652"/>
      <c r="U118" s="650" t="s">
        <v>1443</v>
      </c>
      <c r="V118" s="650"/>
      <c r="W118" s="650"/>
      <c r="X118" s="653"/>
      <c r="Y118" s="653"/>
      <c r="Z118" s="752"/>
    </row>
    <row r="119" spans="1:54" ht="15.75" customHeight="1">
      <c r="A119" s="649">
        <v>2</v>
      </c>
      <c r="B119" s="650" t="s">
        <v>466</v>
      </c>
      <c r="C119" s="650" t="s">
        <v>459</v>
      </c>
      <c r="D119" s="650" t="s">
        <v>466</v>
      </c>
      <c r="E119" s="650" t="s">
        <v>466</v>
      </c>
      <c r="F119" s="650" t="s">
        <v>466</v>
      </c>
      <c r="G119" s="650" t="s">
        <v>1221</v>
      </c>
      <c r="H119" s="649" t="s">
        <v>1073</v>
      </c>
      <c r="I119" s="651" t="s">
        <v>1074</v>
      </c>
      <c r="J119" s="651" t="str">
        <f>VLOOKUP(D119,[5]Sheet1!$D$1:$D$65536,1,0)</f>
        <v>ERJ1GJF1002C</v>
      </c>
      <c r="K119" s="649" t="s">
        <v>28</v>
      </c>
      <c r="L119" s="649"/>
      <c r="M119" s="649"/>
      <c r="N119" s="650" t="s">
        <v>289</v>
      </c>
      <c r="O119" s="650">
        <v>1.2800000000000001E-2</v>
      </c>
      <c r="P119" s="652"/>
      <c r="Q119" s="652"/>
      <c r="R119" s="652">
        <f t="shared" si="7"/>
        <v>1.3247999999999999E-2</v>
      </c>
      <c r="S119" s="652">
        <f t="shared" si="13"/>
        <v>1.2626999999999999E-2</v>
      </c>
      <c r="T119" s="652"/>
      <c r="U119" s="650" t="s">
        <v>1080</v>
      </c>
      <c r="V119" s="650"/>
      <c r="W119" s="650"/>
      <c r="X119" s="653"/>
      <c r="Y119" s="653"/>
      <c r="Z119" s="752"/>
    </row>
    <row r="120" spans="1:54" s="658" customFormat="1" ht="36" customHeight="1">
      <c r="A120" s="654">
        <v>2</v>
      </c>
      <c r="B120" s="655" t="s">
        <v>295</v>
      </c>
      <c r="C120" s="655" t="s">
        <v>284</v>
      </c>
      <c r="D120" s="655" t="s">
        <v>295</v>
      </c>
      <c r="E120" s="655" t="s">
        <v>295</v>
      </c>
      <c r="F120" s="659" t="s">
        <v>295</v>
      </c>
      <c r="G120" s="659" t="s">
        <v>1223</v>
      </c>
      <c r="H120" s="660" t="s">
        <v>1073</v>
      </c>
      <c r="I120" s="661" t="s">
        <v>1074</v>
      </c>
      <c r="J120" s="651" t="str">
        <f>VLOOKUP(D120,[5]Sheet1!$D$1:$D$65536,1,0)</f>
        <v>AC0201FR-0747KL</v>
      </c>
      <c r="K120" s="654" t="s">
        <v>28</v>
      </c>
      <c r="L120" s="654">
        <v>8</v>
      </c>
      <c r="M120" s="654">
        <v>8</v>
      </c>
      <c r="N120" s="655" t="s">
        <v>296</v>
      </c>
      <c r="O120" s="650">
        <v>5.9999999999999995E-4</v>
      </c>
      <c r="P120" s="655">
        <f>VLOOKUP(D120,'EEBOM Feb.2nd2026'!$D:$N,11,0)</f>
        <v>5.9999999999999995E-4</v>
      </c>
      <c r="Q120" s="655">
        <f>O120-P120</f>
        <v>0</v>
      </c>
      <c r="R120" s="652">
        <f t="shared" si="7"/>
        <v>6.2099999999999992E-4</v>
      </c>
      <c r="S120" s="652">
        <f t="shared" si="13"/>
        <v>0</v>
      </c>
      <c r="T120" s="655">
        <f>R120*M120</f>
        <v>4.9679999999999993E-3</v>
      </c>
      <c r="U120" s="655" t="s">
        <v>1470</v>
      </c>
      <c r="V120" s="655">
        <v>10000</v>
      </c>
      <c r="W120" s="655">
        <v>10</v>
      </c>
      <c r="X120" s="657" t="s">
        <v>1472</v>
      </c>
      <c r="Y120" s="657" t="s">
        <v>1448</v>
      </c>
      <c r="Z120" s="752" t="s">
        <v>1224</v>
      </c>
      <c r="AA120" s="753"/>
      <c r="AB120" s="753"/>
      <c r="AC120" s="753"/>
      <c r="AD120" s="753"/>
      <c r="AE120" s="753"/>
      <c r="AF120" s="753"/>
      <c r="AG120" s="753"/>
      <c r="AH120" s="753"/>
      <c r="AI120" s="753"/>
      <c r="AJ120" s="753"/>
      <c r="AK120" s="753"/>
      <c r="AL120" s="753"/>
      <c r="AM120" s="753"/>
      <c r="AN120" s="753"/>
      <c r="AO120" s="753"/>
      <c r="AP120" s="753"/>
      <c r="AQ120" s="753"/>
      <c r="AR120" s="753"/>
      <c r="AS120" s="753"/>
      <c r="AT120" s="753"/>
      <c r="AU120" s="753"/>
      <c r="AV120" s="753"/>
      <c r="AW120" s="753"/>
      <c r="AX120" s="753"/>
      <c r="AY120" s="753"/>
      <c r="AZ120" s="753"/>
      <c r="BA120" s="753"/>
      <c r="BB120" s="753"/>
    </row>
    <row r="121" spans="1:54" ht="15.75" customHeight="1">
      <c r="A121" s="649">
        <v>2</v>
      </c>
      <c r="B121" s="650" t="s">
        <v>291</v>
      </c>
      <c r="C121" s="650" t="s">
        <v>284</v>
      </c>
      <c r="D121" s="650" t="s">
        <v>291</v>
      </c>
      <c r="E121" s="650" t="s">
        <v>291</v>
      </c>
      <c r="F121" s="650" t="s">
        <v>291</v>
      </c>
      <c r="G121" s="650" t="s">
        <v>1223</v>
      </c>
      <c r="H121" s="649" t="s">
        <v>1073</v>
      </c>
      <c r="I121" s="651" t="s">
        <v>1074</v>
      </c>
      <c r="J121" s="651" t="str">
        <f>VLOOKUP(D121,[5]Sheet1!$D$1:$D$65536,1,0)</f>
        <v>RK73H1HTTC4702F</v>
      </c>
      <c r="K121" s="649" t="s">
        <v>28</v>
      </c>
      <c r="L121" s="649"/>
      <c r="M121" s="649"/>
      <c r="N121" s="650" t="s">
        <v>292</v>
      </c>
      <c r="O121" s="650">
        <v>1.5139999999999999E-3</v>
      </c>
      <c r="P121" s="652"/>
      <c r="Q121" s="652"/>
      <c r="R121" s="652">
        <f t="shared" si="7"/>
        <v>1.5669899999999999E-3</v>
      </c>
      <c r="S121" s="652">
        <f t="shared" si="13"/>
        <v>9.4598999999999996E-4</v>
      </c>
      <c r="T121" s="652"/>
      <c r="U121" s="650" t="s">
        <v>1443</v>
      </c>
      <c r="V121" s="650"/>
      <c r="W121" s="650"/>
      <c r="X121" s="653"/>
      <c r="Y121" s="653"/>
      <c r="Z121" s="752"/>
    </row>
    <row r="122" spans="1:54" ht="15.75" customHeight="1">
      <c r="A122" s="649">
        <v>2</v>
      </c>
      <c r="B122" s="650" t="s">
        <v>293</v>
      </c>
      <c r="C122" s="650" t="s">
        <v>284</v>
      </c>
      <c r="D122" s="650" t="s">
        <v>293</v>
      </c>
      <c r="E122" s="650" t="s">
        <v>293</v>
      </c>
      <c r="F122" s="650" t="s">
        <v>293</v>
      </c>
      <c r="G122" s="650" t="s">
        <v>1223</v>
      </c>
      <c r="H122" s="649" t="s">
        <v>1073</v>
      </c>
      <c r="I122" s="651" t="s">
        <v>1074</v>
      </c>
      <c r="J122" s="651" t="str">
        <f>VLOOKUP(D122,[5]Sheet1!$D$1:$D$65536,1,0)</f>
        <v>RMCH06-473FPA</v>
      </c>
      <c r="K122" s="649" t="s">
        <v>28</v>
      </c>
      <c r="L122" s="649"/>
      <c r="M122" s="649"/>
      <c r="N122" s="650" t="s">
        <v>294</v>
      </c>
      <c r="O122" s="650">
        <v>2.7390000000000001E-3</v>
      </c>
      <c r="P122" s="652"/>
      <c r="Q122" s="652"/>
      <c r="R122" s="652">
        <f t="shared" si="7"/>
        <v>2.8348649999999998E-3</v>
      </c>
      <c r="S122" s="652">
        <f t="shared" si="13"/>
        <v>2.2138649999999998E-3</v>
      </c>
      <c r="T122" s="652"/>
      <c r="U122" s="650" t="s">
        <v>1443</v>
      </c>
      <c r="V122" s="650"/>
      <c r="W122" s="650"/>
      <c r="X122" s="653"/>
      <c r="Y122" s="653"/>
      <c r="Z122" s="752"/>
    </row>
    <row r="123" spans="1:54" ht="15.75" customHeight="1">
      <c r="A123" s="649">
        <v>2</v>
      </c>
      <c r="B123" s="650" t="s">
        <v>288</v>
      </c>
      <c r="C123" s="650" t="s">
        <v>284</v>
      </c>
      <c r="D123" s="650" t="s">
        <v>288</v>
      </c>
      <c r="E123" s="650" t="s">
        <v>288</v>
      </c>
      <c r="F123" s="650" t="s">
        <v>288</v>
      </c>
      <c r="G123" s="650" t="s">
        <v>1223</v>
      </c>
      <c r="H123" s="649" t="s">
        <v>1073</v>
      </c>
      <c r="I123" s="651" t="s">
        <v>1074</v>
      </c>
      <c r="J123" s="651" t="str">
        <f>VLOOKUP(D123,[5]Sheet1!$D$1:$D$65536,1,0)</f>
        <v>ERJ1GJF4702C</v>
      </c>
      <c r="K123" s="649" t="s">
        <v>28</v>
      </c>
      <c r="L123" s="649"/>
      <c r="M123" s="649"/>
      <c r="N123" s="650" t="s">
        <v>289</v>
      </c>
      <c r="O123" s="650">
        <v>1.4800000000000001E-2</v>
      </c>
      <c r="P123" s="652"/>
      <c r="Q123" s="652"/>
      <c r="R123" s="652">
        <f t="shared" si="7"/>
        <v>1.5318E-2</v>
      </c>
      <c r="S123" s="652">
        <f t="shared" si="13"/>
        <v>1.4697E-2</v>
      </c>
      <c r="T123" s="652"/>
      <c r="U123" s="650" t="s">
        <v>1129</v>
      </c>
      <c r="V123" s="650"/>
      <c r="W123" s="650"/>
      <c r="X123" s="653"/>
      <c r="Y123" s="653"/>
      <c r="Z123" s="752"/>
    </row>
    <row r="124" spans="1:54" s="658" customFormat="1" ht="15.75" customHeight="1">
      <c r="A124" s="654">
        <v>2</v>
      </c>
      <c r="B124" s="655" t="s">
        <v>304</v>
      </c>
      <c r="C124" s="655" t="s">
        <v>297</v>
      </c>
      <c r="D124" s="655" t="s">
        <v>305</v>
      </c>
      <c r="E124" s="655" t="s">
        <v>305</v>
      </c>
      <c r="F124" s="659" t="s">
        <v>305</v>
      </c>
      <c r="G124" s="659" t="s">
        <v>1225</v>
      </c>
      <c r="H124" s="660" t="s">
        <v>1073</v>
      </c>
      <c r="I124" s="661" t="s">
        <v>1074</v>
      </c>
      <c r="J124" s="651" t="str">
        <f>VLOOKUP(D124,[5]Sheet1!$D$1:$D$65536,1,0)</f>
        <v>AC0201FR-07100RL</v>
      </c>
      <c r="K124" s="654" t="s">
        <v>28</v>
      </c>
      <c r="L124" s="654">
        <v>6</v>
      </c>
      <c r="M124" s="654">
        <v>6</v>
      </c>
      <c r="N124" s="655" t="s">
        <v>296</v>
      </c>
      <c r="O124" s="650">
        <v>5.9999999999999995E-4</v>
      </c>
      <c r="P124" s="655">
        <f>VLOOKUP(D124,'EEBOM Feb.2nd2026'!$D:$N,11,0)</f>
        <v>5.9999999999999995E-4</v>
      </c>
      <c r="Q124" s="655">
        <f>O124-P124</f>
        <v>0</v>
      </c>
      <c r="R124" s="652">
        <f t="shared" si="7"/>
        <v>6.2099999999999992E-4</v>
      </c>
      <c r="S124" s="652">
        <f t="shared" si="13"/>
        <v>0</v>
      </c>
      <c r="T124" s="655">
        <f>R124*M124</f>
        <v>3.7259999999999993E-3</v>
      </c>
      <c r="U124" s="655" t="s">
        <v>1470</v>
      </c>
      <c r="V124" s="655">
        <v>10000</v>
      </c>
      <c r="W124" s="655">
        <v>10</v>
      </c>
      <c r="X124" s="657" t="s">
        <v>1472</v>
      </c>
      <c r="Y124" s="657" t="s">
        <v>1448</v>
      </c>
      <c r="Z124" s="752" t="s">
        <v>1226</v>
      </c>
      <c r="AA124" s="753"/>
      <c r="AB124" s="753"/>
      <c r="AC124" s="753"/>
      <c r="AD124" s="753"/>
      <c r="AE124" s="753"/>
      <c r="AF124" s="753"/>
      <c r="AG124" s="753"/>
      <c r="AH124" s="753"/>
      <c r="AI124" s="753"/>
      <c r="AJ124" s="753"/>
      <c r="AK124" s="753"/>
      <c r="AL124" s="753"/>
      <c r="AM124" s="753"/>
      <c r="AN124" s="753"/>
      <c r="AO124" s="753"/>
      <c r="AP124" s="753"/>
      <c r="AQ124" s="753"/>
      <c r="AR124" s="753"/>
      <c r="AS124" s="753"/>
      <c r="AT124" s="753"/>
      <c r="AU124" s="753"/>
      <c r="AV124" s="753"/>
      <c r="AW124" s="753"/>
      <c r="AX124" s="753"/>
      <c r="AY124" s="753"/>
      <c r="AZ124" s="753"/>
      <c r="BA124" s="753"/>
      <c r="BB124" s="753"/>
    </row>
    <row r="125" spans="1:54" ht="15.75" customHeight="1">
      <c r="A125" s="649">
        <v>2</v>
      </c>
      <c r="B125" s="650" t="s">
        <v>300</v>
      </c>
      <c r="C125" s="650" t="s">
        <v>297</v>
      </c>
      <c r="D125" s="650" t="s">
        <v>300</v>
      </c>
      <c r="E125" s="650" t="s">
        <v>300</v>
      </c>
      <c r="F125" s="650" t="s">
        <v>300</v>
      </c>
      <c r="G125" s="650" t="s">
        <v>1225</v>
      </c>
      <c r="H125" s="649" t="s">
        <v>1073</v>
      </c>
      <c r="I125" s="651" t="s">
        <v>1074</v>
      </c>
      <c r="J125" s="651" t="str">
        <f>VLOOKUP(D125,[5]Sheet1!$D$1:$D$65536,1,0)</f>
        <v>RK73H1HTTC1000F</v>
      </c>
      <c r="K125" s="649" t="s">
        <v>28</v>
      </c>
      <c r="L125" s="649"/>
      <c r="M125" s="649"/>
      <c r="N125" s="650" t="s">
        <v>292</v>
      </c>
      <c r="O125" s="650">
        <v>1.5139999999999999E-3</v>
      </c>
      <c r="P125" s="652"/>
      <c r="Q125" s="652"/>
      <c r="R125" s="652">
        <f t="shared" si="7"/>
        <v>1.5669899999999999E-3</v>
      </c>
      <c r="S125" s="652">
        <f t="shared" si="13"/>
        <v>9.4598999999999996E-4</v>
      </c>
      <c r="T125" s="652"/>
      <c r="U125" s="650" t="s">
        <v>1443</v>
      </c>
      <c r="V125" s="650"/>
      <c r="W125" s="650"/>
      <c r="X125" s="653"/>
      <c r="Y125" s="653"/>
      <c r="Z125" s="752"/>
    </row>
    <row r="126" spans="1:54" ht="15.75" customHeight="1">
      <c r="A126" s="649">
        <v>2</v>
      </c>
      <c r="B126" s="650" t="s">
        <v>303</v>
      </c>
      <c r="C126" s="650" t="s">
        <v>297</v>
      </c>
      <c r="D126" s="650" t="s">
        <v>303</v>
      </c>
      <c r="E126" s="650" t="s">
        <v>303</v>
      </c>
      <c r="F126" s="650" t="s">
        <v>303</v>
      </c>
      <c r="G126" s="650" t="s">
        <v>1225</v>
      </c>
      <c r="H126" s="649" t="s">
        <v>1073</v>
      </c>
      <c r="I126" s="651" t="s">
        <v>1074</v>
      </c>
      <c r="J126" s="651" t="str">
        <f>VLOOKUP(D126,[5]Sheet1!$D$1:$D$65536,1,0)</f>
        <v>RMCH06-101FPA</v>
      </c>
      <c r="K126" s="649" t="s">
        <v>28</v>
      </c>
      <c r="L126" s="649"/>
      <c r="M126" s="649"/>
      <c r="N126" s="650" t="s">
        <v>294</v>
      </c>
      <c r="O126" s="650">
        <v>2.7390000000000001E-3</v>
      </c>
      <c r="P126" s="652"/>
      <c r="Q126" s="652"/>
      <c r="R126" s="652">
        <f t="shared" si="7"/>
        <v>2.8348649999999998E-3</v>
      </c>
      <c r="S126" s="652">
        <f t="shared" si="13"/>
        <v>2.2138649999999998E-3</v>
      </c>
      <c r="T126" s="652"/>
      <c r="U126" s="650" t="s">
        <v>1443</v>
      </c>
      <c r="V126" s="650"/>
      <c r="W126" s="650"/>
      <c r="X126" s="653"/>
      <c r="Y126" s="653"/>
      <c r="Z126" s="752"/>
    </row>
    <row r="127" spans="1:54" ht="15.75" customHeight="1">
      <c r="A127" s="649">
        <v>2</v>
      </c>
      <c r="B127" s="650" t="s">
        <v>302</v>
      </c>
      <c r="C127" s="650" t="s">
        <v>297</v>
      </c>
      <c r="D127" s="650" t="s">
        <v>302</v>
      </c>
      <c r="E127" s="650" t="s">
        <v>302</v>
      </c>
      <c r="F127" s="650" t="s">
        <v>302</v>
      </c>
      <c r="G127" s="650" t="s">
        <v>1225</v>
      </c>
      <c r="H127" s="649" t="s">
        <v>1073</v>
      </c>
      <c r="I127" s="651" t="s">
        <v>1074</v>
      </c>
      <c r="J127" s="651" t="str">
        <f>VLOOKUP(D127,[5]Sheet1!$D$1:$D$65536,1,0)</f>
        <v>ERJ1GJF1000C</v>
      </c>
      <c r="K127" s="649" t="s">
        <v>28</v>
      </c>
      <c r="L127" s="649"/>
      <c r="M127" s="649"/>
      <c r="N127" s="650" t="s">
        <v>289</v>
      </c>
      <c r="O127" s="650">
        <v>1.4800000000000001E-2</v>
      </c>
      <c r="P127" s="652"/>
      <c r="Q127" s="652"/>
      <c r="R127" s="652">
        <f t="shared" si="7"/>
        <v>1.5318E-2</v>
      </c>
      <c r="S127" s="652">
        <f t="shared" si="13"/>
        <v>1.4697E-2</v>
      </c>
      <c r="T127" s="652"/>
      <c r="U127" s="650" t="s">
        <v>1129</v>
      </c>
      <c r="V127" s="650"/>
      <c r="W127" s="650"/>
      <c r="X127" s="653"/>
      <c r="Y127" s="653"/>
      <c r="Z127" s="752"/>
    </row>
    <row r="128" spans="1:54" s="658" customFormat="1" ht="15.75" customHeight="1">
      <c r="A128" s="654">
        <v>2</v>
      </c>
      <c r="B128" s="655" t="s">
        <v>549</v>
      </c>
      <c r="C128" s="655" t="s">
        <v>542</v>
      </c>
      <c r="D128" s="655" t="s">
        <v>550</v>
      </c>
      <c r="E128" s="655" t="s">
        <v>550</v>
      </c>
      <c r="F128" s="659" t="s">
        <v>550</v>
      </c>
      <c r="G128" s="659" t="s">
        <v>1227</v>
      </c>
      <c r="H128" s="660" t="s">
        <v>1073</v>
      </c>
      <c r="I128" s="661" t="s">
        <v>1074</v>
      </c>
      <c r="J128" s="651" t="str">
        <f>VLOOKUP(D128,[5]Sheet1!$D$1:$D$65536,1,0)</f>
        <v>AC0201FR-074K7L</v>
      </c>
      <c r="K128" s="654" t="s">
        <v>28</v>
      </c>
      <c r="L128" s="654">
        <v>8</v>
      </c>
      <c r="M128" s="654">
        <v>8</v>
      </c>
      <c r="N128" s="655" t="s">
        <v>296</v>
      </c>
      <c r="O128" s="650">
        <v>5.9999999999999995E-4</v>
      </c>
      <c r="P128" s="655">
        <f>VLOOKUP(D128,'EEBOM Feb.2nd2026'!$D:$N,11,0)</f>
        <v>5.9999999999999995E-4</v>
      </c>
      <c r="Q128" s="655">
        <f>O128-P128</f>
        <v>0</v>
      </c>
      <c r="R128" s="652">
        <f t="shared" si="7"/>
        <v>6.2099999999999992E-4</v>
      </c>
      <c r="S128" s="652">
        <f t="shared" si="13"/>
        <v>0</v>
      </c>
      <c r="T128" s="655">
        <f>R128*M128</f>
        <v>4.9679999999999993E-3</v>
      </c>
      <c r="U128" s="655" t="s">
        <v>1470</v>
      </c>
      <c r="V128" s="655">
        <v>10000</v>
      </c>
      <c r="W128" s="655">
        <v>10</v>
      </c>
      <c r="X128" s="657" t="s">
        <v>1472</v>
      </c>
      <c r="Y128" s="657" t="s">
        <v>1448</v>
      </c>
      <c r="Z128" s="752" t="s">
        <v>1228</v>
      </c>
      <c r="AA128" s="753"/>
      <c r="AB128" s="753"/>
      <c r="AC128" s="753"/>
      <c r="AD128" s="753"/>
      <c r="AE128" s="753"/>
      <c r="AF128" s="753"/>
      <c r="AG128" s="753"/>
      <c r="AH128" s="753"/>
      <c r="AI128" s="753"/>
      <c r="AJ128" s="753"/>
      <c r="AK128" s="753"/>
      <c r="AL128" s="753"/>
      <c r="AM128" s="753"/>
      <c r="AN128" s="753"/>
      <c r="AO128" s="753"/>
      <c r="AP128" s="753"/>
      <c r="AQ128" s="753"/>
      <c r="AR128" s="753"/>
      <c r="AS128" s="753"/>
      <c r="AT128" s="753"/>
      <c r="AU128" s="753"/>
      <c r="AV128" s="753"/>
      <c r="AW128" s="753"/>
      <c r="AX128" s="753"/>
      <c r="AY128" s="753"/>
      <c r="AZ128" s="753"/>
      <c r="BA128" s="753"/>
      <c r="BB128" s="753"/>
    </row>
    <row r="129" spans="1:54" ht="15.75" customHeight="1">
      <c r="A129" s="649">
        <v>2</v>
      </c>
      <c r="B129" s="650" t="s">
        <v>545</v>
      </c>
      <c r="C129" s="650" t="s">
        <v>542</v>
      </c>
      <c r="D129" s="650" t="s">
        <v>545</v>
      </c>
      <c r="E129" s="650" t="s">
        <v>545</v>
      </c>
      <c r="F129" s="650" t="s">
        <v>545</v>
      </c>
      <c r="G129" s="650" t="s">
        <v>1227</v>
      </c>
      <c r="H129" s="649" t="s">
        <v>1073</v>
      </c>
      <c r="I129" s="651" t="s">
        <v>1074</v>
      </c>
      <c r="J129" s="651" t="str">
        <f>VLOOKUP(D129,[5]Sheet1!$D$1:$D$65536,1,0)</f>
        <v>RMCH06-472FPA</v>
      </c>
      <c r="K129" s="649" t="s">
        <v>28</v>
      </c>
      <c r="L129" s="649"/>
      <c r="M129" s="649"/>
      <c r="N129" s="650" t="s">
        <v>294</v>
      </c>
      <c r="O129" s="650">
        <v>2.7390000000000001E-3</v>
      </c>
      <c r="P129" s="652"/>
      <c r="Q129" s="652"/>
      <c r="R129" s="652">
        <f t="shared" si="7"/>
        <v>2.8348649999999998E-3</v>
      </c>
      <c r="S129" s="652">
        <f t="shared" si="13"/>
        <v>2.2138649999999998E-3</v>
      </c>
      <c r="T129" s="652"/>
      <c r="U129" s="650" t="s">
        <v>1443</v>
      </c>
      <c r="V129" s="650"/>
      <c r="W129" s="650"/>
      <c r="X129" s="653"/>
      <c r="Y129" s="653"/>
      <c r="Z129" s="752"/>
    </row>
    <row r="130" spans="1:54" ht="15.75" customHeight="1">
      <c r="A130" s="649">
        <v>2</v>
      </c>
      <c r="B130" s="650" t="s">
        <v>547</v>
      </c>
      <c r="C130" s="650" t="s">
        <v>542</v>
      </c>
      <c r="D130" s="650" t="s">
        <v>547</v>
      </c>
      <c r="E130" s="650" t="s">
        <v>547</v>
      </c>
      <c r="F130" s="650" t="s">
        <v>547</v>
      </c>
      <c r="G130" s="650" t="s">
        <v>1227</v>
      </c>
      <c r="H130" s="649" t="s">
        <v>1073</v>
      </c>
      <c r="I130" s="651" t="s">
        <v>1074</v>
      </c>
      <c r="J130" s="651" t="str">
        <f>VLOOKUP(D130,[5]Sheet1!$D$1:$D$65536,1,0)</f>
        <v>RK73H1HTTC4701F</v>
      </c>
      <c r="K130" s="649" t="s">
        <v>28</v>
      </c>
      <c r="L130" s="649"/>
      <c r="M130" s="649"/>
      <c r="N130" s="650" t="s">
        <v>292</v>
      </c>
      <c r="O130" s="650">
        <v>1.5139999999999999E-3</v>
      </c>
      <c r="P130" s="652"/>
      <c r="Q130" s="652"/>
      <c r="R130" s="652">
        <f t="shared" si="7"/>
        <v>1.5669899999999999E-3</v>
      </c>
      <c r="S130" s="652">
        <f t="shared" si="13"/>
        <v>9.4598999999999996E-4</v>
      </c>
      <c r="T130" s="652"/>
      <c r="U130" s="650" t="s">
        <v>1443</v>
      </c>
      <c r="V130" s="650"/>
      <c r="W130" s="650"/>
      <c r="X130" s="653"/>
      <c r="Y130" s="653"/>
      <c r="Z130" s="752"/>
    </row>
    <row r="131" spans="1:54" ht="15.75" customHeight="1">
      <c r="A131" s="649">
        <v>2</v>
      </c>
      <c r="B131" s="650" t="s">
        <v>548</v>
      </c>
      <c r="C131" s="650" t="s">
        <v>542</v>
      </c>
      <c r="D131" s="650" t="s">
        <v>548</v>
      </c>
      <c r="E131" s="650" t="s">
        <v>548</v>
      </c>
      <c r="F131" s="650" t="s">
        <v>548</v>
      </c>
      <c r="G131" s="650" t="s">
        <v>1227</v>
      </c>
      <c r="H131" s="649" t="s">
        <v>1073</v>
      </c>
      <c r="I131" s="651" t="s">
        <v>1074</v>
      </c>
      <c r="J131" s="651" t="str">
        <f>VLOOKUP(D131,[5]Sheet1!$D$1:$D$65536,1,0)</f>
        <v>ERJ1GJF4701C</v>
      </c>
      <c r="K131" s="649" t="s">
        <v>28</v>
      </c>
      <c r="L131" s="649"/>
      <c r="M131" s="649"/>
      <c r="N131" s="650" t="s">
        <v>289</v>
      </c>
      <c r="O131" s="650">
        <v>1.4800000000000001E-2</v>
      </c>
      <c r="P131" s="652"/>
      <c r="Q131" s="652"/>
      <c r="R131" s="652">
        <f t="shared" si="7"/>
        <v>1.5318E-2</v>
      </c>
      <c r="S131" s="652">
        <f t="shared" si="13"/>
        <v>1.4697E-2</v>
      </c>
      <c r="T131" s="652"/>
      <c r="U131" s="650" t="s">
        <v>1129</v>
      </c>
      <c r="V131" s="650"/>
      <c r="W131" s="650"/>
      <c r="X131" s="653"/>
      <c r="Y131" s="653"/>
      <c r="Z131" s="752"/>
    </row>
    <row r="132" spans="1:54" ht="15.75" customHeight="1">
      <c r="A132" s="649">
        <v>2</v>
      </c>
      <c r="B132" s="650" t="s">
        <v>366</v>
      </c>
      <c r="C132" s="650" t="s">
        <v>358</v>
      </c>
      <c r="D132" s="650" t="s">
        <v>367</v>
      </c>
      <c r="E132" s="650" t="s">
        <v>367</v>
      </c>
      <c r="F132" s="650" t="s">
        <v>367</v>
      </c>
      <c r="G132" s="650" t="s">
        <v>360</v>
      </c>
      <c r="H132" s="649" t="s">
        <v>1073</v>
      </c>
      <c r="I132" s="651" t="s">
        <v>1074</v>
      </c>
      <c r="J132" s="651" t="str">
        <f>VLOOKUP(D132,[5]Sheet1!$D$1:$D$65536,1,0)</f>
        <v>CRCW04020000Z0ED</v>
      </c>
      <c r="K132" s="649" t="s">
        <v>28</v>
      </c>
      <c r="L132" s="649">
        <v>10</v>
      </c>
      <c r="M132" s="649"/>
      <c r="N132" s="650" t="s">
        <v>368</v>
      </c>
      <c r="O132" s="650">
        <v>5.2999999999999998E-4</v>
      </c>
      <c r="P132" s="652"/>
      <c r="Q132" s="652"/>
      <c r="R132" s="652">
        <f t="shared" si="7"/>
        <v>5.4854999999999997E-4</v>
      </c>
      <c r="S132" s="652">
        <f t="shared" ref="S132:S161" si="14">R132-_xlfn.MINIFS(R:R,C:C,C132)</f>
        <v>2.0699999999999999E-4</v>
      </c>
      <c r="T132" s="652"/>
      <c r="U132" s="650" t="s">
        <v>1094</v>
      </c>
      <c r="V132" s="650"/>
      <c r="W132" s="650"/>
      <c r="X132" s="653"/>
      <c r="Y132" s="653"/>
      <c r="Z132" s="752" t="s">
        <v>1229</v>
      </c>
    </row>
    <row r="133" spans="1:54" s="658" customFormat="1" ht="15.75" customHeight="1">
      <c r="A133" s="654">
        <v>2</v>
      </c>
      <c r="B133" s="655" t="s">
        <v>369</v>
      </c>
      <c r="C133" s="655" t="s">
        <v>358</v>
      </c>
      <c r="D133" s="655" t="s">
        <v>370</v>
      </c>
      <c r="E133" s="655" t="s">
        <v>370</v>
      </c>
      <c r="F133" s="659" t="s">
        <v>370</v>
      </c>
      <c r="G133" s="659" t="s">
        <v>360</v>
      </c>
      <c r="H133" s="660" t="s">
        <v>1073</v>
      </c>
      <c r="I133" s="661" t="s">
        <v>1074</v>
      </c>
      <c r="J133" s="651" t="str">
        <f>VLOOKUP(D133,[5]Sheet1!$D$1:$D$65536,1,0)</f>
        <v>AC0402JR-070RL</v>
      </c>
      <c r="K133" s="654" t="s">
        <v>28</v>
      </c>
      <c r="L133" s="654"/>
      <c r="M133" s="654">
        <v>10</v>
      </c>
      <c r="N133" s="655" t="s">
        <v>296</v>
      </c>
      <c r="O133" s="650">
        <v>3.3E-4</v>
      </c>
      <c r="P133" s="655"/>
      <c r="Q133" s="655"/>
      <c r="R133" s="652">
        <f t="shared" ref="R133:R198" si="15">O133*1.035</f>
        <v>3.4154999999999998E-4</v>
      </c>
      <c r="S133" s="652">
        <f t="shared" si="14"/>
        <v>0</v>
      </c>
      <c r="T133" s="655">
        <f>R133*M133</f>
        <v>3.4154999999999997E-3</v>
      </c>
      <c r="U133" s="655" t="s">
        <v>1470</v>
      </c>
      <c r="V133" s="655">
        <v>10000</v>
      </c>
      <c r="W133" s="655">
        <v>10</v>
      </c>
      <c r="X133" s="657" t="s">
        <v>1444</v>
      </c>
      <c r="Y133" s="657" t="s">
        <v>1444</v>
      </c>
      <c r="Z133" s="752"/>
      <c r="AA133" s="753"/>
      <c r="AB133" s="753"/>
      <c r="AC133" s="753"/>
      <c r="AD133" s="753"/>
      <c r="AE133" s="753"/>
      <c r="AF133" s="753"/>
      <c r="AG133" s="753"/>
      <c r="AH133" s="753"/>
      <c r="AI133" s="753"/>
      <c r="AJ133" s="753"/>
      <c r="AK133" s="753"/>
      <c r="AL133" s="753"/>
      <c r="AM133" s="753"/>
      <c r="AN133" s="753"/>
      <c r="AO133" s="753"/>
      <c r="AP133" s="753"/>
      <c r="AQ133" s="753"/>
      <c r="AR133" s="753"/>
      <c r="AS133" s="753"/>
      <c r="AT133" s="753"/>
      <c r="AU133" s="753"/>
      <c r="AV133" s="753"/>
      <c r="AW133" s="753"/>
      <c r="AX133" s="753"/>
      <c r="AY133" s="753"/>
      <c r="AZ133" s="753"/>
      <c r="BA133" s="753"/>
      <c r="BB133" s="753"/>
    </row>
    <row r="134" spans="1:54" ht="15.75" customHeight="1">
      <c r="A134" s="649">
        <v>2</v>
      </c>
      <c r="B134" s="650" t="s">
        <v>357</v>
      </c>
      <c r="C134" s="650" t="s">
        <v>358</v>
      </c>
      <c r="D134" s="650" t="s">
        <v>359</v>
      </c>
      <c r="E134" s="650" t="s">
        <v>359</v>
      </c>
      <c r="F134" s="650" t="s">
        <v>359</v>
      </c>
      <c r="G134" s="650" t="s">
        <v>360</v>
      </c>
      <c r="H134" s="649" t="s">
        <v>1073</v>
      </c>
      <c r="I134" s="651" t="s">
        <v>1074</v>
      </c>
      <c r="J134" s="651" t="str">
        <f>VLOOKUP(D134,[5]Sheet1!$D$1:$D$65536,1,0)</f>
        <v>RMCH10JPTH</v>
      </c>
      <c r="K134" s="649" t="s">
        <v>28</v>
      </c>
      <c r="L134" s="649"/>
      <c r="M134" s="649"/>
      <c r="N134" s="650" t="s">
        <v>294</v>
      </c>
      <c r="O134" s="650">
        <v>1.1100000000000001E-3</v>
      </c>
      <c r="P134" s="652"/>
      <c r="Q134" s="652"/>
      <c r="R134" s="652">
        <f t="shared" si="15"/>
        <v>1.1488500000000001E-3</v>
      </c>
      <c r="S134" s="652">
        <f t="shared" si="14"/>
        <v>8.0730000000000016E-4</v>
      </c>
      <c r="T134" s="652"/>
      <c r="U134" s="650" t="s">
        <v>1443</v>
      </c>
      <c r="V134" s="650"/>
      <c r="W134" s="650"/>
      <c r="X134" s="653"/>
      <c r="Y134" s="653"/>
      <c r="Z134" s="752"/>
    </row>
    <row r="135" spans="1:54" ht="15.75" customHeight="1">
      <c r="A135" s="649">
        <v>2</v>
      </c>
      <c r="B135" s="650" t="s">
        <v>364</v>
      </c>
      <c r="C135" s="650" t="s">
        <v>358</v>
      </c>
      <c r="D135" s="650" t="s">
        <v>365</v>
      </c>
      <c r="E135" s="650" t="s">
        <v>365</v>
      </c>
      <c r="F135" s="650" t="s">
        <v>365</v>
      </c>
      <c r="G135" s="650" t="s">
        <v>360</v>
      </c>
      <c r="H135" s="649" t="s">
        <v>1073</v>
      </c>
      <c r="I135" s="651" t="s">
        <v>1074</v>
      </c>
      <c r="J135" s="651" t="str">
        <f>VLOOKUP(D135,[5]Sheet1!$D$1:$D$65536,1,0)</f>
        <v>RK73Z1ETTP</v>
      </c>
      <c r="K135" s="649" t="s">
        <v>28</v>
      </c>
      <c r="L135" s="649"/>
      <c r="M135" s="649"/>
      <c r="N135" s="650" t="s">
        <v>292</v>
      </c>
      <c r="O135" s="650">
        <v>6.4999999999999997E-4</v>
      </c>
      <c r="P135" s="652"/>
      <c r="Q135" s="652"/>
      <c r="R135" s="652">
        <f t="shared" si="15"/>
        <v>6.7274999999999995E-4</v>
      </c>
      <c r="S135" s="652">
        <f t="shared" si="14"/>
        <v>3.3119999999999997E-4</v>
      </c>
      <c r="T135" s="652"/>
      <c r="U135" s="650" t="s">
        <v>1231</v>
      </c>
      <c r="V135" s="650"/>
      <c r="W135" s="650"/>
      <c r="X135" s="653"/>
      <c r="Y135" s="653"/>
      <c r="Z135" s="752"/>
    </row>
    <row r="136" spans="1:54" ht="15.75" customHeight="1">
      <c r="A136" s="649">
        <v>2</v>
      </c>
      <c r="B136" s="650" t="s">
        <v>362</v>
      </c>
      <c r="C136" s="650" t="s">
        <v>358</v>
      </c>
      <c r="D136" s="650" t="s">
        <v>363</v>
      </c>
      <c r="E136" s="650" t="s">
        <v>363</v>
      </c>
      <c r="F136" s="650" t="s">
        <v>363</v>
      </c>
      <c r="G136" s="650" t="s">
        <v>360</v>
      </c>
      <c r="H136" s="649" t="s">
        <v>1073</v>
      </c>
      <c r="I136" s="651" t="s">
        <v>1074</v>
      </c>
      <c r="J136" s="651" t="str">
        <f>VLOOKUP(D136,[5]Sheet1!$D$1:$D$65536,1,0)</f>
        <v>ERJ2GE0R00X</v>
      </c>
      <c r="K136" s="649" t="s">
        <v>28</v>
      </c>
      <c r="L136" s="649"/>
      <c r="M136" s="649"/>
      <c r="N136" s="650" t="s">
        <v>289</v>
      </c>
      <c r="O136" s="650">
        <v>1.98E-3</v>
      </c>
      <c r="P136" s="652"/>
      <c r="Q136" s="652"/>
      <c r="R136" s="652">
        <f t="shared" si="15"/>
        <v>2.0493E-3</v>
      </c>
      <c r="S136" s="652">
        <f t="shared" si="14"/>
        <v>1.7077500000000001E-3</v>
      </c>
      <c r="T136" s="652"/>
      <c r="U136" s="650" t="s">
        <v>1094</v>
      </c>
      <c r="V136" s="650"/>
      <c r="W136" s="650"/>
      <c r="X136" s="653"/>
      <c r="Y136" s="653"/>
      <c r="Z136" s="752"/>
    </row>
    <row r="137" spans="1:54" ht="15.75" customHeight="1">
      <c r="A137" s="649">
        <v>2</v>
      </c>
      <c r="B137" s="650" t="s">
        <v>380</v>
      </c>
      <c r="C137" s="650" t="s">
        <v>376</v>
      </c>
      <c r="D137" s="650" t="s">
        <v>380</v>
      </c>
      <c r="E137" s="650" t="s">
        <v>380</v>
      </c>
      <c r="F137" s="650" t="s">
        <v>380</v>
      </c>
      <c r="G137" s="650" t="s">
        <v>1232</v>
      </c>
      <c r="H137" s="649" t="s">
        <v>1073</v>
      </c>
      <c r="I137" s="651" t="s">
        <v>1074</v>
      </c>
      <c r="J137" s="651" t="str">
        <f>VLOOKUP(D137,[5]Sheet1!$D$1:$D$65536,1,0)</f>
        <v>RMCH06-102DPA</v>
      </c>
      <c r="K137" s="649" t="s">
        <v>28</v>
      </c>
      <c r="L137" s="649">
        <v>6</v>
      </c>
      <c r="M137" s="649"/>
      <c r="N137" s="650" t="s">
        <v>294</v>
      </c>
      <c r="O137" s="650">
        <v>1.0578000000000001E-2</v>
      </c>
      <c r="P137" s="652"/>
      <c r="Q137" s="652"/>
      <c r="R137" s="652">
        <f t="shared" si="15"/>
        <v>1.094823E-2</v>
      </c>
      <c r="S137" s="652">
        <f t="shared" si="14"/>
        <v>4.0137300000000001E-3</v>
      </c>
      <c r="T137" s="652"/>
      <c r="U137" s="650" t="s">
        <v>1443</v>
      </c>
      <c r="V137" s="650"/>
      <c r="W137" s="650"/>
      <c r="X137" s="653"/>
      <c r="Y137" s="653"/>
      <c r="Z137" s="752" t="s">
        <v>1233</v>
      </c>
    </row>
    <row r="138" spans="1:54" s="658" customFormat="1" ht="15.75" customHeight="1">
      <c r="A138" s="654">
        <v>2</v>
      </c>
      <c r="B138" s="655" t="s">
        <v>377</v>
      </c>
      <c r="C138" s="655" t="s">
        <v>376</v>
      </c>
      <c r="D138" s="687" t="s">
        <v>377</v>
      </c>
      <c r="E138" s="655" t="s">
        <v>377</v>
      </c>
      <c r="F138" s="659" t="s">
        <v>377</v>
      </c>
      <c r="G138" s="659" t="s">
        <v>1232</v>
      </c>
      <c r="H138" s="660" t="s">
        <v>1073</v>
      </c>
      <c r="I138" s="661" t="s">
        <v>1074</v>
      </c>
      <c r="J138" s="651" t="str">
        <f>VLOOKUP(D138,[5]Sheet1!$D$1:$D$65536,1,0)</f>
        <v>RK73H1HTTC1001D</v>
      </c>
      <c r="K138" s="654" t="s">
        <v>28</v>
      </c>
      <c r="L138" s="654"/>
      <c r="M138" s="654">
        <v>6</v>
      </c>
      <c r="N138" s="655" t="s">
        <v>292</v>
      </c>
      <c r="O138" s="650">
        <v>6.7000000000000002E-3</v>
      </c>
      <c r="P138" s="655">
        <f>VLOOKUP(D138,'EEBOM Feb.2nd2026'!$D:$N,11,0)</f>
        <v>3.0999999999999999E-3</v>
      </c>
      <c r="Q138" s="655">
        <f t="shared" ref="Q138:Q139" si="16">O138-P138</f>
        <v>3.6000000000000003E-3</v>
      </c>
      <c r="R138" s="652">
        <f t="shared" si="15"/>
        <v>6.9344999999999997E-3</v>
      </c>
      <c r="S138" s="652">
        <f t="shared" si="14"/>
        <v>0</v>
      </c>
      <c r="T138" s="655">
        <f t="shared" ref="T138:T139" si="17">R138*M138</f>
        <v>4.1606999999999998E-2</v>
      </c>
      <c r="U138" s="655" t="s">
        <v>1443</v>
      </c>
      <c r="V138" s="655">
        <v>15000</v>
      </c>
      <c r="W138" s="655">
        <v>18</v>
      </c>
      <c r="X138" s="657" t="s">
        <v>1454</v>
      </c>
      <c r="Y138" s="657" t="s">
        <v>1448</v>
      </c>
      <c r="Z138" s="752"/>
      <c r="AA138" s="753"/>
      <c r="AB138" s="753"/>
      <c r="AC138" s="753"/>
      <c r="AD138" s="753"/>
      <c r="AE138" s="753"/>
      <c r="AF138" s="753"/>
      <c r="AG138" s="753"/>
      <c r="AH138" s="753"/>
      <c r="AI138" s="753"/>
      <c r="AJ138" s="753"/>
      <c r="AK138" s="753"/>
      <c r="AL138" s="753"/>
      <c r="AM138" s="753"/>
      <c r="AN138" s="753"/>
      <c r="AO138" s="753"/>
      <c r="AP138" s="753"/>
      <c r="AQ138" s="753"/>
      <c r="AR138" s="753"/>
      <c r="AS138" s="753"/>
      <c r="AT138" s="753"/>
      <c r="AU138" s="753"/>
      <c r="AV138" s="753"/>
      <c r="AW138" s="753"/>
      <c r="AX138" s="753"/>
      <c r="AY138" s="753"/>
      <c r="AZ138" s="753"/>
      <c r="BA138" s="753"/>
      <c r="BB138" s="753"/>
    </row>
    <row r="139" spans="1:54" s="658" customFormat="1" ht="15.75" customHeight="1">
      <c r="A139" s="654">
        <v>2</v>
      </c>
      <c r="B139" s="655" t="s">
        <v>540</v>
      </c>
      <c r="C139" s="655" t="s">
        <v>532</v>
      </c>
      <c r="D139" s="655" t="s">
        <v>541</v>
      </c>
      <c r="E139" s="655" t="s">
        <v>541</v>
      </c>
      <c r="F139" s="659" t="s">
        <v>541</v>
      </c>
      <c r="G139" s="659" t="s">
        <v>1234</v>
      </c>
      <c r="H139" s="660" t="s">
        <v>1073</v>
      </c>
      <c r="I139" s="661" t="s">
        <v>1074</v>
      </c>
      <c r="J139" s="651" t="str">
        <f>VLOOKUP(D139,[5]Sheet1!$D$1:$D$65536,1,0)</f>
        <v>AC0201FR-07100KL</v>
      </c>
      <c r="K139" s="654" t="s">
        <v>28</v>
      </c>
      <c r="L139" s="654">
        <v>14</v>
      </c>
      <c r="M139" s="654">
        <v>14</v>
      </c>
      <c r="N139" s="655" t="s">
        <v>296</v>
      </c>
      <c r="O139" s="650">
        <v>5.9999999999999995E-4</v>
      </c>
      <c r="P139" s="655">
        <f>VLOOKUP(D139,'EEBOM Feb.2nd2026'!$D:$N,11,0)</f>
        <v>5.9999999999999995E-4</v>
      </c>
      <c r="Q139" s="655">
        <f t="shared" si="16"/>
        <v>0</v>
      </c>
      <c r="R139" s="652">
        <f t="shared" si="15"/>
        <v>6.2099999999999992E-4</v>
      </c>
      <c r="S139" s="652">
        <f t="shared" si="14"/>
        <v>0</v>
      </c>
      <c r="T139" s="655">
        <f t="shared" si="17"/>
        <v>8.6939999999999986E-3</v>
      </c>
      <c r="U139" s="655" t="s">
        <v>1470</v>
      </c>
      <c r="V139" s="655">
        <v>10000</v>
      </c>
      <c r="W139" s="655">
        <v>10</v>
      </c>
      <c r="X139" s="657" t="s">
        <v>1472</v>
      </c>
      <c r="Y139" s="657" t="s">
        <v>1448</v>
      </c>
      <c r="Z139" s="752" t="s">
        <v>1235</v>
      </c>
      <c r="AA139" s="753"/>
      <c r="AB139" s="753"/>
      <c r="AC139" s="753"/>
      <c r="AD139" s="753"/>
      <c r="AE139" s="753"/>
      <c r="AF139" s="753"/>
      <c r="AG139" s="753"/>
      <c r="AH139" s="753"/>
      <c r="AI139" s="753"/>
      <c r="AJ139" s="753"/>
      <c r="AK139" s="753"/>
      <c r="AL139" s="753"/>
      <c r="AM139" s="753"/>
      <c r="AN139" s="753"/>
      <c r="AO139" s="753"/>
      <c r="AP139" s="753"/>
      <c r="AQ139" s="753"/>
      <c r="AR139" s="753"/>
      <c r="AS139" s="753"/>
      <c r="AT139" s="753"/>
      <c r="AU139" s="753"/>
      <c r="AV139" s="753"/>
      <c r="AW139" s="753"/>
      <c r="AX139" s="753"/>
      <c r="AY139" s="753"/>
      <c r="AZ139" s="753"/>
      <c r="BA139" s="753"/>
      <c r="BB139" s="753"/>
    </row>
    <row r="140" spans="1:54" ht="15.75" customHeight="1">
      <c r="A140" s="649">
        <v>2</v>
      </c>
      <c r="B140" s="650" t="s">
        <v>536</v>
      </c>
      <c r="C140" s="650" t="s">
        <v>532</v>
      </c>
      <c r="D140" s="650" t="s">
        <v>537</v>
      </c>
      <c r="E140" s="650" t="s">
        <v>537</v>
      </c>
      <c r="F140" s="650" t="s">
        <v>537</v>
      </c>
      <c r="G140" s="650" t="s">
        <v>1234</v>
      </c>
      <c r="H140" s="649" t="s">
        <v>1073</v>
      </c>
      <c r="I140" s="651" t="s">
        <v>1074</v>
      </c>
      <c r="J140" s="651" t="str">
        <f>VLOOKUP(D140,[5]Sheet1!$D$1:$D$65536,1,0)</f>
        <v>RK73H1HTTC1003F</v>
      </c>
      <c r="K140" s="649" t="s">
        <v>28</v>
      </c>
      <c r="L140" s="649"/>
      <c r="M140" s="649"/>
      <c r="N140" s="650" t="s">
        <v>292</v>
      </c>
      <c r="O140" s="650">
        <v>1.5139999999999999E-3</v>
      </c>
      <c r="P140" s="652"/>
      <c r="Q140" s="652"/>
      <c r="R140" s="652">
        <f t="shared" si="15"/>
        <v>1.5669899999999999E-3</v>
      </c>
      <c r="S140" s="652">
        <f t="shared" si="14"/>
        <v>9.4598999999999996E-4</v>
      </c>
      <c r="T140" s="652"/>
      <c r="U140" s="650" t="s">
        <v>1443</v>
      </c>
      <c r="V140" s="650"/>
      <c r="W140" s="650"/>
      <c r="X140" s="653"/>
      <c r="Y140" s="653"/>
      <c r="Z140" s="752"/>
    </row>
    <row r="141" spans="1:54" ht="15.75" customHeight="1">
      <c r="A141" s="649">
        <v>2</v>
      </c>
      <c r="B141" s="650" t="s">
        <v>539</v>
      </c>
      <c r="C141" s="650" t="s">
        <v>532</v>
      </c>
      <c r="D141" s="650" t="s">
        <v>539</v>
      </c>
      <c r="E141" s="650" t="s">
        <v>539</v>
      </c>
      <c r="F141" s="650" t="s">
        <v>539</v>
      </c>
      <c r="G141" s="650" t="s">
        <v>1234</v>
      </c>
      <c r="H141" s="649" t="s">
        <v>1073</v>
      </c>
      <c r="I141" s="651" t="s">
        <v>1074</v>
      </c>
      <c r="J141" s="651" t="str">
        <f>VLOOKUP(D141,[5]Sheet1!$D$1:$D$65536,1,0)</f>
        <v>ERJ1GJF1003C</v>
      </c>
      <c r="K141" s="649" t="s">
        <v>28</v>
      </c>
      <c r="L141" s="649"/>
      <c r="M141" s="649"/>
      <c r="N141" s="650" t="s">
        <v>289</v>
      </c>
      <c r="O141" s="650">
        <v>1.52E-2</v>
      </c>
      <c r="P141" s="652"/>
      <c r="Q141" s="652"/>
      <c r="R141" s="652">
        <f t="shared" si="15"/>
        <v>1.5731999999999999E-2</v>
      </c>
      <c r="S141" s="652">
        <f t="shared" si="14"/>
        <v>1.5110999999999999E-2</v>
      </c>
      <c r="T141" s="652"/>
      <c r="U141" s="650" t="s">
        <v>1473</v>
      </c>
      <c r="V141" s="650"/>
      <c r="W141" s="650"/>
      <c r="X141" s="653"/>
      <c r="Y141" s="653"/>
      <c r="Z141" s="752"/>
    </row>
    <row r="142" spans="1:54" s="658" customFormat="1" ht="15.75" customHeight="1">
      <c r="A142" s="654">
        <v>2</v>
      </c>
      <c r="B142" s="655" t="s">
        <v>1236</v>
      </c>
      <c r="C142" s="655" t="s">
        <v>1237</v>
      </c>
      <c r="D142" s="655" t="s">
        <v>1236</v>
      </c>
      <c r="E142" s="655" t="s">
        <v>1236</v>
      </c>
      <c r="F142" s="659" t="e">
        <v>#N/A</v>
      </c>
      <c r="G142" s="659" t="s">
        <v>1238</v>
      </c>
      <c r="H142" s="660" t="s">
        <v>1073</v>
      </c>
      <c r="I142" s="661" t="s">
        <v>1074</v>
      </c>
      <c r="J142" s="651" t="str">
        <f>VLOOKUP(D142,[5]Sheet1!$D$1:$D$65536,1,0)</f>
        <v>AC0201FR-073K3L</v>
      </c>
      <c r="K142" s="654" t="s">
        <v>28</v>
      </c>
      <c r="L142" s="654">
        <v>2</v>
      </c>
      <c r="M142" s="654">
        <v>2</v>
      </c>
      <c r="N142" s="655" t="s">
        <v>296</v>
      </c>
      <c r="O142" s="650">
        <v>5.9999999999999995E-4</v>
      </c>
      <c r="P142" s="655">
        <f>VLOOKUP(D142,'EEBOM Feb.2nd2026'!$D:$N,11,0)</f>
        <v>5.9999999999999995E-4</v>
      </c>
      <c r="Q142" s="655">
        <f>O142-P142</f>
        <v>0</v>
      </c>
      <c r="R142" s="652">
        <f t="shared" si="15"/>
        <v>6.2099999999999992E-4</v>
      </c>
      <c r="S142" s="652">
        <f t="shared" si="14"/>
        <v>6.2099999999999992E-4</v>
      </c>
      <c r="T142" s="655">
        <f>R142*M142</f>
        <v>1.2419999999999998E-3</v>
      </c>
      <c r="U142" s="655" t="s">
        <v>1470</v>
      </c>
      <c r="V142" s="655">
        <v>10000</v>
      </c>
      <c r="W142" s="655">
        <v>10</v>
      </c>
      <c r="X142" s="657" t="s">
        <v>1472</v>
      </c>
      <c r="Y142" s="657" t="s">
        <v>1448</v>
      </c>
      <c r="Z142" s="752" t="s">
        <v>1239</v>
      </c>
      <c r="AA142" s="753"/>
      <c r="AB142" s="753"/>
      <c r="AC142" s="753"/>
      <c r="AD142" s="753"/>
      <c r="AE142" s="753"/>
      <c r="AF142" s="753"/>
      <c r="AG142" s="753"/>
      <c r="AH142" s="753"/>
      <c r="AI142" s="753"/>
      <c r="AJ142" s="753"/>
      <c r="AK142" s="753"/>
      <c r="AL142" s="753"/>
      <c r="AM142" s="753"/>
      <c r="AN142" s="753"/>
      <c r="AO142" s="753"/>
      <c r="AP142" s="753"/>
      <c r="AQ142" s="753"/>
      <c r="AR142" s="753"/>
      <c r="AS142" s="753"/>
      <c r="AT142" s="753"/>
      <c r="AU142" s="753"/>
      <c r="AV142" s="753"/>
      <c r="AW142" s="753"/>
      <c r="AX142" s="753"/>
      <c r="AY142" s="753"/>
      <c r="AZ142" s="753"/>
      <c r="BA142" s="753"/>
      <c r="BB142" s="753"/>
    </row>
    <row r="143" spans="1:54" ht="15.75" customHeight="1">
      <c r="A143" s="649">
        <v>2</v>
      </c>
      <c r="B143" s="650" t="s">
        <v>1240</v>
      </c>
      <c r="C143" s="650" t="s">
        <v>1237</v>
      </c>
      <c r="D143" s="650" t="s">
        <v>1240</v>
      </c>
      <c r="E143" s="650" t="s">
        <v>1240</v>
      </c>
      <c r="F143" s="650" t="e">
        <v>#N/A</v>
      </c>
      <c r="G143" s="650" t="s">
        <v>1238</v>
      </c>
      <c r="H143" s="649" t="s">
        <v>1073</v>
      </c>
      <c r="I143" s="651" t="s">
        <v>1074</v>
      </c>
      <c r="J143" s="651" t="str">
        <f>VLOOKUP(D143,[5]Sheet1!$D$1:$D$65536,1,0)</f>
        <v>RK73H1HTTC3301F</v>
      </c>
      <c r="K143" s="649" t="s">
        <v>28</v>
      </c>
      <c r="L143" s="649"/>
      <c r="M143" s="649"/>
      <c r="N143" s="650" t="s">
        <v>292</v>
      </c>
      <c r="O143" s="650">
        <v>1.5139999999999999E-3</v>
      </c>
      <c r="P143" s="652"/>
      <c r="Q143" s="652"/>
      <c r="R143" s="652">
        <f t="shared" si="15"/>
        <v>1.5669899999999999E-3</v>
      </c>
      <c r="S143" s="652">
        <f t="shared" si="14"/>
        <v>1.5669899999999999E-3</v>
      </c>
      <c r="T143" s="652"/>
      <c r="U143" s="650" t="s">
        <v>1443</v>
      </c>
      <c r="V143" s="650"/>
      <c r="W143" s="650"/>
      <c r="X143" s="653"/>
      <c r="Y143" s="653"/>
      <c r="Z143" s="752"/>
    </row>
    <row r="144" spans="1:54" ht="15.75" customHeight="1">
      <c r="A144" s="649">
        <v>2</v>
      </c>
      <c r="B144" s="650" t="s">
        <v>1241</v>
      </c>
      <c r="C144" s="650" t="s">
        <v>1237</v>
      </c>
      <c r="D144" s="650" t="s">
        <v>1241</v>
      </c>
      <c r="E144" s="650" t="s">
        <v>1241</v>
      </c>
      <c r="F144" s="650" t="e">
        <v>#N/A</v>
      </c>
      <c r="G144" s="650" t="s">
        <v>1238</v>
      </c>
      <c r="H144" s="649" t="s">
        <v>1073</v>
      </c>
      <c r="I144" s="651" t="s">
        <v>1074</v>
      </c>
      <c r="J144" s="651" t="str">
        <f>VLOOKUP(D144,[5]Sheet1!$D$1:$D$65536,1,0)</f>
        <v>RMCH06-332FPA</v>
      </c>
      <c r="K144" s="649" t="s">
        <v>28</v>
      </c>
      <c r="L144" s="649"/>
      <c r="M144" s="649"/>
      <c r="N144" s="650" t="s">
        <v>294</v>
      </c>
      <c r="O144" s="650">
        <v>2.7390000000000001E-3</v>
      </c>
      <c r="P144" s="652"/>
      <c r="Q144" s="652"/>
      <c r="R144" s="652">
        <f t="shared" si="15"/>
        <v>2.8348649999999998E-3</v>
      </c>
      <c r="S144" s="652">
        <f t="shared" si="14"/>
        <v>2.8348649999999998E-3</v>
      </c>
      <c r="T144" s="652"/>
      <c r="U144" s="650" t="s">
        <v>1443</v>
      </c>
      <c r="V144" s="650"/>
      <c r="W144" s="650"/>
      <c r="X144" s="653"/>
      <c r="Y144" s="653"/>
      <c r="Z144" s="752"/>
    </row>
    <row r="145" spans="1:54" ht="15.75" customHeight="1">
      <c r="A145" s="649">
        <v>2</v>
      </c>
      <c r="B145" s="650" t="s">
        <v>1242</v>
      </c>
      <c r="C145" s="650" t="s">
        <v>1237</v>
      </c>
      <c r="D145" s="650" t="s">
        <v>1242</v>
      </c>
      <c r="E145" s="650" t="s">
        <v>1242</v>
      </c>
      <c r="F145" s="650" t="e">
        <v>#N/A</v>
      </c>
      <c r="G145" s="650" t="s">
        <v>1238</v>
      </c>
      <c r="H145" s="649" t="s">
        <v>1073</v>
      </c>
      <c r="I145" s="651" t="s">
        <v>1074</v>
      </c>
      <c r="J145" s="651" t="str">
        <f>VLOOKUP(D145,[5]Sheet1!$D$1:$D$65536,1,0)</f>
        <v>ERJ1GJF3301C</v>
      </c>
      <c r="K145" s="649" t="s">
        <v>28</v>
      </c>
      <c r="L145" s="649"/>
      <c r="M145" s="670"/>
      <c r="N145" s="650" t="s">
        <v>289</v>
      </c>
      <c r="O145" s="650"/>
      <c r="P145" s="652"/>
      <c r="Q145" s="652"/>
      <c r="R145" s="652">
        <f t="shared" si="15"/>
        <v>0</v>
      </c>
      <c r="S145" s="652">
        <f t="shared" si="14"/>
        <v>0</v>
      </c>
      <c r="T145" s="652"/>
      <c r="U145" s="650"/>
      <c r="V145" s="650"/>
      <c r="W145" s="650"/>
      <c r="X145" s="653"/>
      <c r="Y145" s="653"/>
      <c r="Z145" s="752"/>
    </row>
    <row r="146" spans="1:54" s="658" customFormat="1" ht="13.5" customHeight="1">
      <c r="A146" s="654">
        <v>2</v>
      </c>
      <c r="B146" s="655" t="s">
        <v>1243</v>
      </c>
      <c r="C146" s="655" t="s">
        <v>1244</v>
      </c>
      <c r="D146" s="655" t="s">
        <v>1243</v>
      </c>
      <c r="E146" s="655" t="s">
        <v>1243</v>
      </c>
      <c r="F146" s="659" t="e">
        <v>#N/A</v>
      </c>
      <c r="G146" s="659" t="s">
        <v>1245</v>
      </c>
      <c r="H146" s="660" t="s">
        <v>1073</v>
      </c>
      <c r="I146" s="661" t="s">
        <v>1074</v>
      </c>
      <c r="J146" s="651" t="str">
        <f>VLOOKUP(D146,[5]Sheet1!$D$1:$D$65536,1,0)</f>
        <v>AC0201FR-0724K9L</v>
      </c>
      <c r="K146" s="654" t="s">
        <v>28</v>
      </c>
      <c r="L146" s="654">
        <v>1</v>
      </c>
      <c r="M146" s="654">
        <v>1</v>
      </c>
      <c r="N146" s="655" t="s">
        <v>296</v>
      </c>
      <c r="O146" s="650">
        <v>5.9999999999999995E-4</v>
      </c>
      <c r="P146" s="655">
        <f>VLOOKUP(D146,'EEBOM Feb.2nd2026'!$D:$N,11,0)</f>
        <v>5.9999999999999995E-4</v>
      </c>
      <c r="Q146" s="655">
        <f>O146-P146</f>
        <v>0</v>
      </c>
      <c r="R146" s="652">
        <f t="shared" si="15"/>
        <v>6.2099999999999992E-4</v>
      </c>
      <c r="S146" s="652">
        <f t="shared" si="14"/>
        <v>6.2099999999999992E-4</v>
      </c>
      <c r="T146" s="655">
        <f>R146*M146</f>
        <v>6.2099999999999992E-4</v>
      </c>
      <c r="U146" s="655" t="s">
        <v>1470</v>
      </c>
      <c r="V146" s="655">
        <v>10000</v>
      </c>
      <c r="W146" s="655">
        <v>10</v>
      </c>
      <c r="X146" s="657" t="s">
        <v>1472</v>
      </c>
      <c r="Y146" s="657" t="s">
        <v>1448</v>
      </c>
      <c r="Z146" s="752" t="s">
        <v>1246</v>
      </c>
      <c r="AA146" s="753"/>
      <c r="AB146" s="753"/>
      <c r="AC146" s="753"/>
      <c r="AD146" s="753"/>
      <c r="AE146" s="753"/>
      <c r="AF146" s="753"/>
      <c r="AG146" s="753"/>
      <c r="AH146" s="753"/>
      <c r="AI146" s="753"/>
      <c r="AJ146" s="753"/>
      <c r="AK146" s="753"/>
      <c r="AL146" s="753"/>
      <c r="AM146" s="753"/>
      <c r="AN146" s="753"/>
      <c r="AO146" s="753"/>
      <c r="AP146" s="753"/>
      <c r="AQ146" s="753"/>
      <c r="AR146" s="753"/>
      <c r="AS146" s="753"/>
      <c r="AT146" s="753"/>
      <c r="AU146" s="753"/>
      <c r="AV146" s="753"/>
      <c r="AW146" s="753"/>
      <c r="AX146" s="753"/>
      <c r="AY146" s="753"/>
      <c r="AZ146" s="753"/>
      <c r="BA146" s="753"/>
      <c r="BB146" s="753"/>
    </row>
    <row r="147" spans="1:54" ht="15.75" customHeight="1">
      <c r="A147" s="649">
        <v>2</v>
      </c>
      <c r="B147" s="650" t="s">
        <v>1247</v>
      </c>
      <c r="C147" s="650" t="s">
        <v>1244</v>
      </c>
      <c r="D147" s="650" t="s">
        <v>1247</v>
      </c>
      <c r="E147" s="650" t="s">
        <v>1247</v>
      </c>
      <c r="F147" s="650" t="e">
        <v>#N/A</v>
      </c>
      <c r="G147" s="650" t="s">
        <v>1245</v>
      </c>
      <c r="H147" s="649" t="s">
        <v>1073</v>
      </c>
      <c r="I147" s="651" t="s">
        <v>1074</v>
      </c>
      <c r="J147" s="651" t="str">
        <f>VLOOKUP(D147,[5]Sheet1!$D$1:$D$65536,1,0)</f>
        <v>RK73H1HTTC2492F</v>
      </c>
      <c r="K147" s="649" t="s">
        <v>28</v>
      </c>
      <c r="L147" s="649"/>
      <c r="M147" s="649"/>
      <c r="N147" s="650" t="s">
        <v>292</v>
      </c>
      <c r="O147" s="650">
        <v>1.5139999999999999E-3</v>
      </c>
      <c r="P147" s="652"/>
      <c r="Q147" s="652"/>
      <c r="R147" s="652">
        <f t="shared" si="15"/>
        <v>1.5669899999999999E-3</v>
      </c>
      <c r="S147" s="652">
        <f t="shared" si="14"/>
        <v>1.5669899999999999E-3</v>
      </c>
      <c r="T147" s="652"/>
      <c r="U147" s="650" t="s">
        <v>1443</v>
      </c>
      <c r="V147" s="650"/>
      <c r="W147" s="650"/>
      <c r="X147" s="653"/>
      <c r="Y147" s="653"/>
      <c r="Z147" s="752"/>
    </row>
    <row r="148" spans="1:54" ht="15.75" customHeight="1">
      <c r="A148" s="649">
        <v>2</v>
      </c>
      <c r="B148" s="650" t="s">
        <v>1248</v>
      </c>
      <c r="C148" s="650" t="s">
        <v>1244</v>
      </c>
      <c r="D148" s="650" t="s">
        <v>1248</v>
      </c>
      <c r="E148" s="650" t="s">
        <v>1248</v>
      </c>
      <c r="F148" s="650" t="e">
        <v>#N/A</v>
      </c>
      <c r="G148" s="650" t="s">
        <v>1245</v>
      </c>
      <c r="H148" s="649" t="s">
        <v>1073</v>
      </c>
      <c r="I148" s="651" t="s">
        <v>1074</v>
      </c>
      <c r="J148" s="651" t="str">
        <f>VLOOKUP(D148,[5]Sheet1!$D$1:$D$65536,1,0)</f>
        <v>RMCH06-2492FPA</v>
      </c>
      <c r="K148" s="649" t="s">
        <v>28</v>
      </c>
      <c r="L148" s="649"/>
      <c r="M148" s="649"/>
      <c r="N148" s="650" t="s">
        <v>294</v>
      </c>
      <c r="O148" s="650">
        <v>2.7390000000000001E-3</v>
      </c>
      <c r="P148" s="652"/>
      <c r="Q148" s="652"/>
      <c r="R148" s="652">
        <f t="shared" si="15"/>
        <v>2.8348649999999998E-3</v>
      </c>
      <c r="S148" s="652">
        <f t="shared" si="14"/>
        <v>2.8348649999999998E-3</v>
      </c>
      <c r="T148" s="652"/>
      <c r="U148" s="650" t="s">
        <v>1443</v>
      </c>
      <c r="V148" s="650"/>
      <c r="W148" s="650"/>
      <c r="X148" s="653"/>
      <c r="Y148" s="653"/>
      <c r="Z148" s="752"/>
    </row>
    <row r="149" spans="1:54" ht="15.75" customHeight="1">
      <c r="A149" s="649">
        <v>2</v>
      </c>
      <c r="B149" s="650" t="s">
        <v>1249</v>
      </c>
      <c r="C149" s="650" t="s">
        <v>1244</v>
      </c>
      <c r="D149" s="650" t="s">
        <v>1249</v>
      </c>
      <c r="E149" s="650" t="s">
        <v>1249</v>
      </c>
      <c r="F149" s="650" t="e">
        <v>#N/A</v>
      </c>
      <c r="G149" s="650" t="s">
        <v>1245</v>
      </c>
      <c r="H149" s="649" t="s">
        <v>1073</v>
      </c>
      <c r="I149" s="651" t="s">
        <v>1074</v>
      </c>
      <c r="J149" s="651" t="str">
        <f>VLOOKUP(D149,[5]Sheet1!$D$1:$D$65536,1,0)</f>
        <v>ERJ1GJF2492C</v>
      </c>
      <c r="K149" s="649" t="s">
        <v>28</v>
      </c>
      <c r="L149" s="649"/>
      <c r="M149" s="670"/>
      <c r="N149" s="650" t="s">
        <v>289</v>
      </c>
      <c r="O149" s="650"/>
      <c r="P149" s="652"/>
      <c r="Q149" s="652"/>
      <c r="R149" s="652">
        <f t="shared" si="15"/>
        <v>0</v>
      </c>
      <c r="S149" s="652">
        <f t="shared" si="14"/>
        <v>0</v>
      </c>
      <c r="T149" s="652"/>
      <c r="U149" s="650"/>
      <c r="V149" s="650"/>
      <c r="W149" s="650"/>
      <c r="X149" s="653"/>
      <c r="Y149" s="653"/>
      <c r="Z149" s="752"/>
    </row>
    <row r="150" spans="1:54" s="668" customFormat="1" ht="15.75" customHeight="1">
      <c r="A150" s="662">
        <v>2</v>
      </c>
      <c r="B150" s="663" t="s">
        <v>1250</v>
      </c>
      <c r="C150" s="663" t="s">
        <v>1251</v>
      </c>
      <c r="D150" s="664" t="s">
        <v>1404</v>
      </c>
      <c r="E150" s="679" t="s">
        <v>1250</v>
      </c>
      <c r="F150" s="679" t="e">
        <v>#N/A</v>
      </c>
      <c r="G150" s="679" t="s">
        <v>1252</v>
      </c>
      <c r="H150" s="680" t="s">
        <v>1073</v>
      </c>
      <c r="I150" s="681" t="s">
        <v>1074</v>
      </c>
      <c r="J150" s="651" t="str">
        <f>VLOOKUP(D150,[5]Sheet1!$D$1:$D$65536,1,0)</f>
        <v>ERJ-2BWFR100X</v>
      </c>
      <c r="K150" s="662" t="s">
        <v>28</v>
      </c>
      <c r="L150" s="662">
        <v>1</v>
      </c>
      <c r="M150" s="662">
        <v>1</v>
      </c>
      <c r="N150" s="663" t="s">
        <v>289</v>
      </c>
      <c r="O150" s="650">
        <v>0.05</v>
      </c>
      <c r="P150" s="663"/>
      <c r="Q150" s="663"/>
      <c r="R150" s="652">
        <f t="shared" si="15"/>
        <v>5.1749999999999997E-2</v>
      </c>
      <c r="S150" s="652">
        <f t="shared" si="14"/>
        <v>0</v>
      </c>
      <c r="T150" s="655">
        <f>R150*M150</f>
        <v>5.1749999999999997E-2</v>
      </c>
      <c r="U150" s="664" t="s">
        <v>1474</v>
      </c>
      <c r="V150" s="663">
        <v>10000</v>
      </c>
      <c r="W150" s="666">
        <v>16</v>
      </c>
      <c r="X150" s="667" t="s">
        <v>1466</v>
      </c>
      <c r="Y150" s="667" t="s">
        <v>1453</v>
      </c>
      <c r="Z150" s="752" t="s">
        <v>1253</v>
      </c>
      <c r="AA150" s="753"/>
      <c r="AB150" s="753"/>
      <c r="AC150" s="753"/>
      <c r="AD150" s="753"/>
      <c r="AE150" s="753"/>
      <c r="AF150" s="753"/>
      <c r="AG150" s="753"/>
      <c r="AH150" s="753"/>
      <c r="AI150" s="753"/>
      <c r="AJ150" s="753"/>
      <c r="AK150" s="753"/>
      <c r="AL150" s="753"/>
      <c r="AM150" s="753"/>
      <c r="AN150" s="753"/>
      <c r="AO150" s="753"/>
      <c r="AP150" s="753"/>
      <c r="AQ150" s="753"/>
      <c r="AR150" s="753"/>
      <c r="AS150" s="753"/>
      <c r="AT150" s="753"/>
      <c r="AU150" s="753"/>
      <c r="AV150" s="753"/>
      <c r="AW150" s="753"/>
      <c r="AX150" s="753"/>
      <c r="AY150" s="753"/>
      <c r="AZ150" s="753"/>
      <c r="BA150" s="753"/>
      <c r="BB150" s="753"/>
    </row>
    <row r="151" spans="1:54" ht="15.5" customHeight="1">
      <c r="A151" s="649">
        <v>2</v>
      </c>
      <c r="B151" s="650" t="s">
        <v>1254</v>
      </c>
      <c r="C151" s="650" t="s">
        <v>1255</v>
      </c>
      <c r="D151" s="650" t="s">
        <v>1254</v>
      </c>
      <c r="E151" s="650" t="s">
        <v>1254</v>
      </c>
      <c r="F151" s="650" t="e">
        <v>#N/A</v>
      </c>
      <c r="G151" s="650" t="s">
        <v>1256</v>
      </c>
      <c r="H151" s="649" t="s">
        <v>1073</v>
      </c>
      <c r="I151" s="651" t="s">
        <v>1074</v>
      </c>
      <c r="J151" s="651" t="str">
        <f>VLOOKUP(D151,[5]Sheet1!$D$1:$D$65536,1,0)</f>
        <v>CRCW040233K0FKED</v>
      </c>
      <c r="K151" s="649" t="s">
        <v>28</v>
      </c>
      <c r="L151" s="649">
        <v>1</v>
      </c>
      <c r="M151" s="649"/>
      <c r="N151" s="650" t="s">
        <v>368</v>
      </c>
      <c r="O151" s="650">
        <v>8.3299999999999997E-4</v>
      </c>
      <c r="P151" s="652"/>
      <c r="Q151" s="652"/>
      <c r="R151" s="652">
        <f t="shared" si="15"/>
        <v>8.6215499999999987E-4</v>
      </c>
      <c r="S151" s="652">
        <f t="shared" si="14"/>
        <v>5.1025499999999982E-4</v>
      </c>
      <c r="T151" s="652"/>
      <c r="U151" s="650" t="s">
        <v>1443</v>
      </c>
      <c r="V151" s="650"/>
      <c r="W151" s="650"/>
      <c r="X151" s="653"/>
      <c r="Y151" s="653"/>
      <c r="Z151" s="752" t="s">
        <v>1257</v>
      </c>
    </row>
    <row r="152" spans="1:54" s="658" customFormat="1" ht="15.75" customHeight="1">
      <c r="A152" s="654">
        <v>2</v>
      </c>
      <c r="B152" s="655" t="s">
        <v>1258</v>
      </c>
      <c r="C152" s="655" t="s">
        <v>1255</v>
      </c>
      <c r="D152" s="655" t="s">
        <v>1258</v>
      </c>
      <c r="E152" s="655" t="s">
        <v>1258</v>
      </c>
      <c r="F152" s="659" t="e">
        <v>#N/A</v>
      </c>
      <c r="G152" s="659" t="s">
        <v>1256</v>
      </c>
      <c r="H152" s="660" t="s">
        <v>1073</v>
      </c>
      <c r="I152" s="661" t="s">
        <v>1074</v>
      </c>
      <c r="J152" s="651" t="str">
        <f>VLOOKUP(D152,[5]Sheet1!$D$1:$D$65536,1,0)</f>
        <v>AC0402FR-0733KL</v>
      </c>
      <c r="K152" s="654" t="s">
        <v>28</v>
      </c>
      <c r="L152" s="654"/>
      <c r="M152" s="654">
        <v>1</v>
      </c>
      <c r="N152" s="655" t="s">
        <v>296</v>
      </c>
      <c r="O152" s="650">
        <v>3.4000000000000002E-4</v>
      </c>
      <c r="P152" s="655">
        <f>VLOOKUP(D152,'EEBOM Feb.2nd2026'!$D:$N,11,0)</f>
        <v>3.4000000000000002E-4</v>
      </c>
      <c r="Q152" s="655">
        <f>O152-P152</f>
        <v>0</v>
      </c>
      <c r="R152" s="652">
        <f t="shared" si="15"/>
        <v>3.5189999999999999E-4</v>
      </c>
      <c r="S152" s="652">
        <f t="shared" si="14"/>
        <v>0</v>
      </c>
      <c r="T152" s="655">
        <f>R152*M152</f>
        <v>3.5189999999999999E-4</v>
      </c>
      <c r="U152" s="655" t="s">
        <v>1470</v>
      </c>
      <c r="V152" s="655">
        <v>10000</v>
      </c>
      <c r="W152" s="655">
        <v>10</v>
      </c>
      <c r="X152" s="657" t="s">
        <v>1472</v>
      </c>
      <c r="Y152" s="657" t="s">
        <v>1448</v>
      </c>
      <c r="Z152" s="752"/>
      <c r="AA152" s="753"/>
      <c r="AB152" s="753"/>
      <c r="AC152" s="753"/>
      <c r="AD152" s="753"/>
      <c r="AE152" s="753"/>
      <c r="AF152" s="753"/>
      <c r="AG152" s="753"/>
      <c r="AH152" s="753"/>
      <c r="AI152" s="753"/>
      <c r="AJ152" s="753"/>
      <c r="AK152" s="753"/>
      <c r="AL152" s="753"/>
      <c r="AM152" s="753"/>
      <c r="AN152" s="753"/>
      <c r="AO152" s="753"/>
      <c r="AP152" s="753"/>
      <c r="AQ152" s="753"/>
      <c r="AR152" s="753"/>
      <c r="AS152" s="753"/>
      <c r="AT152" s="753"/>
      <c r="AU152" s="753"/>
      <c r="AV152" s="753"/>
      <c r="AW152" s="753"/>
      <c r="AX152" s="753"/>
      <c r="AY152" s="753"/>
      <c r="AZ152" s="753"/>
      <c r="BA152" s="753"/>
      <c r="BB152" s="753"/>
    </row>
    <row r="153" spans="1:54" ht="15.75" customHeight="1">
      <c r="A153" s="649">
        <v>2</v>
      </c>
      <c r="B153" s="650" t="s">
        <v>1259</v>
      </c>
      <c r="C153" s="650" t="s">
        <v>1255</v>
      </c>
      <c r="D153" s="650" t="s">
        <v>1259</v>
      </c>
      <c r="E153" s="650" t="s">
        <v>1259</v>
      </c>
      <c r="F153" s="650" t="e">
        <v>#N/A</v>
      </c>
      <c r="G153" s="650" t="s">
        <v>1256</v>
      </c>
      <c r="H153" s="649" t="s">
        <v>1073</v>
      </c>
      <c r="I153" s="651" t="s">
        <v>1074</v>
      </c>
      <c r="J153" s="651" t="str">
        <f>VLOOKUP(D153,[5]Sheet1!$D$1:$D$65536,1,0)</f>
        <v>RMCH10K333FTH</v>
      </c>
      <c r="K153" s="649" t="s">
        <v>28</v>
      </c>
      <c r="L153" s="649"/>
      <c r="M153" s="649"/>
      <c r="N153" s="650" t="s">
        <v>294</v>
      </c>
      <c r="O153" s="650">
        <v>2.2669999999999999E-3</v>
      </c>
      <c r="P153" s="652"/>
      <c r="Q153" s="652"/>
      <c r="R153" s="652">
        <f t="shared" si="15"/>
        <v>2.3463449999999997E-3</v>
      </c>
      <c r="S153" s="652">
        <f t="shared" si="14"/>
        <v>1.9944449999999996E-3</v>
      </c>
      <c r="T153" s="652"/>
      <c r="U153" s="650" t="s">
        <v>1443</v>
      </c>
      <c r="V153" s="650"/>
      <c r="W153" s="650"/>
      <c r="X153" s="653"/>
      <c r="Y153" s="653"/>
      <c r="Z153" s="752"/>
    </row>
    <row r="154" spans="1:54" ht="15.75" customHeight="1">
      <c r="A154" s="649">
        <v>2</v>
      </c>
      <c r="B154" s="650" t="s">
        <v>1260</v>
      </c>
      <c r="C154" s="650" t="s">
        <v>1255</v>
      </c>
      <c r="D154" s="650" t="s">
        <v>1260</v>
      </c>
      <c r="E154" s="650" t="s">
        <v>1260</v>
      </c>
      <c r="F154" s="650" t="e">
        <v>#N/A</v>
      </c>
      <c r="G154" s="650" t="s">
        <v>1256</v>
      </c>
      <c r="H154" s="649" t="s">
        <v>1073</v>
      </c>
      <c r="I154" s="651" t="s">
        <v>1074</v>
      </c>
      <c r="J154" s="651" t="str">
        <f>VLOOKUP(D154,[5]Sheet1!$D$1:$D$65536,1,0)</f>
        <v>RK73H1ETTP3302F</v>
      </c>
      <c r="K154" s="649" t="s">
        <v>28</v>
      </c>
      <c r="L154" s="649"/>
      <c r="M154" s="649"/>
      <c r="N154" s="650" t="s">
        <v>292</v>
      </c>
      <c r="O154" s="650">
        <v>1.047E-3</v>
      </c>
      <c r="P154" s="652"/>
      <c r="Q154" s="652"/>
      <c r="R154" s="652">
        <f t="shared" si="15"/>
        <v>1.0836449999999998E-3</v>
      </c>
      <c r="S154" s="652">
        <f t="shared" si="14"/>
        <v>7.3174499999999979E-4</v>
      </c>
      <c r="T154" s="652"/>
      <c r="U154" s="650" t="s">
        <v>1443</v>
      </c>
      <c r="V154" s="650"/>
      <c r="W154" s="650"/>
      <c r="X154" s="653"/>
      <c r="Y154" s="653"/>
      <c r="Z154" s="752"/>
    </row>
    <row r="155" spans="1:54" ht="15.75" customHeight="1">
      <c r="A155" s="649">
        <v>2</v>
      </c>
      <c r="B155" s="650" t="s">
        <v>1261</v>
      </c>
      <c r="C155" s="650" t="s">
        <v>1262</v>
      </c>
      <c r="D155" s="650" t="s">
        <v>1261</v>
      </c>
      <c r="E155" s="650" t="s">
        <v>1261</v>
      </c>
      <c r="F155" s="650" t="e">
        <v>#N/A</v>
      </c>
      <c r="G155" s="650" t="s">
        <v>1263</v>
      </c>
      <c r="H155" s="649" t="s">
        <v>1073</v>
      </c>
      <c r="I155" s="651" t="s">
        <v>1074</v>
      </c>
      <c r="J155" s="651" t="str">
        <f>VLOOKUP(D155,[5]Sheet1!$D$1:$D$65536,1,0)</f>
        <v>CRCW0603100KFKEA</v>
      </c>
      <c r="K155" s="649" t="s">
        <v>28</v>
      </c>
      <c r="L155" s="649">
        <v>3</v>
      </c>
      <c r="M155" s="649"/>
      <c r="N155" s="650" t="s">
        <v>368</v>
      </c>
      <c r="O155" s="650">
        <v>9.5600000000000004E-4</v>
      </c>
      <c r="P155" s="652"/>
      <c r="Q155" s="652"/>
      <c r="R155" s="652">
        <f t="shared" si="15"/>
        <v>9.8945999999999995E-4</v>
      </c>
      <c r="S155" s="652">
        <f t="shared" si="14"/>
        <v>3.0635999999999999E-4</v>
      </c>
      <c r="T155" s="652"/>
      <c r="U155" s="650" t="s">
        <v>1443</v>
      </c>
      <c r="V155" s="650"/>
      <c r="W155" s="650"/>
      <c r="X155" s="653"/>
      <c r="Y155" s="653"/>
      <c r="Z155" s="752" t="s">
        <v>1264</v>
      </c>
    </row>
    <row r="156" spans="1:54" s="658" customFormat="1" ht="15.75" customHeight="1">
      <c r="A156" s="654">
        <v>2</v>
      </c>
      <c r="B156" s="655" t="s">
        <v>1265</v>
      </c>
      <c r="C156" s="655" t="s">
        <v>1262</v>
      </c>
      <c r="D156" s="655" t="s">
        <v>1265</v>
      </c>
      <c r="E156" s="655" t="s">
        <v>1265</v>
      </c>
      <c r="F156" s="659" t="e">
        <v>#N/A</v>
      </c>
      <c r="G156" s="659" t="s">
        <v>1263</v>
      </c>
      <c r="H156" s="660" t="s">
        <v>1073</v>
      </c>
      <c r="I156" s="661" t="s">
        <v>1074</v>
      </c>
      <c r="J156" s="651" t="str">
        <f>VLOOKUP(D156,[5]Sheet1!$D$1:$D$65536,1,0)</f>
        <v>AC0603FR-07100KL</v>
      </c>
      <c r="K156" s="654" t="s">
        <v>28</v>
      </c>
      <c r="L156" s="654"/>
      <c r="M156" s="654">
        <v>3</v>
      </c>
      <c r="N156" s="655" t="s">
        <v>296</v>
      </c>
      <c r="O156" s="650">
        <v>6.6E-4</v>
      </c>
      <c r="P156" s="655">
        <f>VLOOKUP(D156,'EEBOM Feb.2nd2026'!$D:$N,11,0)</f>
        <v>6.6E-4</v>
      </c>
      <c r="Q156" s="655">
        <f>O156-P156</f>
        <v>0</v>
      </c>
      <c r="R156" s="652">
        <f t="shared" si="15"/>
        <v>6.8309999999999996E-4</v>
      </c>
      <c r="S156" s="652">
        <f t="shared" si="14"/>
        <v>0</v>
      </c>
      <c r="T156" s="655">
        <f>R156*M156</f>
        <v>2.0493E-3</v>
      </c>
      <c r="U156" s="655" t="s">
        <v>1470</v>
      </c>
      <c r="V156" s="655">
        <v>5000</v>
      </c>
      <c r="W156" s="655">
        <v>10</v>
      </c>
      <c r="X156" s="657" t="s">
        <v>1472</v>
      </c>
      <c r="Y156" s="657" t="s">
        <v>1448</v>
      </c>
      <c r="Z156" s="752"/>
      <c r="AA156" s="753"/>
      <c r="AB156" s="753"/>
      <c r="AC156" s="753"/>
      <c r="AD156" s="753"/>
      <c r="AE156" s="753"/>
      <c r="AF156" s="753"/>
      <c r="AG156" s="753"/>
      <c r="AH156" s="753"/>
      <c r="AI156" s="753"/>
      <c r="AJ156" s="753"/>
      <c r="AK156" s="753"/>
      <c r="AL156" s="753"/>
      <c r="AM156" s="753"/>
      <c r="AN156" s="753"/>
      <c r="AO156" s="753"/>
      <c r="AP156" s="753"/>
      <c r="AQ156" s="753"/>
      <c r="AR156" s="753"/>
      <c r="AS156" s="753"/>
      <c r="AT156" s="753"/>
      <c r="AU156" s="753"/>
      <c r="AV156" s="753"/>
      <c r="AW156" s="753"/>
      <c r="AX156" s="753"/>
      <c r="AY156" s="753"/>
      <c r="AZ156" s="753"/>
      <c r="BA156" s="753"/>
      <c r="BB156" s="753"/>
    </row>
    <row r="157" spans="1:54" ht="15.75" customHeight="1">
      <c r="A157" s="649">
        <v>2</v>
      </c>
      <c r="B157" s="650" t="s">
        <v>1266</v>
      </c>
      <c r="C157" s="650" t="s">
        <v>1262</v>
      </c>
      <c r="D157" s="650" t="s">
        <v>1266</v>
      </c>
      <c r="E157" s="650" t="s">
        <v>1266</v>
      </c>
      <c r="F157" s="650" t="e">
        <v>#N/A</v>
      </c>
      <c r="G157" s="650" t="s">
        <v>1263</v>
      </c>
      <c r="H157" s="649" t="s">
        <v>1073</v>
      </c>
      <c r="I157" s="651" t="s">
        <v>1074</v>
      </c>
      <c r="J157" s="651" t="str">
        <f>VLOOKUP(D157,[5]Sheet1!$D$1:$D$65536,1,0)</f>
        <v>RMCH16K104FTP</v>
      </c>
      <c r="K157" s="649" t="s">
        <v>28</v>
      </c>
      <c r="L157" s="649"/>
      <c r="M157" s="649"/>
      <c r="N157" s="650" t="s">
        <v>294</v>
      </c>
      <c r="O157" s="650">
        <v>1.8890000000000001E-3</v>
      </c>
      <c r="P157" s="652"/>
      <c r="Q157" s="652"/>
      <c r="R157" s="652">
        <f t="shared" si="15"/>
        <v>1.9551149999999999E-3</v>
      </c>
      <c r="S157" s="652">
        <f t="shared" si="14"/>
        <v>1.272015E-3</v>
      </c>
      <c r="T157" s="652"/>
      <c r="U157" s="650" t="s">
        <v>1443</v>
      </c>
      <c r="V157" s="650"/>
      <c r="W157" s="650"/>
      <c r="X157" s="653"/>
      <c r="Y157" s="653"/>
      <c r="Z157" s="752"/>
    </row>
    <row r="158" spans="1:54" ht="15.75" customHeight="1">
      <c r="A158" s="649">
        <v>2</v>
      </c>
      <c r="B158" s="650" t="s">
        <v>1267</v>
      </c>
      <c r="C158" s="650" t="s">
        <v>1262</v>
      </c>
      <c r="D158" s="650" t="s">
        <v>1267</v>
      </c>
      <c r="E158" s="650" t="s">
        <v>1267</v>
      </c>
      <c r="F158" s="650" t="e">
        <v>#N/A</v>
      </c>
      <c r="G158" s="650" t="s">
        <v>1263</v>
      </c>
      <c r="H158" s="649" t="s">
        <v>1073</v>
      </c>
      <c r="I158" s="651" t="s">
        <v>1074</v>
      </c>
      <c r="J158" s="651" t="str">
        <f>VLOOKUP(D158,[5]Sheet1!$D$1:$D$65536,1,0)</f>
        <v>RK73H1JTTD1003F</v>
      </c>
      <c r="K158" s="649" t="s">
        <v>28</v>
      </c>
      <c r="L158" s="649"/>
      <c r="M158" s="649"/>
      <c r="N158" s="650" t="s">
        <v>292</v>
      </c>
      <c r="O158" s="650">
        <v>1.5139999999999999E-3</v>
      </c>
      <c r="P158" s="652"/>
      <c r="Q158" s="652"/>
      <c r="R158" s="652">
        <f t="shared" si="15"/>
        <v>1.5669899999999999E-3</v>
      </c>
      <c r="S158" s="652">
        <f t="shared" si="14"/>
        <v>8.8388999999999991E-4</v>
      </c>
      <c r="T158" s="652"/>
      <c r="U158" s="650" t="s">
        <v>1443</v>
      </c>
      <c r="V158" s="650"/>
      <c r="W158" s="650"/>
      <c r="X158" s="653"/>
      <c r="Y158" s="653"/>
      <c r="Z158" s="752"/>
    </row>
    <row r="159" spans="1:54" s="658" customFormat="1" ht="15.75" customHeight="1">
      <c r="A159" s="654">
        <v>2</v>
      </c>
      <c r="B159" s="655" t="s">
        <v>1268</v>
      </c>
      <c r="C159" s="655" t="s">
        <v>1269</v>
      </c>
      <c r="D159" s="655" t="s">
        <v>1268</v>
      </c>
      <c r="E159" s="655" t="s">
        <v>1268</v>
      </c>
      <c r="F159" s="659" t="e">
        <v>#N/A</v>
      </c>
      <c r="G159" s="659" t="s">
        <v>1270</v>
      </c>
      <c r="H159" s="660" t="s">
        <v>1073</v>
      </c>
      <c r="I159" s="661" t="s">
        <v>1074</v>
      </c>
      <c r="J159" s="651" t="str">
        <f>VLOOKUP(D159,[5]Sheet1!$D$1:$D$65536,1,0)</f>
        <v>CRCW04024K99FKED</v>
      </c>
      <c r="K159" s="654" t="s">
        <v>28</v>
      </c>
      <c r="L159" s="654">
        <v>1</v>
      </c>
      <c r="M159" s="654">
        <v>1</v>
      </c>
      <c r="N159" s="655" t="s">
        <v>368</v>
      </c>
      <c r="O159" s="650">
        <v>8.3000000000000001E-4</v>
      </c>
      <c r="P159" s="655">
        <f>VLOOKUP(D159,'EEBOM Feb.2nd2026'!$D:$N,11,0)</f>
        <v>8.3000000000000001E-4</v>
      </c>
      <c r="Q159" s="655">
        <f>O159-P159</f>
        <v>0</v>
      </c>
      <c r="R159" s="652">
        <f t="shared" si="15"/>
        <v>8.5904999999999998E-4</v>
      </c>
      <c r="S159" s="652">
        <f t="shared" si="14"/>
        <v>8.5904999999999998E-4</v>
      </c>
      <c r="T159" s="655">
        <f>R159*M159</f>
        <v>8.5904999999999998E-4</v>
      </c>
      <c r="U159" s="655" t="s">
        <v>1443</v>
      </c>
      <c r="V159" s="655">
        <v>10000</v>
      </c>
      <c r="W159" s="655">
        <v>18</v>
      </c>
      <c r="X159" s="657" t="s">
        <v>1454</v>
      </c>
      <c r="Y159" s="657" t="s">
        <v>1448</v>
      </c>
      <c r="Z159" s="752" t="s">
        <v>1271</v>
      </c>
      <c r="AA159" s="753"/>
      <c r="AB159" s="753"/>
      <c r="AC159" s="753"/>
      <c r="AD159" s="753"/>
      <c r="AE159" s="753"/>
      <c r="AF159" s="753"/>
      <c r="AG159" s="753"/>
      <c r="AH159" s="753"/>
      <c r="AI159" s="753"/>
      <c r="AJ159" s="753"/>
      <c r="AK159" s="753"/>
      <c r="AL159" s="753"/>
      <c r="AM159" s="753"/>
      <c r="AN159" s="753"/>
      <c r="AO159" s="753"/>
      <c r="AP159" s="753"/>
      <c r="AQ159" s="753"/>
      <c r="AR159" s="753"/>
      <c r="AS159" s="753"/>
      <c r="AT159" s="753"/>
      <c r="AU159" s="753"/>
      <c r="AV159" s="753"/>
      <c r="AW159" s="753"/>
      <c r="AX159" s="753"/>
      <c r="AY159" s="753"/>
      <c r="AZ159" s="753"/>
      <c r="BA159" s="753"/>
      <c r="BB159" s="753"/>
    </row>
    <row r="160" spans="1:54" ht="15.75" customHeight="1">
      <c r="A160" s="649">
        <v>2</v>
      </c>
      <c r="B160" s="650" t="s">
        <v>1272</v>
      </c>
      <c r="C160" s="650" t="s">
        <v>1269</v>
      </c>
      <c r="D160" s="650" t="s">
        <v>1272</v>
      </c>
      <c r="E160" s="650" t="s">
        <v>1272</v>
      </c>
      <c r="F160" s="650" t="e">
        <v>#N/A</v>
      </c>
      <c r="G160" s="650" t="s">
        <v>1270</v>
      </c>
      <c r="H160" s="649" t="s">
        <v>1073</v>
      </c>
      <c r="I160" s="651" t="s">
        <v>1074</v>
      </c>
      <c r="J160" s="651" t="str">
        <f>VLOOKUP(D160,[5]Sheet1!$D$1:$D$65536,1,0)</f>
        <v>RMCH10K4991FTH</v>
      </c>
      <c r="K160" s="649" t="s">
        <v>28</v>
      </c>
      <c r="L160" s="649"/>
      <c r="M160" s="649"/>
      <c r="N160" s="650" t="s">
        <v>294</v>
      </c>
      <c r="O160" s="650">
        <v>2.2669999999999999E-3</v>
      </c>
      <c r="P160" s="652"/>
      <c r="Q160" s="652"/>
      <c r="R160" s="652">
        <f t="shared" si="15"/>
        <v>2.3463449999999997E-3</v>
      </c>
      <c r="S160" s="652">
        <f t="shared" si="14"/>
        <v>2.3463449999999997E-3</v>
      </c>
      <c r="T160" s="652"/>
      <c r="U160" s="650" t="s">
        <v>1443</v>
      </c>
      <c r="V160" s="650"/>
      <c r="W160" s="650"/>
      <c r="X160" s="653"/>
      <c r="Y160" s="653"/>
      <c r="Z160" s="752"/>
    </row>
    <row r="161" spans="1:54" ht="15.75" customHeight="1">
      <c r="A161" s="649">
        <v>2</v>
      </c>
      <c r="B161" s="650" t="s">
        <v>1273</v>
      </c>
      <c r="C161" s="650" t="s">
        <v>1269</v>
      </c>
      <c r="D161" s="650" t="s">
        <v>1273</v>
      </c>
      <c r="E161" s="650" t="s">
        <v>1273</v>
      </c>
      <c r="F161" s="650" t="e">
        <v>#N/A</v>
      </c>
      <c r="G161" s="650" t="s">
        <v>1270</v>
      </c>
      <c r="H161" s="649" t="s">
        <v>1073</v>
      </c>
      <c r="I161" s="651" t="s">
        <v>1074</v>
      </c>
      <c r="J161" s="651" t="str">
        <f>VLOOKUP(D161,[5]Sheet1!$D$1:$D$65536,1,0)</f>
        <v>RK73H1ETTP4991F</v>
      </c>
      <c r="K161" s="649" t="s">
        <v>28</v>
      </c>
      <c r="L161" s="649"/>
      <c r="M161" s="649"/>
      <c r="N161" s="650" t="s">
        <v>292</v>
      </c>
      <c r="O161" s="650">
        <v>1.047E-3</v>
      </c>
      <c r="P161" s="652"/>
      <c r="Q161" s="652"/>
      <c r="R161" s="652">
        <f t="shared" si="15"/>
        <v>1.0836449999999998E-3</v>
      </c>
      <c r="S161" s="652">
        <f t="shared" si="14"/>
        <v>1.0836449999999998E-3</v>
      </c>
      <c r="T161" s="652"/>
      <c r="U161" s="650" t="s">
        <v>1443</v>
      </c>
      <c r="V161" s="650"/>
      <c r="W161" s="650"/>
      <c r="X161" s="653"/>
      <c r="Y161" s="653"/>
      <c r="Z161" s="752"/>
    </row>
    <row r="162" spans="1:54" ht="15.75" customHeight="1">
      <c r="A162" s="649">
        <v>2</v>
      </c>
      <c r="B162" s="650" t="s">
        <v>1556</v>
      </c>
      <c r="C162" s="650" t="s">
        <v>1269</v>
      </c>
      <c r="D162" s="650" t="s">
        <v>1556</v>
      </c>
      <c r="E162" s="650"/>
      <c r="F162" s="650"/>
      <c r="G162" s="650" t="s">
        <v>1270</v>
      </c>
      <c r="H162" s="649" t="s">
        <v>1073</v>
      </c>
      <c r="I162" s="651" t="s">
        <v>1074</v>
      </c>
      <c r="J162" s="651"/>
      <c r="K162" s="649" t="s">
        <v>28</v>
      </c>
      <c r="L162" s="676">
        <v>1</v>
      </c>
      <c r="M162" s="649"/>
      <c r="N162" s="650" t="s">
        <v>289</v>
      </c>
      <c r="O162" s="675">
        <f>VLOOKUP(D162,[7]Sheet3!$C$2:$G$13,5,0)</f>
        <v>2.7799999999999999E-3</v>
      </c>
      <c r="P162" s="652"/>
      <c r="Q162" s="652"/>
      <c r="R162" s="772">
        <f>O162*1.035</f>
        <v>2.8772999999999997E-3</v>
      </c>
      <c r="S162" s="772">
        <f>R162*L162</f>
        <v>2.8772999999999997E-3</v>
      </c>
      <c r="T162" s="652"/>
      <c r="U162" s="650"/>
      <c r="V162" s="650"/>
      <c r="W162" s="650"/>
      <c r="X162" s="653"/>
      <c r="Y162" s="653"/>
      <c r="Z162" s="752"/>
      <c r="AA162" s="753" t="s">
        <v>1558</v>
      </c>
      <c r="AB162" s="765" t="s">
        <v>1559</v>
      </c>
    </row>
    <row r="163" spans="1:54" ht="15.75" customHeight="1">
      <c r="A163" s="688">
        <v>2</v>
      </c>
      <c r="B163" s="689" t="s">
        <v>1274</v>
      </c>
      <c r="C163" s="689" t="s">
        <v>1269</v>
      </c>
      <c r="D163" s="689" t="s">
        <v>1274</v>
      </c>
      <c r="E163" s="689" t="s">
        <v>1274</v>
      </c>
      <c r="F163" s="689" t="e">
        <v>#N/A</v>
      </c>
      <c r="G163" s="689" t="s">
        <v>1270</v>
      </c>
      <c r="H163" s="688" t="s">
        <v>1073</v>
      </c>
      <c r="I163" s="690" t="s">
        <v>1074</v>
      </c>
      <c r="J163" s="755" t="e">
        <f>VLOOKUP(D163,[5]Sheet1!$D$1:$D$65536,1,0)</f>
        <v>#N/A</v>
      </c>
      <c r="K163" s="688" t="s">
        <v>28</v>
      </c>
      <c r="L163" s="688"/>
      <c r="M163" s="688"/>
      <c r="N163" s="689" t="s">
        <v>289</v>
      </c>
      <c r="O163" s="650"/>
      <c r="P163" s="691"/>
      <c r="Q163" s="691"/>
      <c r="R163" s="691">
        <f t="shared" si="15"/>
        <v>0</v>
      </c>
      <c r="S163" s="652">
        <f t="shared" ref="S163:S179" si="18">R163-_xlfn.MINIFS(R:R,C:C,C163)</f>
        <v>0</v>
      </c>
      <c r="T163" s="691"/>
      <c r="U163" s="689"/>
      <c r="V163" s="689"/>
      <c r="W163" s="689"/>
      <c r="X163" s="692" t="s">
        <v>1475</v>
      </c>
      <c r="Y163" s="653"/>
      <c r="Z163" s="752"/>
      <c r="AA163" s="753" t="s">
        <v>1537</v>
      </c>
    </row>
    <row r="164" spans="1:54" ht="15.75" customHeight="1">
      <c r="A164" s="649">
        <v>2</v>
      </c>
      <c r="B164" s="650" t="s">
        <v>366</v>
      </c>
      <c r="C164" s="650" t="s">
        <v>1275</v>
      </c>
      <c r="D164" s="650" t="s">
        <v>367</v>
      </c>
      <c r="E164" s="650" t="s">
        <v>367</v>
      </c>
      <c r="F164" s="650" t="s">
        <v>367</v>
      </c>
      <c r="G164" s="650" t="s">
        <v>1276</v>
      </c>
      <c r="H164" s="649" t="s">
        <v>1073</v>
      </c>
      <c r="I164" s="651" t="s">
        <v>1074</v>
      </c>
      <c r="J164" s="651" t="str">
        <f>VLOOKUP(D164,[5]Sheet1!$D$1:$D$65536,1,0)</f>
        <v>CRCW04020000Z0ED</v>
      </c>
      <c r="K164" s="649" t="s">
        <v>28</v>
      </c>
      <c r="L164" s="649">
        <v>4</v>
      </c>
      <c r="M164" s="649"/>
      <c r="N164" s="650" t="s">
        <v>368</v>
      </c>
      <c r="O164" s="650">
        <v>5.2999999999999998E-4</v>
      </c>
      <c r="P164" s="652"/>
      <c r="Q164" s="652"/>
      <c r="R164" s="652">
        <f t="shared" si="15"/>
        <v>5.4854999999999997E-4</v>
      </c>
      <c r="S164" s="652">
        <f t="shared" si="18"/>
        <v>2.0699999999999999E-4</v>
      </c>
      <c r="T164" s="652"/>
      <c r="U164" s="650" t="s">
        <v>1473</v>
      </c>
      <c r="V164" s="650"/>
      <c r="W164" s="650"/>
      <c r="X164" s="653"/>
      <c r="Y164" s="653"/>
      <c r="Z164" s="752" t="s">
        <v>1277</v>
      </c>
    </row>
    <row r="165" spans="1:54" s="658" customFormat="1" ht="15.75" customHeight="1">
      <c r="A165" s="654">
        <v>2</v>
      </c>
      <c r="B165" s="655" t="s">
        <v>369</v>
      </c>
      <c r="C165" s="655" t="s">
        <v>1275</v>
      </c>
      <c r="D165" s="655" t="s">
        <v>370</v>
      </c>
      <c r="E165" s="655" t="s">
        <v>370</v>
      </c>
      <c r="F165" s="659" t="s">
        <v>370</v>
      </c>
      <c r="G165" s="659" t="s">
        <v>1276</v>
      </c>
      <c r="H165" s="660" t="s">
        <v>1073</v>
      </c>
      <c r="I165" s="661" t="s">
        <v>1074</v>
      </c>
      <c r="J165" s="651" t="str">
        <f>VLOOKUP(D165,[5]Sheet1!$D$1:$D$65536,1,0)</f>
        <v>AC0402JR-070RL</v>
      </c>
      <c r="K165" s="654" t="s">
        <v>28</v>
      </c>
      <c r="L165" s="654"/>
      <c r="M165" s="654">
        <v>4</v>
      </c>
      <c r="N165" s="655" t="s">
        <v>296</v>
      </c>
      <c r="O165" s="650">
        <v>3.3E-4</v>
      </c>
      <c r="P165" s="655"/>
      <c r="Q165" s="655"/>
      <c r="R165" s="652">
        <f t="shared" si="15"/>
        <v>3.4154999999999998E-4</v>
      </c>
      <c r="S165" s="652">
        <f t="shared" si="18"/>
        <v>0</v>
      </c>
      <c r="T165" s="655">
        <f>R165*M165</f>
        <v>1.3661999999999999E-3</v>
      </c>
      <c r="U165" s="655" t="s">
        <v>1470</v>
      </c>
      <c r="V165" s="655">
        <v>10000</v>
      </c>
      <c r="W165" s="655">
        <v>10</v>
      </c>
      <c r="X165" s="657" t="s">
        <v>1444</v>
      </c>
      <c r="Y165" s="657" t="s">
        <v>1444</v>
      </c>
      <c r="Z165" s="752"/>
      <c r="AA165" s="753"/>
      <c r="AB165" s="753"/>
      <c r="AC165" s="753"/>
      <c r="AD165" s="753"/>
      <c r="AE165" s="753"/>
      <c r="AF165" s="753"/>
      <c r="AG165" s="753"/>
      <c r="AH165" s="753"/>
      <c r="AI165" s="753"/>
      <c r="AJ165" s="753"/>
      <c r="AK165" s="753"/>
      <c r="AL165" s="753"/>
      <c r="AM165" s="753"/>
      <c r="AN165" s="753"/>
      <c r="AO165" s="753"/>
      <c r="AP165" s="753"/>
      <c r="AQ165" s="753"/>
      <c r="AR165" s="753"/>
      <c r="AS165" s="753"/>
      <c r="AT165" s="753"/>
      <c r="AU165" s="753"/>
      <c r="AV165" s="753"/>
      <c r="AW165" s="753"/>
      <c r="AX165" s="753"/>
      <c r="AY165" s="753"/>
      <c r="AZ165" s="753"/>
      <c r="BA165" s="753"/>
      <c r="BB165" s="753"/>
    </row>
    <row r="166" spans="1:54" ht="15.75" customHeight="1">
      <c r="A166" s="649">
        <v>2</v>
      </c>
      <c r="B166" s="650" t="s">
        <v>357</v>
      </c>
      <c r="C166" s="650" t="s">
        <v>1275</v>
      </c>
      <c r="D166" s="650" t="s">
        <v>359</v>
      </c>
      <c r="E166" s="650" t="s">
        <v>359</v>
      </c>
      <c r="F166" s="650" t="s">
        <v>359</v>
      </c>
      <c r="G166" s="650" t="s">
        <v>1276</v>
      </c>
      <c r="H166" s="649" t="s">
        <v>1073</v>
      </c>
      <c r="I166" s="651" t="s">
        <v>1074</v>
      </c>
      <c r="J166" s="651" t="str">
        <f>VLOOKUP(D166,[5]Sheet1!$D$1:$D$65536,1,0)</f>
        <v>RMCH10JPTH</v>
      </c>
      <c r="K166" s="649" t="s">
        <v>28</v>
      </c>
      <c r="L166" s="649"/>
      <c r="M166" s="649"/>
      <c r="N166" s="650" t="s">
        <v>294</v>
      </c>
      <c r="O166" s="650">
        <v>1.1100000000000001E-3</v>
      </c>
      <c r="P166" s="652"/>
      <c r="Q166" s="652"/>
      <c r="R166" s="652">
        <f t="shared" si="15"/>
        <v>1.1488500000000001E-3</v>
      </c>
      <c r="S166" s="652">
        <f t="shared" si="18"/>
        <v>8.0730000000000016E-4</v>
      </c>
      <c r="T166" s="652"/>
      <c r="U166" s="650" t="s">
        <v>1443</v>
      </c>
      <c r="V166" s="650"/>
      <c r="W166" s="650"/>
      <c r="X166" s="653"/>
      <c r="Y166" s="653"/>
      <c r="Z166" s="752"/>
    </row>
    <row r="167" spans="1:54" ht="15.75" customHeight="1">
      <c r="A167" s="649">
        <v>2</v>
      </c>
      <c r="B167" s="650" t="s">
        <v>364</v>
      </c>
      <c r="C167" s="650" t="s">
        <v>1275</v>
      </c>
      <c r="D167" s="650" t="s">
        <v>365</v>
      </c>
      <c r="E167" s="650" t="s">
        <v>365</v>
      </c>
      <c r="F167" s="650" t="s">
        <v>365</v>
      </c>
      <c r="G167" s="650" t="s">
        <v>1276</v>
      </c>
      <c r="H167" s="649" t="s">
        <v>1073</v>
      </c>
      <c r="I167" s="651" t="s">
        <v>1074</v>
      </c>
      <c r="J167" s="651" t="str">
        <f>VLOOKUP(D167,[5]Sheet1!$D$1:$D$65536,1,0)</f>
        <v>RK73Z1ETTP</v>
      </c>
      <c r="K167" s="649" t="s">
        <v>28</v>
      </c>
      <c r="L167" s="649"/>
      <c r="M167" s="649"/>
      <c r="N167" s="650" t="s">
        <v>292</v>
      </c>
      <c r="O167" s="650">
        <v>6.4999999999999997E-4</v>
      </c>
      <c r="P167" s="652"/>
      <c r="Q167" s="652"/>
      <c r="R167" s="652">
        <f t="shared" si="15"/>
        <v>6.7274999999999995E-4</v>
      </c>
      <c r="S167" s="652">
        <f t="shared" si="18"/>
        <v>3.3119999999999997E-4</v>
      </c>
      <c r="T167" s="652"/>
      <c r="U167" s="650" t="s">
        <v>1476</v>
      </c>
      <c r="V167" s="650"/>
      <c r="W167" s="650"/>
      <c r="X167" s="653"/>
      <c r="Y167" s="653"/>
      <c r="Z167" s="752"/>
    </row>
    <row r="168" spans="1:54" ht="15.75" customHeight="1">
      <c r="A168" s="649">
        <v>2</v>
      </c>
      <c r="B168" s="650" t="s">
        <v>362</v>
      </c>
      <c r="C168" s="650" t="s">
        <v>1275</v>
      </c>
      <c r="D168" s="650" t="s">
        <v>363</v>
      </c>
      <c r="E168" s="650" t="s">
        <v>363</v>
      </c>
      <c r="F168" s="650" t="s">
        <v>363</v>
      </c>
      <c r="G168" s="650" t="s">
        <v>1276</v>
      </c>
      <c r="H168" s="649" t="s">
        <v>1073</v>
      </c>
      <c r="I168" s="651" t="s">
        <v>1074</v>
      </c>
      <c r="J168" s="651" t="str">
        <f>VLOOKUP(D168,[5]Sheet1!$D$1:$D$65536,1,0)</f>
        <v>ERJ2GE0R00X</v>
      </c>
      <c r="K168" s="649" t="s">
        <v>28</v>
      </c>
      <c r="L168" s="649"/>
      <c r="M168" s="649"/>
      <c r="N168" s="650" t="s">
        <v>289</v>
      </c>
      <c r="O168" s="650">
        <v>1.98E-3</v>
      </c>
      <c r="P168" s="652"/>
      <c r="Q168" s="652"/>
      <c r="R168" s="652">
        <f t="shared" si="15"/>
        <v>2.0493E-3</v>
      </c>
      <c r="S168" s="652">
        <f t="shared" si="18"/>
        <v>1.7077500000000001E-3</v>
      </c>
      <c r="T168" s="652"/>
      <c r="U168" s="650" t="s">
        <v>1473</v>
      </c>
      <c r="V168" s="650"/>
      <c r="W168" s="650"/>
      <c r="X168" s="653"/>
      <c r="Y168" s="653"/>
      <c r="Z168" s="752"/>
    </row>
    <row r="169" spans="1:54" s="658" customFormat="1" ht="15.75" customHeight="1">
      <c r="A169" s="654">
        <v>2</v>
      </c>
      <c r="B169" s="663" t="s">
        <v>1278</v>
      </c>
      <c r="C169" s="655" t="s">
        <v>1279</v>
      </c>
      <c r="D169" s="655" t="s">
        <v>1280</v>
      </c>
      <c r="E169" s="655" t="s">
        <v>1280</v>
      </c>
      <c r="F169" s="659" t="e">
        <v>#N/A</v>
      </c>
      <c r="G169" s="659" t="s">
        <v>1281</v>
      </c>
      <c r="H169" s="660" t="s">
        <v>1073</v>
      </c>
      <c r="I169" s="661" t="s">
        <v>1074</v>
      </c>
      <c r="J169" s="651" t="str">
        <f>VLOOKUP(D169,[5]Sheet1!$D$1:$D$65536,1,0)</f>
        <v>RMCH06JPPA</v>
      </c>
      <c r="K169" s="654" t="s">
        <v>28</v>
      </c>
      <c r="L169" s="654">
        <v>2</v>
      </c>
      <c r="M169" s="654">
        <v>2</v>
      </c>
      <c r="N169" s="655" t="s">
        <v>294</v>
      </c>
      <c r="O169" s="650">
        <v>6.2E-4</v>
      </c>
      <c r="P169" s="655">
        <f>VLOOKUP(D169,'EEBOM Feb.2nd2026'!$D:$N,11,0)</f>
        <v>1.1329999999999999E-3</v>
      </c>
      <c r="Q169" s="655">
        <f>O169-P169</f>
        <v>-5.1299999999999989E-4</v>
      </c>
      <c r="R169" s="652">
        <f t="shared" si="15"/>
        <v>6.4169999999999993E-4</v>
      </c>
      <c r="S169" s="652">
        <f t="shared" si="18"/>
        <v>6.4169999999999993E-4</v>
      </c>
      <c r="T169" s="655">
        <f>R169*M169</f>
        <v>1.2833999999999999E-3</v>
      </c>
      <c r="U169" s="655" t="s">
        <v>1443</v>
      </c>
      <c r="V169" s="655">
        <v>15000</v>
      </c>
      <c r="W169" s="655">
        <v>16</v>
      </c>
      <c r="X169" s="657" t="s">
        <v>1454</v>
      </c>
      <c r="Y169" s="657" t="s">
        <v>1448</v>
      </c>
      <c r="Z169" s="752" t="s">
        <v>1282</v>
      </c>
      <c r="AA169" s="753"/>
      <c r="AB169" s="753"/>
      <c r="AC169" s="753"/>
      <c r="AD169" s="753"/>
      <c r="AE169" s="753"/>
      <c r="AF169" s="753"/>
      <c r="AG169" s="753"/>
      <c r="AH169" s="753"/>
      <c r="AI169" s="753"/>
      <c r="AJ169" s="753"/>
      <c r="AK169" s="753"/>
      <c r="AL169" s="753"/>
      <c r="AM169" s="753"/>
      <c r="AN169" s="753"/>
      <c r="AO169" s="753"/>
      <c r="AP169" s="753"/>
      <c r="AQ169" s="753"/>
      <c r="AR169" s="753"/>
      <c r="AS169" s="753"/>
      <c r="AT169" s="753"/>
      <c r="AU169" s="753"/>
      <c r="AV169" s="753"/>
      <c r="AW169" s="753"/>
      <c r="AX169" s="753"/>
      <c r="AY169" s="753"/>
      <c r="AZ169" s="753"/>
      <c r="BA169" s="753"/>
      <c r="BB169" s="753"/>
    </row>
    <row r="170" spans="1:54" ht="15.75" customHeight="1">
      <c r="A170" s="649">
        <v>2</v>
      </c>
      <c r="B170" s="650" t="s">
        <v>1283</v>
      </c>
      <c r="C170" s="650" t="s">
        <v>1279</v>
      </c>
      <c r="D170" s="650" t="s">
        <v>1284</v>
      </c>
      <c r="E170" s="650" t="s">
        <v>1285</v>
      </c>
      <c r="F170" s="650" t="e">
        <v>#N/A</v>
      </c>
      <c r="G170" s="650" t="s">
        <v>1281</v>
      </c>
      <c r="H170" s="649" t="s">
        <v>1073</v>
      </c>
      <c r="I170" s="651" t="s">
        <v>1074</v>
      </c>
      <c r="J170" s="651" t="str">
        <f>VLOOKUP(D170,[5]Sheet1!$D$1:$D$65536,1,0)</f>
        <v>RK73Z1HTTC</v>
      </c>
      <c r="K170" s="649" t="s">
        <v>28</v>
      </c>
      <c r="L170" s="649"/>
      <c r="M170" s="670"/>
      <c r="N170" s="650" t="s">
        <v>292</v>
      </c>
      <c r="O170" s="650"/>
      <c r="P170" s="652"/>
      <c r="Q170" s="652"/>
      <c r="R170" s="652">
        <f t="shared" si="15"/>
        <v>0</v>
      </c>
      <c r="S170" s="652">
        <f t="shared" si="18"/>
        <v>0</v>
      </c>
      <c r="T170" s="652"/>
      <c r="U170" s="650"/>
      <c r="V170" s="650"/>
      <c r="W170" s="650"/>
      <c r="X170" s="653"/>
      <c r="Y170" s="653"/>
      <c r="Z170" s="752"/>
    </row>
    <row r="171" spans="1:54" ht="15.75" customHeight="1">
      <c r="A171" s="649">
        <v>2</v>
      </c>
      <c r="B171" s="650" t="s">
        <v>1286</v>
      </c>
      <c r="C171" s="650" t="s">
        <v>1279</v>
      </c>
      <c r="D171" s="650" t="s">
        <v>1286</v>
      </c>
      <c r="E171" s="650" t="s">
        <v>1286</v>
      </c>
      <c r="F171" s="650" t="e">
        <v>#N/A</v>
      </c>
      <c r="G171" s="650" t="s">
        <v>1281</v>
      </c>
      <c r="H171" s="649" t="s">
        <v>1073</v>
      </c>
      <c r="I171" s="651" t="s">
        <v>1074</v>
      </c>
      <c r="J171" s="651" t="str">
        <f>VLOOKUP(D171,[5]Sheet1!$D$1:$D$65536,1,0)</f>
        <v>ERJ1GJ0R00C</v>
      </c>
      <c r="K171" s="649" t="s">
        <v>28</v>
      </c>
      <c r="L171" s="649"/>
      <c r="M171" s="649"/>
      <c r="N171" s="650" t="s">
        <v>289</v>
      </c>
      <c r="O171" s="650">
        <v>9.7599999999999996E-3</v>
      </c>
      <c r="P171" s="652"/>
      <c r="Q171" s="652"/>
      <c r="R171" s="652">
        <f t="shared" si="15"/>
        <v>1.0101599999999999E-2</v>
      </c>
      <c r="S171" s="652">
        <f t="shared" si="18"/>
        <v>1.0101599999999999E-2</v>
      </c>
      <c r="T171" s="652"/>
      <c r="U171" s="650" t="s">
        <v>1476</v>
      </c>
      <c r="V171" s="650"/>
      <c r="W171" s="650"/>
      <c r="X171" s="653"/>
      <c r="Y171" s="653"/>
      <c r="Z171" s="752"/>
    </row>
    <row r="172" spans="1:54" ht="15.75" customHeight="1">
      <c r="A172" s="649">
        <v>2</v>
      </c>
      <c r="B172" s="650" t="s">
        <v>385</v>
      </c>
      <c r="C172" s="650" t="s">
        <v>382</v>
      </c>
      <c r="D172" s="650" t="s">
        <v>385</v>
      </c>
      <c r="E172" s="650" t="s">
        <v>385</v>
      </c>
      <c r="F172" s="650" t="s">
        <v>385</v>
      </c>
      <c r="G172" s="650" t="s">
        <v>1287</v>
      </c>
      <c r="H172" s="649" t="s">
        <v>1073</v>
      </c>
      <c r="I172" s="651" t="s">
        <v>1074</v>
      </c>
      <c r="J172" s="651" t="str">
        <f>VLOOKUP(D172,[5]Sheet1!$D$1:$D$65536,1,0)</f>
        <v>CRCW060349R9FKEA</v>
      </c>
      <c r="K172" s="649" t="s">
        <v>28</v>
      </c>
      <c r="L172" s="649">
        <v>2</v>
      </c>
      <c r="M172" s="649"/>
      <c r="N172" s="650" t="s">
        <v>368</v>
      </c>
      <c r="O172" s="650">
        <v>9.5600000000000004E-4</v>
      </c>
      <c r="P172" s="652"/>
      <c r="Q172" s="652"/>
      <c r="R172" s="652">
        <f t="shared" si="15"/>
        <v>9.8945999999999995E-4</v>
      </c>
      <c r="S172" s="652">
        <f t="shared" si="18"/>
        <v>3.0635999999999999E-4</v>
      </c>
      <c r="T172" s="652"/>
      <c r="U172" s="650" t="s">
        <v>1443</v>
      </c>
      <c r="V172" s="650"/>
      <c r="W172" s="650"/>
      <c r="X172" s="653"/>
      <c r="Y172" s="653"/>
      <c r="Z172" s="752" t="s">
        <v>1288</v>
      </c>
    </row>
    <row r="173" spans="1:54" s="658" customFormat="1" ht="15.75" customHeight="1">
      <c r="A173" s="654">
        <v>2</v>
      </c>
      <c r="B173" s="655" t="s">
        <v>387</v>
      </c>
      <c r="C173" s="655" t="s">
        <v>382</v>
      </c>
      <c r="D173" s="655" t="s">
        <v>387</v>
      </c>
      <c r="E173" s="655" t="s">
        <v>387</v>
      </c>
      <c r="F173" s="659" t="s">
        <v>387</v>
      </c>
      <c r="G173" s="659" t="s">
        <v>1287</v>
      </c>
      <c r="H173" s="660" t="s">
        <v>1073</v>
      </c>
      <c r="I173" s="661" t="s">
        <v>1074</v>
      </c>
      <c r="J173" s="651" t="str">
        <f>VLOOKUP(D173,[5]Sheet1!$D$1:$D$65536,1,0)</f>
        <v>AC0603FR-0749R9L</v>
      </c>
      <c r="K173" s="654" t="s">
        <v>28</v>
      </c>
      <c r="L173" s="654"/>
      <c r="M173" s="654">
        <v>2</v>
      </c>
      <c r="N173" s="655" t="s">
        <v>296</v>
      </c>
      <c r="O173" s="650">
        <v>6.6E-4</v>
      </c>
      <c r="P173" s="655">
        <f>VLOOKUP(D173,'EEBOM Feb.2nd2026'!$D:$N,11,0)</f>
        <v>6.6E-4</v>
      </c>
      <c r="Q173" s="655">
        <f>O173-P173</f>
        <v>0</v>
      </c>
      <c r="R173" s="652">
        <f t="shared" si="15"/>
        <v>6.8309999999999996E-4</v>
      </c>
      <c r="S173" s="652">
        <f t="shared" si="18"/>
        <v>0</v>
      </c>
      <c r="T173" s="655">
        <f>R173*M173</f>
        <v>1.3661999999999999E-3</v>
      </c>
      <c r="U173" s="655" t="s">
        <v>1470</v>
      </c>
      <c r="V173" s="655">
        <v>5000</v>
      </c>
      <c r="W173" s="655">
        <v>10</v>
      </c>
      <c r="X173" s="657" t="s">
        <v>1472</v>
      </c>
      <c r="Y173" s="657" t="s">
        <v>1448</v>
      </c>
      <c r="Z173" s="752"/>
      <c r="AA173" s="753"/>
      <c r="AB173" s="753"/>
      <c r="AC173" s="753"/>
      <c r="AD173" s="753"/>
      <c r="AE173" s="753"/>
      <c r="AF173" s="753"/>
      <c r="AG173" s="753"/>
      <c r="AH173" s="753"/>
      <c r="AI173" s="753"/>
      <c r="AJ173" s="753"/>
      <c r="AK173" s="753"/>
      <c r="AL173" s="753"/>
      <c r="AM173" s="753"/>
      <c r="AN173" s="753"/>
      <c r="AO173" s="753"/>
      <c r="AP173" s="753"/>
      <c r="AQ173" s="753"/>
      <c r="AR173" s="753"/>
      <c r="AS173" s="753"/>
      <c r="AT173" s="753"/>
      <c r="AU173" s="753"/>
      <c r="AV173" s="753"/>
      <c r="AW173" s="753"/>
      <c r="AX173" s="753"/>
      <c r="AY173" s="753"/>
      <c r="AZ173" s="753"/>
      <c r="BA173" s="753"/>
      <c r="BB173" s="753"/>
    </row>
    <row r="174" spans="1:54" ht="15.75" customHeight="1">
      <c r="A174" s="649">
        <v>2</v>
      </c>
      <c r="B174" s="650" t="s">
        <v>381</v>
      </c>
      <c r="C174" s="650" t="s">
        <v>382</v>
      </c>
      <c r="D174" s="650" t="s">
        <v>381</v>
      </c>
      <c r="E174" s="650" t="s">
        <v>381</v>
      </c>
      <c r="F174" s="650" t="s">
        <v>381</v>
      </c>
      <c r="G174" s="650" t="s">
        <v>1287</v>
      </c>
      <c r="H174" s="649" t="s">
        <v>1073</v>
      </c>
      <c r="I174" s="651" t="s">
        <v>1074</v>
      </c>
      <c r="J174" s="651" t="str">
        <f>VLOOKUP(D174,[5]Sheet1!$D$1:$D$65536,1,0)</f>
        <v>RK73H1JTTD49R9F</v>
      </c>
      <c r="K174" s="649" t="s">
        <v>28</v>
      </c>
      <c r="L174" s="649"/>
      <c r="M174" s="649"/>
      <c r="N174" s="650" t="s">
        <v>292</v>
      </c>
      <c r="O174" s="650">
        <v>9.8200000000000002E-4</v>
      </c>
      <c r="P174" s="652"/>
      <c r="Q174" s="652"/>
      <c r="R174" s="652">
        <f t="shared" si="15"/>
        <v>1.0163699999999999E-3</v>
      </c>
      <c r="S174" s="652">
        <f t="shared" si="18"/>
        <v>3.3326999999999999E-4</v>
      </c>
      <c r="T174" s="652"/>
      <c r="U174" s="650" t="s">
        <v>1443</v>
      </c>
      <c r="V174" s="650"/>
      <c r="W174" s="650"/>
      <c r="X174" s="653"/>
      <c r="Y174" s="653"/>
      <c r="Z174" s="752"/>
    </row>
    <row r="175" spans="1:54" ht="15.75" customHeight="1">
      <c r="A175" s="649">
        <v>2</v>
      </c>
      <c r="B175" s="650" t="s">
        <v>386</v>
      </c>
      <c r="C175" s="650" t="s">
        <v>382</v>
      </c>
      <c r="D175" s="650" t="s">
        <v>386</v>
      </c>
      <c r="E175" s="650" t="s">
        <v>386</v>
      </c>
      <c r="F175" s="650" t="s">
        <v>386</v>
      </c>
      <c r="G175" s="650" t="s">
        <v>1287</v>
      </c>
      <c r="H175" s="649" t="s">
        <v>1073</v>
      </c>
      <c r="I175" s="651" t="s">
        <v>1074</v>
      </c>
      <c r="J175" s="651" t="str">
        <f>VLOOKUP(D175,[5]Sheet1!$D$1:$D$65536,1,0)</f>
        <v>RMCH16K49R9FTP</v>
      </c>
      <c r="K175" s="649" t="s">
        <v>28</v>
      </c>
      <c r="L175" s="649"/>
      <c r="M175" s="649"/>
      <c r="N175" s="650" t="s">
        <v>294</v>
      </c>
      <c r="O175" s="650">
        <v>1.4499999999999999E-3</v>
      </c>
      <c r="P175" s="652"/>
      <c r="Q175" s="652"/>
      <c r="R175" s="652">
        <f t="shared" si="15"/>
        <v>1.5007499999999997E-3</v>
      </c>
      <c r="S175" s="652">
        <f t="shared" si="18"/>
        <v>8.1764999999999974E-4</v>
      </c>
      <c r="T175" s="652"/>
      <c r="U175" s="650" t="s">
        <v>1443</v>
      </c>
      <c r="V175" s="650"/>
      <c r="W175" s="650"/>
      <c r="X175" s="653"/>
      <c r="Y175" s="653"/>
      <c r="Z175" s="752"/>
    </row>
    <row r="176" spans="1:54" ht="15.75" customHeight="1">
      <c r="A176" s="649">
        <v>2</v>
      </c>
      <c r="B176" s="650" t="s">
        <v>630</v>
      </c>
      <c r="C176" s="650" t="s">
        <v>622</v>
      </c>
      <c r="D176" s="650" t="s">
        <v>1289</v>
      </c>
      <c r="E176" s="650" t="s">
        <v>1289</v>
      </c>
      <c r="F176" s="650" t="e">
        <v>#N/A</v>
      </c>
      <c r="G176" s="650" t="s">
        <v>1290</v>
      </c>
      <c r="H176" s="649" t="s">
        <v>1073</v>
      </c>
      <c r="I176" s="651" t="s">
        <v>1074</v>
      </c>
      <c r="J176" s="651" t="str">
        <f>VLOOKUP(D176,[5]Sheet1!$D$1:$D$65536,1,0)</f>
        <v>CRCW0402100KFKED</v>
      </c>
      <c r="K176" s="649" t="s">
        <v>28</v>
      </c>
      <c r="L176" s="649">
        <v>1</v>
      </c>
      <c r="M176" s="649"/>
      <c r="N176" s="650" t="s">
        <v>368</v>
      </c>
      <c r="O176" s="650">
        <v>9.5600000000000004E-4</v>
      </c>
      <c r="P176" s="652"/>
      <c r="Q176" s="652"/>
      <c r="R176" s="652">
        <f t="shared" si="15"/>
        <v>9.8945999999999995E-4</v>
      </c>
      <c r="S176" s="652">
        <f t="shared" si="18"/>
        <v>9.8945999999999995E-4</v>
      </c>
      <c r="T176" s="652"/>
      <c r="U176" s="650" t="s">
        <v>1443</v>
      </c>
      <c r="V176" s="650"/>
      <c r="W176" s="650"/>
      <c r="X176" s="653"/>
      <c r="Y176" s="653"/>
      <c r="Z176" s="752" t="s">
        <v>1291</v>
      </c>
    </row>
    <row r="177" spans="1:54" s="658" customFormat="1" ht="15.75" customHeight="1">
      <c r="A177" s="654">
        <v>2</v>
      </c>
      <c r="B177" s="655" t="s">
        <v>632</v>
      </c>
      <c r="C177" s="655" t="s">
        <v>622</v>
      </c>
      <c r="D177" s="655" t="s">
        <v>633</v>
      </c>
      <c r="E177" s="655" t="s">
        <v>633</v>
      </c>
      <c r="F177" s="659" t="s">
        <v>633</v>
      </c>
      <c r="G177" s="659" t="s">
        <v>1290</v>
      </c>
      <c r="H177" s="660" t="s">
        <v>1073</v>
      </c>
      <c r="I177" s="661" t="s">
        <v>1074</v>
      </c>
      <c r="J177" s="651" t="str">
        <f>VLOOKUP(D177,[5]Sheet1!$D$1:$D$65536,1,0)</f>
        <v>AC0402FR-07100KL</v>
      </c>
      <c r="K177" s="654" t="s">
        <v>28</v>
      </c>
      <c r="L177" s="654"/>
      <c r="M177" s="654">
        <v>1</v>
      </c>
      <c r="N177" s="655" t="s">
        <v>296</v>
      </c>
      <c r="O177" s="650">
        <v>3.4000000000000002E-4</v>
      </c>
      <c r="P177" s="655"/>
      <c r="Q177" s="655"/>
      <c r="R177" s="652">
        <f t="shared" si="15"/>
        <v>3.5189999999999999E-4</v>
      </c>
      <c r="S177" s="652">
        <f t="shared" si="18"/>
        <v>3.5189999999999999E-4</v>
      </c>
      <c r="T177" s="655">
        <f>R177*M177</f>
        <v>3.5189999999999999E-4</v>
      </c>
      <c r="U177" s="655" t="s">
        <v>1470</v>
      </c>
      <c r="V177" s="655">
        <v>10000</v>
      </c>
      <c r="W177" s="655">
        <v>10</v>
      </c>
      <c r="X177" s="657" t="s">
        <v>1444</v>
      </c>
      <c r="Y177" s="657" t="s">
        <v>1444</v>
      </c>
      <c r="Z177" s="752"/>
      <c r="AA177" s="753"/>
      <c r="AB177" s="753"/>
      <c r="AC177" s="753"/>
      <c r="AD177" s="753"/>
      <c r="AE177" s="753"/>
      <c r="AF177" s="753"/>
      <c r="AG177" s="753"/>
      <c r="AH177" s="753"/>
      <c r="AI177" s="753"/>
      <c r="AJ177" s="753"/>
      <c r="AK177" s="753"/>
      <c r="AL177" s="753"/>
      <c r="AM177" s="753"/>
      <c r="AN177" s="753"/>
      <c r="AO177" s="753"/>
      <c r="AP177" s="753"/>
      <c r="AQ177" s="753"/>
      <c r="AR177" s="753"/>
      <c r="AS177" s="753"/>
      <c r="AT177" s="753"/>
      <c r="AU177" s="753"/>
      <c r="AV177" s="753"/>
      <c r="AW177" s="753"/>
      <c r="AX177" s="753"/>
      <c r="AY177" s="753"/>
      <c r="AZ177" s="753"/>
      <c r="BA177" s="753"/>
      <c r="BB177" s="753"/>
    </row>
    <row r="178" spans="1:54" ht="15.75" customHeight="1">
      <c r="A178" s="649">
        <v>2</v>
      </c>
      <c r="B178" s="650" t="s">
        <v>626</v>
      </c>
      <c r="C178" s="650" t="s">
        <v>622</v>
      </c>
      <c r="D178" s="650" t="s">
        <v>627</v>
      </c>
      <c r="E178" s="650" t="s">
        <v>627</v>
      </c>
      <c r="F178" s="650" t="s">
        <v>627</v>
      </c>
      <c r="G178" s="650" t="s">
        <v>1290</v>
      </c>
      <c r="H178" s="649" t="s">
        <v>1073</v>
      </c>
      <c r="I178" s="651" t="s">
        <v>1074</v>
      </c>
      <c r="J178" s="651" t="str">
        <f>VLOOKUP(D178,[5]Sheet1!$D$1:$D$65536,1,0)</f>
        <v>RMCH10K104FTH</v>
      </c>
      <c r="K178" s="649" t="s">
        <v>28</v>
      </c>
      <c r="L178" s="649"/>
      <c r="M178" s="649"/>
      <c r="N178" s="650" t="s">
        <v>294</v>
      </c>
      <c r="O178" s="650">
        <v>1.1100000000000001E-3</v>
      </c>
      <c r="P178" s="652"/>
      <c r="Q178" s="652"/>
      <c r="R178" s="652">
        <f t="shared" si="15"/>
        <v>1.1488500000000001E-3</v>
      </c>
      <c r="S178" s="652">
        <f t="shared" si="18"/>
        <v>1.1488500000000001E-3</v>
      </c>
      <c r="T178" s="652"/>
      <c r="U178" s="650" t="s">
        <v>1443</v>
      </c>
      <c r="V178" s="650"/>
      <c r="W178" s="650"/>
      <c r="X178" s="653"/>
      <c r="Y178" s="653"/>
      <c r="Z178" s="752"/>
    </row>
    <row r="179" spans="1:54" ht="15.75" customHeight="1">
      <c r="A179" s="649">
        <v>2</v>
      </c>
      <c r="B179" s="650" t="s">
        <v>621</v>
      </c>
      <c r="C179" s="650" t="s">
        <v>622</v>
      </c>
      <c r="D179" s="650" t="s">
        <v>623</v>
      </c>
      <c r="E179" s="650" t="s">
        <v>623</v>
      </c>
      <c r="F179" s="650" t="s">
        <v>623</v>
      </c>
      <c r="G179" s="650" t="s">
        <v>1290</v>
      </c>
      <c r="H179" s="649" t="s">
        <v>1073</v>
      </c>
      <c r="I179" s="651" t="s">
        <v>1074</v>
      </c>
      <c r="J179" s="651" t="str">
        <f>VLOOKUP(D179,[5]Sheet1!$D$1:$D$65536,1,0)</f>
        <v>RK73H1ETTP1003F</v>
      </c>
      <c r="K179" s="649" t="s">
        <v>28</v>
      </c>
      <c r="L179" s="649"/>
      <c r="M179" s="649"/>
      <c r="N179" s="650" t="s">
        <v>292</v>
      </c>
      <c r="O179" s="650">
        <v>9.1E-4</v>
      </c>
      <c r="P179" s="652"/>
      <c r="Q179" s="652"/>
      <c r="R179" s="652">
        <f t="shared" si="15"/>
        <v>9.4184999999999994E-4</v>
      </c>
      <c r="S179" s="652">
        <f t="shared" si="18"/>
        <v>9.4184999999999994E-4</v>
      </c>
      <c r="T179" s="652"/>
      <c r="U179" s="650" t="s">
        <v>1473</v>
      </c>
      <c r="V179" s="650"/>
      <c r="W179" s="650"/>
      <c r="X179" s="653"/>
      <c r="Y179" s="653"/>
      <c r="Z179" s="752"/>
    </row>
    <row r="180" spans="1:54" ht="15.75" customHeight="1">
      <c r="A180" s="649">
        <v>2</v>
      </c>
      <c r="B180" s="650" t="s">
        <v>1557</v>
      </c>
      <c r="C180" s="650" t="s">
        <v>622</v>
      </c>
      <c r="D180" s="650" t="s">
        <v>1557</v>
      </c>
      <c r="E180" s="650"/>
      <c r="F180" s="650"/>
      <c r="G180" s="650" t="s">
        <v>1290</v>
      </c>
      <c r="H180" s="649" t="s">
        <v>1073</v>
      </c>
      <c r="I180" s="651" t="s">
        <v>1074</v>
      </c>
      <c r="J180" s="651"/>
      <c r="K180" s="649" t="s">
        <v>28</v>
      </c>
      <c r="L180" s="676">
        <v>1</v>
      </c>
      <c r="M180" s="649"/>
      <c r="N180" s="650" t="s">
        <v>289</v>
      </c>
      <c r="O180" s="675">
        <f>VLOOKUP(D180,[7]Sheet3!$C$2:$G$13,5,0)</f>
        <v>2.7799999999999999E-3</v>
      </c>
      <c r="P180" s="652"/>
      <c r="Q180" s="652"/>
      <c r="R180" s="652">
        <f>O180*1.035</f>
        <v>2.8772999999999997E-3</v>
      </c>
      <c r="S180" s="652"/>
      <c r="T180" s="652"/>
      <c r="U180" s="650"/>
      <c r="V180" s="650"/>
      <c r="W180" s="650"/>
      <c r="X180" s="653"/>
      <c r="Y180" s="653"/>
      <c r="Z180" s="752"/>
      <c r="AA180" s="753" t="s">
        <v>1558</v>
      </c>
      <c r="AB180" s="765" t="s">
        <v>1559</v>
      </c>
    </row>
    <row r="181" spans="1:54" ht="15.75" customHeight="1">
      <c r="A181" s="688">
        <v>2</v>
      </c>
      <c r="B181" s="689" t="s">
        <v>628</v>
      </c>
      <c r="C181" s="689" t="s">
        <v>622</v>
      </c>
      <c r="D181" s="689" t="s">
        <v>629</v>
      </c>
      <c r="E181" s="689" t="s">
        <v>629</v>
      </c>
      <c r="F181" s="689" t="s">
        <v>629</v>
      </c>
      <c r="G181" s="689" t="s">
        <v>1290</v>
      </c>
      <c r="H181" s="688" t="s">
        <v>1073</v>
      </c>
      <c r="I181" s="690" t="s">
        <v>1074</v>
      </c>
      <c r="J181" s="755" t="e">
        <f>VLOOKUP(D181,[5]Sheet1!$D$1:$D$65536,1,0)</f>
        <v>#N/A</v>
      </c>
      <c r="K181" s="688" t="s">
        <v>28</v>
      </c>
      <c r="L181" s="688"/>
      <c r="M181" s="688"/>
      <c r="N181" s="689" t="s">
        <v>289</v>
      </c>
      <c r="O181" s="650"/>
      <c r="P181" s="691"/>
      <c r="Q181" s="691"/>
      <c r="R181" s="691">
        <f t="shared" si="15"/>
        <v>0</v>
      </c>
      <c r="S181" s="652">
        <f t="shared" ref="S181:S212" si="19">R181-_xlfn.MINIFS(R:R,C:C,C181)</f>
        <v>0</v>
      </c>
      <c r="T181" s="691"/>
      <c r="U181" s="689" t="s">
        <v>1473</v>
      </c>
      <c r="V181" s="689"/>
      <c r="W181" s="689"/>
      <c r="X181" s="692" t="s">
        <v>1475</v>
      </c>
      <c r="Y181" s="653"/>
      <c r="Z181" s="752"/>
      <c r="AA181" s="753" t="s">
        <v>1537</v>
      </c>
    </row>
    <row r="182" spans="1:54" s="658" customFormat="1" ht="15.75" customHeight="1">
      <c r="A182" s="654">
        <v>2</v>
      </c>
      <c r="B182" s="655" t="s">
        <v>564</v>
      </c>
      <c r="C182" s="655" t="s">
        <v>560</v>
      </c>
      <c r="D182" s="655" t="s">
        <v>564</v>
      </c>
      <c r="E182" s="655" t="s">
        <v>564</v>
      </c>
      <c r="F182" s="659" t="s">
        <v>564</v>
      </c>
      <c r="G182" s="659" t="s">
        <v>1293</v>
      </c>
      <c r="H182" s="660" t="s">
        <v>1073</v>
      </c>
      <c r="I182" s="661" t="s">
        <v>1074</v>
      </c>
      <c r="J182" s="651" t="str">
        <f>VLOOKUP(D182,[5]Sheet1!$D$1:$D$65536,1,0)</f>
        <v>CRCW25121R00KNEGIF</v>
      </c>
      <c r="K182" s="654" t="s">
        <v>28</v>
      </c>
      <c r="L182" s="654">
        <v>2</v>
      </c>
      <c r="M182" s="654">
        <v>2</v>
      </c>
      <c r="N182" s="655" t="s">
        <v>368</v>
      </c>
      <c r="O182" s="650">
        <v>5.1777999999999998E-2</v>
      </c>
      <c r="P182" s="655">
        <f>VLOOKUP(D182,'EEBOM Feb.2nd2026'!$D:$N,11,0)</f>
        <v>5.1777999999999998E-2</v>
      </c>
      <c r="Q182" s="655">
        <f>O182-P182</f>
        <v>0</v>
      </c>
      <c r="R182" s="652">
        <f t="shared" si="15"/>
        <v>5.3590229999999996E-2</v>
      </c>
      <c r="S182" s="652">
        <f t="shared" si="19"/>
        <v>5.3590229999999996E-2</v>
      </c>
      <c r="T182" s="655">
        <f>R182*M182</f>
        <v>0.10718045999999999</v>
      </c>
      <c r="U182" s="655" t="s">
        <v>1443</v>
      </c>
      <c r="V182" s="655">
        <v>10000</v>
      </c>
      <c r="W182" s="655">
        <v>20</v>
      </c>
      <c r="X182" s="657" t="s">
        <v>1454</v>
      </c>
      <c r="Y182" s="657" t="s">
        <v>1448</v>
      </c>
      <c r="Z182" s="752" t="s">
        <v>1294</v>
      </c>
      <c r="AA182" s="753"/>
      <c r="AB182" s="753"/>
      <c r="AC182" s="753"/>
      <c r="AD182" s="753"/>
      <c r="AE182" s="753"/>
      <c r="AF182" s="753"/>
      <c r="AG182" s="753"/>
      <c r="AH182" s="753"/>
      <c r="AI182" s="753"/>
      <c r="AJ182" s="753"/>
      <c r="AK182" s="753"/>
      <c r="AL182" s="753"/>
      <c r="AM182" s="753"/>
      <c r="AN182" s="753"/>
      <c r="AO182" s="753"/>
      <c r="AP182" s="753"/>
      <c r="AQ182" s="753"/>
      <c r="AR182" s="753"/>
      <c r="AS182" s="753"/>
      <c r="AT182" s="753"/>
      <c r="AU182" s="753"/>
      <c r="AV182" s="753"/>
      <c r="AW182" s="753"/>
      <c r="AX182" s="753"/>
      <c r="AY182" s="753"/>
      <c r="AZ182" s="753"/>
      <c r="BA182" s="753"/>
      <c r="BB182" s="753"/>
    </row>
    <row r="183" spans="1:54" ht="15.75" customHeight="1">
      <c r="A183" s="649">
        <v>2</v>
      </c>
      <c r="B183" s="650" t="s">
        <v>561</v>
      </c>
      <c r="C183" s="650" t="s">
        <v>560</v>
      </c>
      <c r="D183" s="650" t="s">
        <v>561</v>
      </c>
      <c r="E183" s="650" t="s">
        <v>561</v>
      </c>
      <c r="F183" s="650" t="s">
        <v>561</v>
      </c>
      <c r="G183" s="650" t="s">
        <v>1293</v>
      </c>
      <c r="H183" s="649" t="s">
        <v>1073</v>
      </c>
      <c r="I183" s="651" t="s">
        <v>1074</v>
      </c>
      <c r="J183" s="651" t="str">
        <f>VLOOKUP(D183,[5]Sheet1!$D$1:$D$65536,1,0)</f>
        <v>SR2512KK-071RL</v>
      </c>
      <c r="K183" s="649" t="s">
        <v>28</v>
      </c>
      <c r="L183" s="649"/>
      <c r="M183" s="649"/>
      <c r="N183" s="650" t="s">
        <v>296</v>
      </c>
      <c r="O183" s="650">
        <v>0.1</v>
      </c>
      <c r="P183" s="652"/>
      <c r="Q183" s="652"/>
      <c r="R183" s="652">
        <f t="shared" si="15"/>
        <v>0.10349999999999999</v>
      </c>
      <c r="S183" s="652">
        <f t="shared" si="19"/>
        <v>0.10349999999999999</v>
      </c>
      <c r="T183" s="652"/>
      <c r="U183" s="650" t="s">
        <v>1477</v>
      </c>
      <c r="V183" s="650"/>
      <c r="W183" s="650"/>
      <c r="X183" s="653"/>
      <c r="Y183" s="653"/>
      <c r="Z183" s="752"/>
    </row>
    <row r="184" spans="1:54" ht="15.75" customHeight="1">
      <c r="A184" s="649">
        <v>2</v>
      </c>
      <c r="B184" s="650" t="s">
        <v>566</v>
      </c>
      <c r="C184" s="650" t="s">
        <v>560</v>
      </c>
      <c r="D184" s="650" t="s">
        <v>566</v>
      </c>
      <c r="E184" s="650" t="s">
        <v>566</v>
      </c>
      <c r="F184" s="650" t="s">
        <v>566</v>
      </c>
      <c r="G184" s="650" t="s">
        <v>1293</v>
      </c>
      <c r="H184" s="649" t="s">
        <v>1073</v>
      </c>
      <c r="I184" s="651" t="s">
        <v>1074</v>
      </c>
      <c r="J184" s="651" t="str">
        <f>VLOOKUP(D184,[5]Sheet1!$D$1:$D$65536,1,0)</f>
        <v>RPC2512JT1R00</v>
      </c>
      <c r="K184" s="649" t="s">
        <v>28</v>
      </c>
      <c r="L184" s="649"/>
      <c r="M184" s="670"/>
      <c r="N184" s="650" t="s">
        <v>567</v>
      </c>
      <c r="O184" s="650"/>
      <c r="P184" s="652"/>
      <c r="Q184" s="652"/>
      <c r="R184" s="652">
        <f t="shared" si="15"/>
        <v>0</v>
      </c>
      <c r="S184" s="652">
        <f t="shared" si="19"/>
        <v>0</v>
      </c>
      <c r="T184" s="652"/>
      <c r="U184" s="650"/>
      <c r="V184" s="650"/>
      <c r="W184" s="650"/>
      <c r="X184" s="653"/>
      <c r="Y184" s="653"/>
      <c r="Z184" s="752"/>
    </row>
    <row r="185" spans="1:54" ht="15.75" customHeight="1">
      <c r="A185" s="649">
        <v>2</v>
      </c>
      <c r="B185" s="650" t="s">
        <v>565</v>
      </c>
      <c r="C185" s="650" t="s">
        <v>560</v>
      </c>
      <c r="D185" s="650" t="s">
        <v>565</v>
      </c>
      <c r="E185" s="650" t="s">
        <v>565</v>
      </c>
      <c r="F185" s="650" t="s">
        <v>565</v>
      </c>
      <c r="G185" s="650" t="s">
        <v>1293</v>
      </c>
      <c r="H185" s="649" t="s">
        <v>1073</v>
      </c>
      <c r="I185" s="651" t="s">
        <v>1074</v>
      </c>
      <c r="J185" s="651" t="str">
        <f>VLOOKUP(D185,[5]Sheet1!$D$1:$D$65536,1,0)</f>
        <v>SG73W3ATTE1R0K</v>
      </c>
      <c r="K185" s="649" t="s">
        <v>28</v>
      </c>
      <c r="L185" s="649"/>
      <c r="M185" s="649"/>
      <c r="N185" s="650" t="s">
        <v>292</v>
      </c>
      <c r="O185" s="650">
        <v>8.4847000000000006E-2</v>
      </c>
      <c r="P185" s="652"/>
      <c r="Q185" s="652"/>
      <c r="R185" s="652">
        <f t="shared" si="15"/>
        <v>8.7816644999999999E-2</v>
      </c>
      <c r="S185" s="652">
        <f t="shared" si="19"/>
        <v>8.7816644999999999E-2</v>
      </c>
      <c r="T185" s="652"/>
      <c r="U185" s="650" t="s">
        <v>1443</v>
      </c>
      <c r="V185" s="650"/>
      <c r="W185" s="650"/>
      <c r="X185" s="653"/>
      <c r="Y185" s="653"/>
      <c r="Z185" s="752"/>
    </row>
    <row r="186" spans="1:54" s="658" customFormat="1" ht="15.75" customHeight="1">
      <c r="A186" s="654">
        <v>2</v>
      </c>
      <c r="B186" s="655" t="s">
        <v>1295</v>
      </c>
      <c r="C186" s="655" t="s">
        <v>1296</v>
      </c>
      <c r="D186" s="655" t="s">
        <v>1295</v>
      </c>
      <c r="E186" s="655" t="s">
        <v>1295</v>
      </c>
      <c r="F186" s="659" t="e">
        <v>#N/A</v>
      </c>
      <c r="G186" s="659" t="s">
        <v>1297</v>
      </c>
      <c r="H186" s="660" t="s">
        <v>1073</v>
      </c>
      <c r="I186" s="661" t="s">
        <v>1074</v>
      </c>
      <c r="J186" s="651" t="str">
        <f>VLOOKUP(D186,[5]Sheet1!$D$1:$D$65536,1,0)</f>
        <v>AC0201FR-0726K7L</v>
      </c>
      <c r="K186" s="654" t="s">
        <v>28</v>
      </c>
      <c r="L186" s="654">
        <v>1</v>
      </c>
      <c r="M186" s="654">
        <v>1</v>
      </c>
      <c r="N186" s="655" t="s">
        <v>296</v>
      </c>
      <c r="O186" s="650">
        <v>5.9999999999999995E-4</v>
      </c>
      <c r="P186" s="655">
        <f>VLOOKUP(D186,'EEBOM Feb.2nd2026'!$D:$N,11,0)</f>
        <v>5.9999999999999995E-4</v>
      </c>
      <c r="Q186" s="655">
        <f>O186-P186</f>
        <v>0</v>
      </c>
      <c r="R186" s="652">
        <f t="shared" si="15"/>
        <v>6.2099999999999992E-4</v>
      </c>
      <c r="S186" s="652">
        <f t="shared" si="19"/>
        <v>6.2099999999999992E-4</v>
      </c>
      <c r="T186" s="655">
        <f>R186*M186</f>
        <v>6.2099999999999992E-4</v>
      </c>
      <c r="U186" s="655" t="s">
        <v>1470</v>
      </c>
      <c r="V186" s="655">
        <v>10000</v>
      </c>
      <c r="W186" s="655">
        <v>10</v>
      </c>
      <c r="X186" s="657" t="s">
        <v>1472</v>
      </c>
      <c r="Y186" s="657" t="s">
        <v>1448</v>
      </c>
      <c r="Z186" s="752" t="s">
        <v>437</v>
      </c>
      <c r="AA186" s="753"/>
      <c r="AB186" s="753"/>
      <c r="AC186" s="753"/>
      <c r="AD186" s="753"/>
      <c r="AE186" s="753"/>
      <c r="AF186" s="753"/>
      <c r="AG186" s="753"/>
      <c r="AH186" s="753"/>
      <c r="AI186" s="753"/>
      <c r="AJ186" s="753"/>
      <c r="AK186" s="753"/>
      <c r="AL186" s="753"/>
      <c r="AM186" s="753"/>
      <c r="AN186" s="753"/>
      <c r="AO186" s="753"/>
      <c r="AP186" s="753"/>
      <c r="AQ186" s="753"/>
      <c r="AR186" s="753"/>
      <c r="AS186" s="753"/>
      <c r="AT186" s="753"/>
      <c r="AU186" s="753"/>
      <c r="AV186" s="753"/>
      <c r="AW186" s="753"/>
      <c r="AX186" s="753"/>
      <c r="AY186" s="753"/>
      <c r="AZ186" s="753"/>
      <c r="BA186" s="753"/>
      <c r="BB186" s="753"/>
    </row>
    <row r="187" spans="1:54" ht="15.75" customHeight="1">
      <c r="A187" s="649">
        <v>2</v>
      </c>
      <c r="B187" s="650" t="s">
        <v>1298</v>
      </c>
      <c r="C187" s="650" t="s">
        <v>1296</v>
      </c>
      <c r="D187" s="650" t="s">
        <v>1298</v>
      </c>
      <c r="E187" s="650" t="s">
        <v>1298</v>
      </c>
      <c r="F187" s="650" t="e">
        <v>#N/A</v>
      </c>
      <c r="G187" s="650" t="s">
        <v>1297</v>
      </c>
      <c r="H187" s="649" t="s">
        <v>1073</v>
      </c>
      <c r="I187" s="651" t="s">
        <v>1074</v>
      </c>
      <c r="J187" s="651" t="str">
        <f>VLOOKUP(D187,[5]Sheet1!$D$1:$D$65536,1,0)</f>
        <v>RK73H1HTTC2672F</v>
      </c>
      <c r="K187" s="649" t="s">
        <v>28</v>
      </c>
      <c r="L187" s="649"/>
      <c r="M187" s="649"/>
      <c r="N187" s="650" t="s">
        <v>292</v>
      </c>
      <c r="O187" s="650">
        <v>1.5139999999999999E-3</v>
      </c>
      <c r="P187" s="652"/>
      <c r="Q187" s="652"/>
      <c r="R187" s="652">
        <f t="shared" si="15"/>
        <v>1.5669899999999999E-3</v>
      </c>
      <c r="S187" s="652">
        <f t="shared" si="19"/>
        <v>1.5669899999999999E-3</v>
      </c>
      <c r="T187" s="652"/>
      <c r="U187" s="650" t="s">
        <v>1443</v>
      </c>
      <c r="V187" s="650"/>
      <c r="W187" s="650"/>
      <c r="X187" s="653"/>
      <c r="Y187" s="653"/>
      <c r="Z187" s="752"/>
    </row>
    <row r="188" spans="1:54" ht="15.75" customHeight="1">
      <c r="A188" s="649">
        <v>2</v>
      </c>
      <c r="B188" s="650" t="s">
        <v>1299</v>
      </c>
      <c r="C188" s="650" t="s">
        <v>1296</v>
      </c>
      <c r="D188" s="650" t="s">
        <v>1299</v>
      </c>
      <c r="E188" s="650" t="s">
        <v>1299</v>
      </c>
      <c r="F188" s="650" t="e">
        <v>#N/A</v>
      </c>
      <c r="G188" s="650" t="s">
        <v>1297</v>
      </c>
      <c r="H188" s="649" t="s">
        <v>1073</v>
      </c>
      <c r="I188" s="651" t="s">
        <v>1074</v>
      </c>
      <c r="J188" s="651" t="str">
        <f>VLOOKUP(D188,[5]Sheet1!$D$1:$D$65536,1,0)</f>
        <v>RMCH06-2672FPA</v>
      </c>
      <c r="K188" s="649" t="s">
        <v>28</v>
      </c>
      <c r="L188" s="649"/>
      <c r="M188" s="649"/>
      <c r="N188" s="650" t="s">
        <v>294</v>
      </c>
      <c r="O188" s="650">
        <v>2.7390000000000001E-3</v>
      </c>
      <c r="P188" s="652"/>
      <c r="Q188" s="652"/>
      <c r="R188" s="652">
        <f t="shared" si="15"/>
        <v>2.8348649999999998E-3</v>
      </c>
      <c r="S188" s="652">
        <f t="shared" si="19"/>
        <v>2.8348649999999998E-3</v>
      </c>
      <c r="T188" s="652"/>
      <c r="U188" s="650" t="s">
        <v>1443</v>
      </c>
      <c r="V188" s="650"/>
      <c r="W188" s="650"/>
      <c r="X188" s="653"/>
      <c r="Y188" s="653"/>
      <c r="Z188" s="752"/>
    </row>
    <row r="189" spans="1:54" ht="15.75" customHeight="1">
      <c r="A189" s="649">
        <v>2</v>
      </c>
      <c r="B189" s="650" t="s">
        <v>1300</v>
      </c>
      <c r="C189" s="650" t="s">
        <v>1296</v>
      </c>
      <c r="D189" s="650" t="s">
        <v>1300</v>
      </c>
      <c r="E189" s="650" t="s">
        <v>1300</v>
      </c>
      <c r="F189" s="650" t="e">
        <v>#N/A</v>
      </c>
      <c r="G189" s="650" t="s">
        <v>1297</v>
      </c>
      <c r="H189" s="649" t="s">
        <v>1073</v>
      </c>
      <c r="I189" s="651" t="s">
        <v>1074</v>
      </c>
      <c r="J189" s="651" t="str">
        <f>VLOOKUP(D189,[5]Sheet1!$D$1:$D$65536,1,0)</f>
        <v>ERJ1GJF2672C</v>
      </c>
      <c r="K189" s="649" t="s">
        <v>28</v>
      </c>
      <c r="L189" s="649"/>
      <c r="M189" s="670"/>
      <c r="N189" s="650" t="s">
        <v>289</v>
      </c>
      <c r="O189" s="650"/>
      <c r="P189" s="652"/>
      <c r="Q189" s="652"/>
      <c r="R189" s="652">
        <f t="shared" si="15"/>
        <v>0</v>
      </c>
      <c r="S189" s="652">
        <f t="shared" si="19"/>
        <v>0</v>
      </c>
      <c r="T189" s="652"/>
      <c r="U189" s="650"/>
      <c r="V189" s="650"/>
      <c r="W189" s="650"/>
      <c r="X189" s="653"/>
      <c r="Y189" s="653"/>
      <c r="Z189" s="752"/>
    </row>
    <row r="190" spans="1:54" s="658" customFormat="1" ht="15.75" customHeight="1">
      <c r="A190" s="654">
        <v>2</v>
      </c>
      <c r="B190" s="655" t="s">
        <v>1301</v>
      </c>
      <c r="C190" s="655" t="s">
        <v>1302</v>
      </c>
      <c r="D190" s="655" t="s">
        <v>1301</v>
      </c>
      <c r="E190" s="655" t="s">
        <v>1301</v>
      </c>
      <c r="F190" s="659" t="e">
        <v>#N/A</v>
      </c>
      <c r="G190" s="659" t="s">
        <v>1303</v>
      </c>
      <c r="H190" s="660" t="s">
        <v>1073</v>
      </c>
      <c r="I190" s="661" t="s">
        <v>1074</v>
      </c>
      <c r="J190" s="651" t="str">
        <f>VLOOKUP(D190,[5]Sheet1!$D$1:$D$65536,1,0)</f>
        <v>RK73H1HTTC9092D</v>
      </c>
      <c r="K190" s="654" t="s">
        <v>28</v>
      </c>
      <c r="L190" s="654">
        <v>1</v>
      </c>
      <c r="M190" s="654">
        <v>1</v>
      </c>
      <c r="N190" s="655" t="s">
        <v>292</v>
      </c>
      <c r="O190" s="650">
        <v>6.7000000000000002E-3</v>
      </c>
      <c r="P190" s="655">
        <f>VLOOKUP(D190,'EEBOM Feb.2nd2026'!$D:$N,11,0)</f>
        <v>1.0999999999999999E-2</v>
      </c>
      <c r="Q190" s="655">
        <f>O190-P190</f>
        <v>-4.2999999999999991E-3</v>
      </c>
      <c r="R190" s="652">
        <f t="shared" si="15"/>
        <v>6.9344999999999997E-3</v>
      </c>
      <c r="S190" s="652">
        <f t="shared" si="19"/>
        <v>0</v>
      </c>
      <c r="T190" s="655">
        <f>R190*M190</f>
        <v>6.9344999999999997E-3</v>
      </c>
      <c r="U190" s="655" t="s">
        <v>1443</v>
      </c>
      <c r="V190" s="655">
        <v>15000</v>
      </c>
      <c r="W190" s="655">
        <v>18</v>
      </c>
      <c r="X190" s="657" t="s">
        <v>1454</v>
      </c>
      <c r="Y190" s="657" t="s">
        <v>1448</v>
      </c>
      <c r="Z190" s="752" t="s">
        <v>600</v>
      </c>
      <c r="AA190" s="753"/>
      <c r="AB190" s="753"/>
      <c r="AC190" s="753"/>
      <c r="AD190" s="753"/>
      <c r="AE190" s="753"/>
      <c r="AF190" s="753"/>
      <c r="AG190" s="753"/>
      <c r="AH190" s="753"/>
      <c r="AI190" s="753"/>
      <c r="AJ190" s="753"/>
      <c r="AK190" s="753"/>
      <c r="AL190" s="753"/>
      <c r="AM190" s="753"/>
      <c r="AN190" s="753"/>
      <c r="AO190" s="753"/>
      <c r="AP190" s="753"/>
      <c r="AQ190" s="753"/>
      <c r="AR190" s="753"/>
      <c r="AS190" s="753"/>
      <c r="AT190" s="753"/>
      <c r="AU190" s="753"/>
      <c r="AV190" s="753"/>
      <c r="AW190" s="753"/>
      <c r="AX190" s="753"/>
      <c r="AY190" s="753"/>
      <c r="AZ190" s="753"/>
      <c r="BA190" s="753"/>
      <c r="BB190" s="753"/>
    </row>
    <row r="191" spans="1:54" ht="15.5" customHeight="1">
      <c r="A191" s="649">
        <v>2</v>
      </c>
      <c r="B191" s="650" t="s">
        <v>1304</v>
      </c>
      <c r="C191" s="650" t="s">
        <v>1302</v>
      </c>
      <c r="D191" s="650" t="s">
        <v>1304</v>
      </c>
      <c r="E191" s="650" t="s">
        <v>1304</v>
      </c>
      <c r="F191" s="650" t="e">
        <v>#N/A</v>
      </c>
      <c r="G191" s="650" t="s">
        <v>1303</v>
      </c>
      <c r="H191" s="649" t="s">
        <v>1073</v>
      </c>
      <c r="I191" s="651" t="s">
        <v>1074</v>
      </c>
      <c r="J191" s="651" t="str">
        <f>VLOOKUP(D191,[5]Sheet1!$D$1:$D$65536,1,0)</f>
        <v>RMCH06-9092DPA</v>
      </c>
      <c r="K191" s="649" t="s">
        <v>28</v>
      </c>
      <c r="L191" s="649"/>
      <c r="M191" s="649"/>
      <c r="N191" s="650" t="s">
        <v>294</v>
      </c>
      <c r="O191" s="650">
        <v>1.0578000000000001E-2</v>
      </c>
      <c r="P191" s="652"/>
      <c r="Q191" s="652"/>
      <c r="R191" s="652">
        <f t="shared" si="15"/>
        <v>1.094823E-2</v>
      </c>
      <c r="S191" s="652">
        <f t="shared" si="19"/>
        <v>4.0137300000000001E-3</v>
      </c>
      <c r="T191" s="652"/>
      <c r="U191" s="650" t="s">
        <v>1443</v>
      </c>
      <c r="V191" s="650"/>
      <c r="W191" s="650"/>
      <c r="X191" s="653"/>
      <c r="Y191" s="653"/>
      <c r="Z191" s="752"/>
    </row>
    <row r="192" spans="1:54" s="658" customFormat="1" ht="15.75" customHeight="1">
      <c r="A192" s="654">
        <v>2</v>
      </c>
      <c r="B192" s="655" t="s">
        <v>1478</v>
      </c>
      <c r="C192" s="655" t="s">
        <v>1306</v>
      </c>
      <c r="D192" s="655" t="s">
        <v>1305</v>
      </c>
      <c r="E192" s="655" t="s">
        <v>1305</v>
      </c>
      <c r="F192" s="659" t="e">
        <v>#N/A</v>
      </c>
      <c r="G192" s="659" t="s">
        <v>1307</v>
      </c>
      <c r="H192" s="660" t="s">
        <v>1073</v>
      </c>
      <c r="I192" s="661" t="s">
        <v>1074</v>
      </c>
      <c r="J192" s="651" t="str">
        <f>VLOOKUP(D192,[5]Sheet1!$D$1:$D$65536,1,0)</f>
        <v>AC0201FR-0757K6L</v>
      </c>
      <c r="K192" s="654" t="s">
        <v>28</v>
      </c>
      <c r="L192" s="654">
        <v>1</v>
      </c>
      <c r="M192" s="654">
        <v>1</v>
      </c>
      <c r="N192" s="655" t="s">
        <v>296</v>
      </c>
      <c r="O192" s="650">
        <v>5.9999999999999995E-4</v>
      </c>
      <c r="P192" s="655">
        <f>VLOOKUP(D192,'EEBOM Feb.2nd2026'!$D:$N,11,0)</f>
        <v>5.9999999999999995E-4</v>
      </c>
      <c r="Q192" s="655">
        <f>O192-P192</f>
        <v>0</v>
      </c>
      <c r="R192" s="652">
        <f t="shared" si="15"/>
        <v>6.2099999999999992E-4</v>
      </c>
      <c r="S192" s="652">
        <f t="shared" si="19"/>
        <v>6.2099999999999992E-4</v>
      </c>
      <c r="T192" s="655">
        <f>R192*M192</f>
        <v>6.2099999999999992E-4</v>
      </c>
      <c r="U192" s="655" t="s">
        <v>1470</v>
      </c>
      <c r="V192" s="655">
        <v>10000</v>
      </c>
      <c r="W192" s="655">
        <v>10</v>
      </c>
      <c r="X192" s="657" t="s">
        <v>1472</v>
      </c>
      <c r="Y192" s="657" t="s">
        <v>1448</v>
      </c>
      <c r="Z192" s="752" t="s">
        <v>1308</v>
      </c>
      <c r="AA192" s="753"/>
      <c r="AB192" s="753"/>
      <c r="AC192" s="753"/>
      <c r="AD192" s="753"/>
      <c r="AE192" s="753"/>
      <c r="AF192" s="753"/>
      <c r="AG192" s="753"/>
      <c r="AH192" s="753"/>
      <c r="AI192" s="753"/>
      <c r="AJ192" s="753"/>
      <c r="AK192" s="753"/>
      <c r="AL192" s="753"/>
      <c r="AM192" s="753"/>
      <c r="AN192" s="753"/>
      <c r="AO192" s="753"/>
      <c r="AP192" s="753"/>
      <c r="AQ192" s="753"/>
      <c r="AR192" s="753"/>
      <c r="AS192" s="753"/>
      <c r="AT192" s="753"/>
      <c r="AU192" s="753"/>
      <c r="AV192" s="753"/>
      <c r="AW192" s="753"/>
      <c r="AX192" s="753"/>
      <c r="AY192" s="753"/>
      <c r="AZ192" s="753"/>
      <c r="BA192" s="753"/>
      <c r="BB192" s="753"/>
    </row>
    <row r="193" spans="1:54" ht="15.75" customHeight="1">
      <c r="A193" s="649">
        <v>2</v>
      </c>
      <c r="B193" s="650" t="s">
        <v>1309</v>
      </c>
      <c r="C193" s="650" t="s">
        <v>1306</v>
      </c>
      <c r="D193" s="650" t="s">
        <v>1309</v>
      </c>
      <c r="E193" s="650" t="s">
        <v>1309</v>
      </c>
      <c r="F193" s="650" t="e">
        <v>#N/A</v>
      </c>
      <c r="G193" s="650" t="s">
        <v>1307</v>
      </c>
      <c r="H193" s="649" t="s">
        <v>1073</v>
      </c>
      <c r="I193" s="651" t="s">
        <v>1074</v>
      </c>
      <c r="J193" s="651" t="str">
        <f>VLOOKUP(D193,[5]Sheet1!$D$1:$D$65536,1,0)</f>
        <v>ERJ1GJF5762C</v>
      </c>
      <c r="K193" s="649" t="s">
        <v>28</v>
      </c>
      <c r="L193" s="649"/>
      <c r="M193" s="670"/>
      <c r="N193" s="650" t="s">
        <v>289</v>
      </c>
      <c r="O193" s="650"/>
      <c r="P193" s="652"/>
      <c r="Q193" s="652"/>
      <c r="R193" s="652">
        <f t="shared" si="15"/>
        <v>0</v>
      </c>
      <c r="S193" s="652">
        <f t="shared" si="19"/>
        <v>0</v>
      </c>
      <c r="T193" s="652"/>
      <c r="U193" s="650"/>
      <c r="V193" s="650"/>
      <c r="W193" s="650"/>
      <c r="X193" s="653"/>
      <c r="Y193" s="653"/>
      <c r="Z193" s="752"/>
    </row>
    <row r="194" spans="1:54" s="697" customFormat="1" ht="15.75" customHeight="1">
      <c r="A194" s="693">
        <v>2</v>
      </c>
      <c r="B194" s="694" t="s">
        <v>1310</v>
      </c>
      <c r="C194" s="694" t="s">
        <v>1306</v>
      </c>
      <c r="D194" s="694" t="s">
        <v>1310</v>
      </c>
      <c r="E194" s="694" t="s">
        <v>1310</v>
      </c>
      <c r="F194" s="694" t="e">
        <v>#N/A</v>
      </c>
      <c r="G194" s="694" t="s">
        <v>1307</v>
      </c>
      <c r="H194" s="693" t="s">
        <v>1073</v>
      </c>
      <c r="I194" s="695" t="s">
        <v>1074</v>
      </c>
      <c r="J194" s="651" t="str">
        <f>VLOOKUP(D194,[5]Sheet1!$D$1:$D$65536,1,0)</f>
        <v>RK73H1HTTC5762F</v>
      </c>
      <c r="K194" s="693" t="s">
        <v>28</v>
      </c>
      <c r="L194" s="693"/>
      <c r="M194" s="693"/>
      <c r="N194" s="694" t="s">
        <v>292</v>
      </c>
      <c r="O194" s="650">
        <v>1.5139999999999999E-3</v>
      </c>
      <c r="P194" s="694"/>
      <c r="Q194" s="694"/>
      <c r="R194" s="652">
        <f t="shared" si="15"/>
        <v>1.5669899999999999E-3</v>
      </c>
      <c r="S194" s="652">
        <f t="shared" si="19"/>
        <v>1.5669899999999999E-3</v>
      </c>
      <c r="T194" s="694"/>
      <c r="U194" s="694" t="s">
        <v>1443</v>
      </c>
      <c r="V194" s="694">
        <v>10000</v>
      </c>
      <c r="W194" s="694"/>
      <c r="X194" s="696"/>
      <c r="Y194" s="696"/>
      <c r="Z194" s="752"/>
      <c r="AA194" s="753"/>
      <c r="AB194" s="753"/>
      <c r="AC194" s="753"/>
      <c r="AD194" s="753"/>
      <c r="AE194" s="753"/>
      <c r="AF194" s="753"/>
      <c r="AG194" s="753"/>
      <c r="AH194" s="753"/>
      <c r="AI194" s="753"/>
      <c r="AJ194" s="753"/>
      <c r="AK194" s="753"/>
      <c r="AL194" s="753"/>
      <c r="AM194" s="753"/>
      <c r="AN194" s="753"/>
      <c r="AO194" s="753"/>
      <c r="AP194" s="753"/>
      <c r="AQ194" s="753"/>
      <c r="AR194" s="753"/>
      <c r="AS194" s="753"/>
      <c r="AT194" s="753"/>
      <c r="AU194" s="753"/>
      <c r="AV194" s="753"/>
      <c r="AW194" s="753"/>
      <c r="AX194" s="753"/>
      <c r="AY194" s="753"/>
      <c r="AZ194" s="753"/>
      <c r="BA194" s="753"/>
      <c r="BB194" s="753"/>
    </row>
    <row r="195" spans="1:54" ht="15.75" customHeight="1">
      <c r="A195" s="649">
        <v>2</v>
      </c>
      <c r="B195" s="650" t="s">
        <v>1311</v>
      </c>
      <c r="C195" s="650" t="s">
        <v>1306</v>
      </c>
      <c r="D195" s="650" t="s">
        <v>1311</v>
      </c>
      <c r="E195" s="650" t="s">
        <v>1311</v>
      </c>
      <c r="F195" s="650" t="e">
        <v>#N/A</v>
      </c>
      <c r="G195" s="650" t="s">
        <v>1307</v>
      </c>
      <c r="H195" s="649" t="s">
        <v>1073</v>
      </c>
      <c r="I195" s="651" t="s">
        <v>1074</v>
      </c>
      <c r="J195" s="651" t="str">
        <f>VLOOKUP(D195,[5]Sheet1!$D$1:$D$65536,1,0)</f>
        <v>RMCH06-5762FPA</v>
      </c>
      <c r="K195" s="649" t="s">
        <v>28</v>
      </c>
      <c r="L195" s="649"/>
      <c r="M195" s="649"/>
      <c r="N195" s="650" t="s">
        <v>294</v>
      </c>
      <c r="O195" s="650">
        <v>2.7390000000000001E-3</v>
      </c>
      <c r="P195" s="652"/>
      <c r="Q195" s="652"/>
      <c r="R195" s="652">
        <f t="shared" si="15"/>
        <v>2.8348649999999998E-3</v>
      </c>
      <c r="S195" s="652">
        <f t="shared" si="19"/>
        <v>2.8348649999999998E-3</v>
      </c>
      <c r="T195" s="652"/>
      <c r="U195" s="650" t="s">
        <v>1443</v>
      </c>
      <c r="V195" s="650"/>
      <c r="W195" s="650"/>
      <c r="X195" s="653"/>
      <c r="Y195" s="653"/>
      <c r="Z195" s="752"/>
    </row>
    <row r="196" spans="1:54" ht="15.75" customHeight="1">
      <c r="A196" s="649">
        <v>2</v>
      </c>
      <c r="B196" s="650" t="s">
        <v>1479</v>
      </c>
      <c r="C196" s="650" t="s">
        <v>389</v>
      </c>
      <c r="D196" s="650" t="s">
        <v>388</v>
      </c>
      <c r="E196" s="650" t="s">
        <v>388</v>
      </c>
      <c r="F196" s="650" t="s">
        <v>388</v>
      </c>
      <c r="G196" s="650" t="s">
        <v>1312</v>
      </c>
      <c r="H196" s="649" t="s">
        <v>1073</v>
      </c>
      <c r="I196" s="651" t="s">
        <v>1074</v>
      </c>
      <c r="J196" s="651" t="str">
        <f>VLOOKUP(D196,[5]Sheet1!$D$1:$D$65536,1,0)</f>
        <v>CRCW0603510RFKEA</v>
      </c>
      <c r="K196" s="649" t="s">
        <v>28</v>
      </c>
      <c r="L196" s="649">
        <v>2</v>
      </c>
      <c r="M196" s="649"/>
      <c r="N196" s="650" t="s">
        <v>368</v>
      </c>
      <c r="O196" s="650">
        <v>3.0000000000000001E-3</v>
      </c>
      <c r="P196" s="652"/>
      <c r="Q196" s="652"/>
      <c r="R196" s="652">
        <f t="shared" si="15"/>
        <v>3.1049999999999997E-3</v>
      </c>
      <c r="S196" s="652">
        <f t="shared" si="19"/>
        <v>2.4218999999999998E-3</v>
      </c>
      <c r="T196" s="652"/>
      <c r="U196" s="650" t="s">
        <v>1081</v>
      </c>
      <c r="V196" s="650"/>
      <c r="W196" s="650"/>
      <c r="X196" s="653"/>
      <c r="Y196" s="653"/>
      <c r="Z196" s="752" t="s">
        <v>1313</v>
      </c>
    </row>
    <row r="197" spans="1:54" s="658" customFormat="1" ht="15.75" customHeight="1">
      <c r="A197" s="654">
        <v>2</v>
      </c>
      <c r="B197" s="655" t="s">
        <v>394</v>
      </c>
      <c r="C197" s="655" t="s">
        <v>389</v>
      </c>
      <c r="D197" s="655" t="s">
        <v>394</v>
      </c>
      <c r="E197" s="655" t="s">
        <v>394</v>
      </c>
      <c r="F197" s="659" t="s">
        <v>394</v>
      </c>
      <c r="G197" s="659" t="s">
        <v>1312</v>
      </c>
      <c r="H197" s="660" t="s">
        <v>1073</v>
      </c>
      <c r="I197" s="661" t="s">
        <v>1074</v>
      </c>
      <c r="J197" s="651" t="str">
        <f>VLOOKUP(D197,[5]Sheet1!$D$1:$D$65536,1,0)</f>
        <v>AC0603FR-07510RL</v>
      </c>
      <c r="K197" s="654" t="s">
        <v>28</v>
      </c>
      <c r="L197" s="654"/>
      <c r="M197" s="654">
        <v>2</v>
      </c>
      <c r="N197" s="655" t="s">
        <v>296</v>
      </c>
      <c r="O197" s="650">
        <v>6.6E-4</v>
      </c>
      <c r="P197" s="655"/>
      <c r="Q197" s="655"/>
      <c r="R197" s="652">
        <f t="shared" si="15"/>
        <v>6.8309999999999996E-4</v>
      </c>
      <c r="S197" s="652">
        <f t="shared" si="19"/>
        <v>0</v>
      </c>
      <c r="T197" s="655">
        <f>R197*M197</f>
        <v>1.3661999999999999E-3</v>
      </c>
      <c r="U197" s="655" t="s">
        <v>1470</v>
      </c>
      <c r="V197" s="655">
        <v>10000</v>
      </c>
      <c r="W197" s="655">
        <v>10</v>
      </c>
      <c r="X197" s="657" t="s">
        <v>1444</v>
      </c>
      <c r="Y197" s="657" t="s">
        <v>1444</v>
      </c>
      <c r="Z197" s="752"/>
      <c r="AA197" s="753"/>
      <c r="AB197" s="753"/>
      <c r="AC197" s="753"/>
      <c r="AD197" s="753"/>
      <c r="AE197" s="753"/>
      <c r="AF197" s="753"/>
      <c r="AG197" s="753"/>
      <c r="AH197" s="753"/>
      <c r="AI197" s="753"/>
      <c r="AJ197" s="753"/>
      <c r="AK197" s="753"/>
      <c r="AL197" s="753"/>
      <c r="AM197" s="753"/>
      <c r="AN197" s="753"/>
      <c r="AO197" s="753"/>
      <c r="AP197" s="753"/>
      <c r="AQ197" s="753"/>
      <c r="AR197" s="753"/>
      <c r="AS197" s="753"/>
      <c r="AT197" s="753"/>
      <c r="AU197" s="753"/>
      <c r="AV197" s="753"/>
      <c r="AW197" s="753"/>
      <c r="AX197" s="753"/>
      <c r="AY197" s="753"/>
      <c r="AZ197" s="753"/>
      <c r="BA197" s="753"/>
      <c r="BB197" s="753"/>
    </row>
    <row r="198" spans="1:54" ht="15.75" customHeight="1">
      <c r="A198" s="649">
        <v>2</v>
      </c>
      <c r="B198" s="650" t="s">
        <v>392</v>
      </c>
      <c r="C198" s="650" t="s">
        <v>389</v>
      </c>
      <c r="D198" s="650" t="s">
        <v>392</v>
      </c>
      <c r="E198" s="650" t="s">
        <v>392</v>
      </c>
      <c r="F198" s="650" t="s">
        <v>392</v>
      </c>
      <c r="G198" s="650" t="s">
        <v>1312</v>
      </c>
      <c r="H198" s="649" t="s">
        <v>1073</v>
      </c>
      <c r="I198" s="651" t="s">
        <v>1074</v>
      </c>
      <c r="J198" s="651" t="str">
        <f>VLOOKUP(D198,[5]Sheet1!$D$1:$D$65536,1,0)</f>
        <v>RK73H1JTTD5100F</v>
      </c>
      <c r="K198" s="649" t="s">
        <v>28</v>
      </c>
      <c r="L198" s="649"/>
      <c r="M198" s="649"/>
      <c r="N198" s="650" t="s">
        <v>292</v>
      </c>
      <c r="O198" s="650">
        <v>1E-3</v>
      </c>
      <c r="P198" s="652"/>
      <c r="Q198" s="652"/>
      <c r="R198" s="652">
        <f t="shared" si="15"/>
        <v>1.0349999999999999E-3</v>
      </c>
      <c r="S198" s="652">
        <f t="shared" si="19"/>
        <v>3.5189999999999993E-4</v>
      </c>
      <c r="T198" s="652"/>
      <c r="U198" s="650" t="s">
        <v>1081</v>
      </c>
      <c r="V198" s="650"/>
      <c r="W198" s="650"/>
      <c r="X198" s="653"/>
      <c r="Y198" s="653"/>
      <c r="Z198" s="752"/>
    </row>
    <row r="199" spans="1:54" ht="15.75" customHeight="1">
      <c r="A199" s="649">
        <v>2</v>
      </c>
      <c r="B199" s="650" t="s">
        <v>393</v>
      </c>
      <c r="C199" s="650" t="s">
        <v>389</v>
      </c>
      <c r="D199" s="650" t="s">
        <v>393</v>
      </c>
      <c r="E199" s="650" t="s">
        <v>393</v>
      </c>
      <c r="F199" s="650" t="s">
        <v>393</v>
      </c>
      <c r="G199" s="650" t="s">
        <v>1312</v>
      </c>
      <c r="H199" s="649" t="s">
        <v>1073</v>
      </c>
      <c r="I199" s="651" t="s">
        <v>1074</v>
      </c>
      <c r="J199" s="651" t="str">
        <f>VLOOKUP(D199,[5]Sheet1!$D$1:$D$65536,1,0)</f>
        <v>RMCH16K511FTP</v>
      </c>
      <c r="K199" s="649" t="s">
        <v>28</v>
      </c>
      <c r="L199" s="649"/>
      <c r="M199" s="649"/>
      <c r="N199" s="650" t="s">
        <v>294</v>
      </c>
      <c r="O199" s="650">
        <v>1.4499999999999999E-3</v>
      </c>
      <c r="P199" s="652"/>
      <c r="Q199" s="652"/>
      <c r="R199" s="652">
        <f t="shared" ref="R199:R244" si="20">O199*1.035</f>
        <v>1.5007499999999997E-3</v>
      </c>
      <c r="S199" s="652">
        <f t="shared" si="19"/>
        <v>8.1764999999999974E-4</v>
      </c>
      <c r="T199" s="652"/>
      <c r="U199" s="650" t="s">
        <v>1443</v>
      </c>
      <c r="V199" s="650"/>
      <c r="W199" s="650"/>
      <c r="X199" s="653"/>
      <c r="Y199" s="653"/>
      <c r="Z199" s="752"/>
    </row>
    <row r="200" spans="1:54" s="658" customFormat="1" ht="15.75" customHeight="1">
      <c r="A200" s="654">
        <v>2</v>
      </c>
      <c r="B200" s="655" t="s">
        <v>1314</v>
      </c>
      <c r="C200" s="655" t="s">
        <v>1315</v>
      </c>
      <c r="D200" s="655" t="s">
        <v>1314</v>
      </c>
      <c r="E200" s="655" t="s">
        <v>1314</v>
      </c>
      <c r="F200" s="659" t="e">
        <v>#N/A</v>
      </c>
      <c r="G200" s="659" t="s">
        <v>1316</v>
      </c>
      <c r="H200" s="660" t="s">
        <v>1073</v>
      </c>
      <c r="I200" s="661" t="s">
        <v>1074</v>
      </c>
      <c r="J200" s="651" t="str">
        <f>VLOOKUP(D200,[5]Sheet1!$D$1:$D$65536,1,0)</f>
        <v>AC0201FR-0714K7L</v>
      </c>
      <c r="K200" s="654" t="s">
        <v>28</v>
      </c>
      <c r="L200" s="654">
        <v>1</v>
      </c>
      <c r="M200" s="654">
        <v>1</v>
      </c>
      <c r="N200" s="655" t="s">
        <v>296</v>
      </c>
      <c r="O200" s="650">
        <v>5.9999999999999995E-4</v>
      </c>
      <c r="P200" s="655">
        <f>VLOOKUP(D200,'EEBOM Feb.2nd2026'!$D:$N,11,0)</f>
        <v>5.9999999999999995E-4</v>
      </c>
      <c r="Q200" s="655">
        <f>O200-P200</f>
        <v>0</v>
      </c>
      <c r="R200" s="652">
        <f t="shared" si="20"/>
        <v>6.2099999999999992E-4</v>
      </c>
      <c r="S200" s="652">
        <f t="shared" si="19"/>
        <v>6.2099999999999992E-4</v>
      </c>
      <c r="T200" s="655">
        <f>R200*M200</f>
        <v>6.2099999999999992E-4</v>
      </c>
      <c r="U200" s="655" t="s">
        <v>1470</v>
      </c>
      <c r="V200" s="655">
        <v>10000</v>
      </c>
      <c r="W200" s="655">
        <v>10</v>
      </c>
      <c r="X200" s="657" t="s">
        <v>1472</v>
      </c>
      <c r="Y200" s="657" t="s">
        <v>1448</v>
      </c>
      <c r="Z200" s="752" t="s">
        <v>1317</v>
      </c>
      <c r="AA200" s="753"/>
      <c r="AB200" s="753"/>
      <c r="AC200" s="753"/>
      <c r="AD200" s="753"/>
      <c r="AE200" s="753"/>
      <c r="AF200" s="753"/>
      <c r="AG200" s="753"/>
      <c r="AH200" s="753"/>
      <c r="AI200" s="753"/>
      <c r="AJ200" s="753"/>
      <c r="AK200" s="753"/>
      <c r="AL200" s="753"/>
      <c r="AM200" s="753"/>
      <c r="AN200" s="753"/>
      <c r="AO200" s="753"/>
      <c r="AP200" s="753"/>
      <c r="AQ200" s="753"/>
      <c r="AR200" s="753"/>
      <c r="AS200" s="753"/>
      <c r="AT200" s="753"/>
      <c r="AU200" s="753"/>
      <c r="AV200" s="753"/>
      <c r="AW200" s="753"/>
      <c r="AX200" s="753"/>
      <c r="AY200" s="753"/>
      <c r="AZ200" s="753"/>
      <c r="BA200" s="753"/>
      <c r="BB200" s="753"/>
    </row>
    <row r="201" spans="1:54" ht="15.75" customHeight="1">
      <c r="A201" s="649">
        <v>2</v>
      </c>
      <c r="B201" s="650" t="s">
        <v>1318</v>
      </c>
      <c r="C201" s="650" t="s">
        <v>1315</v>
      </c>
      <c r="D201" s="650" t="s">
        <v>1318</v>
      </c>
      <c r="E201" s="650" t="s">
        <v>1318</v>
      </c>
      <c r="F201" s="650" t="e">
        <v>#N/A</v>
      </c>
      <c r="G201" s="650" t="s">
        <v>1316</v>
      </c>
      <c r="H201" s="649" t="s">
        <v>1073</v>
      </c>
      <c r="I201" s="651" t="s">
        <v>1074</v>
      </c>
      <c r="J201" s="651" t="str">
        <f>VLOOKUP(D201,[5]Sheet1!$D$1:$D$65536,1,0)</f>
        <v>RK73H1HTTC1472F</v>
      </c>
      <c r="K201" s="649" t="s">
        <v>28</v>
      </c>
      <c r="L201" s="649"/>
      <c r="M201" s="649"/>
      <c r="N201" s="650" t="s">
        <v>292</v>
      </c>
      <c r="O201" s="650">
        <v>1.5139999999999999E-3</v>
      </c>
      <c r="P201" s="652"/>
      <c r="Q201" s="652"/>
      <c r="R201" s="652">
        <f t="shared" si="20"/>
        <v>1.5669899999999999E-3</v>
      </c>
      <c r="S201" s="652">
        <f t="shared" si="19"/>
        <v>1.5669899999999999E-3</v>
      </c>
      <c r="T201" s="652"/>
      <c r="U201" s="650" t="s">
        <v>1443</v>
      </c>
      <c r="V201" s="650"/>
      <c r="W201" s="650"/>
      <c r="X201" s="653"/>
      <c r="Y201" s="653"/>
      <c r="Z201" s="752"/>
    </row>
    <row r="202" spans="1:54" ht="15.75" customHeight="1">
      <c r="A202" s="649">
        <v>2</v>
      </c>
      <c r="B202" s="650" t="s">
        <v>1319</v>
      </c>
      <c r="C202" s="650" t="s">
        <v>1315</v>
      </c>
      <c r="D202" s="650" t="s">
        <v>1319</v>
      </c>
      <c r="E202" s="650" t="s">
        <v>1319</v>
      </c>
      <c r="F202" s="650" t="e">
        <v>#N/A</v>
      </c>
      <c r="G202" s="650" t="s">
        <v>1316</v>
      </c>
      <c r="H202" s="649" t="s">
        <v>1073</v>
      </c>
      <c r="I202" s="651" t="s">
        <v>1074</v>
      </c>
      <c r="J202" s="651" t="str">
        <f>VLOOKUP(D202,[5]Sheet1!$D$1:$D$65536,1,0)</f>
        <v>RMCH06-1472FPA</v>
      </c>
      <c r="K202" s="649" t="s">
        <v>28</v>
      </c>
      <c r="L202" s="649"/>
      <c r="M202" s="649"/>
      <c r="N202" s="650" t="s">
        <v>294</v>
      </c>
      <c r="O202" s="650">
        <v>2.7390000000000001E-3</v>
      </c>
      <c r="P202" s="652"/>
      <c r="Q202" s="652"/>
      <c r="R202" s="652">
        <f t="shared" si="20"/>
        <v>2.8348649999999998E-3</v>
      </c>
      <c r="S202" s="652">
        <f t="shared" si="19"/>
        <v>2.8348649999999998E-3</v>
      </c>
      <c r="T202" s="652"/>
      <c r="U202" s="650" t="s">
        <v>1443</v>
      </c>
      <c r="V202" s="650"/>
      <c r="W202" s="650"/>
      <c r="X202" s="653"/>
      <c r="Y202" s="653"/>
      <c r="Z202" s="752"/>
    </row>
    <row r="203" spans="1:54" ht="15.75" customHeight="1">
      <c r="A203" s="649">
        <v>2</v>
      </c>
      <c r="B203" s="650" t="s">
        <v>1320</v>
      </c>
      <c r="C203" s="650" t="s">
        <v>1315</v>
      </c>
      <c r="D203" s="650" t="s">
        <v>1320</v>
      </c>
      <c r="E203" s="650" t="s">
        <v>1320</v>
      </c>
      <c r="F203" s="650" t="e">
        <v>#N/A</v>
      </c>
      <c r="G203" s="650" t="s">
        <v>1316</v>
      </c>
      <c r="H203" s="649" t="s">
        <v>1073</v>
      </c>
      <c r="I203" s="651" t="s">
        <v>1074</v>
      </c>
      <c r="J203" s="651" t="str">
        <f>VLOOKUP(D203,[5]Sheet1!$D$1:$D$65536,1,0)</f>
        <v>ERJ1GJF1472C</v>
      </c>
      <c r="K203" s="649" t="s">
        <v>28</v>
      </c>
      <c r="L203" s="649"/>
      <c r="M203" s="670"/>
      <c r="N203" s="650" t="s">
        <v>289</v>
      </c>
      <c r="O203" s="650"/>
      <c r="P203" s="652"/>
      <c r="Q203" s="652"/>
      <c r="R203" s="652">
        <f t="shared" si="20"/>
        <v>0</v>
      </c>
      <c r="S203" s="652">
        <f t="shared" si="19"/>
        <v>0</v>
      </c>
      <c r="T203" s="652"/>
      <c r="U203" s="650"/>
      <c r="V203" s="650"/>
      <c r="W203" s="650"/>
      <c r="X203" s="653"/>
      <c r="Y203" s="653"/>
      <c r="Z203" s="752"/>
    </row>
    <row r="204" spans="1:54" s="658" customFormat="1" ht="15.75" customHeight="1">
      <c r="A204" s="654">
        <v>2</v>
      </c>
      <c r="B204" s="655" t="s">
        <v>449</v>
      </c>
      <c r="C204" s="655" t="s">
        <v>441</v>
      </c>
      <c r="D204" s="655" t="s">
        <v>449</v>
      </c>
      <c r="E204" s="655" t="s">
        <v>449</v>
      </c>
      <c r="F204" s="659" t="s">
        <v>449</v>
      </c>
      <c r="G204" s="659" t="s">
        <v>1321</v>
      </c>
      <c r="H204" s="660" t="s">
        <v>1073</v>
      </c>
      <c r="I204" s="661" t="s">
        <v>1074</v>
      </c>
      <c r="J204" s="651" t="str">
        <f>VLOOKUP(D204,[5]Sheet1!$D$1:$D$65536,1,0)</f>
        <v>AC0201FR-0711KL</v>
      </c>
      <c r="K204" s="654" t="s">
        <v>28</v>
      </c>
      <c r="L204" s="654">
        <v>1</v>
      </c>
      <c r="M204" s="654">
        <v>1</v>
      </c>
      <c r="N204" s="655" t="s">
        <v>296</v>
      </c>
      <c r="O204" s="650">
        <v>5.9999999999999995E-4</v>
      </c>
      <c r="P204" s="655">
        <f>VLOOKUP(D204,'EEBOM Feb.2nd2026'!$D:$N,11,0)</f>
        <v>5.9999999999999995E-4</v>
      </c>
      <c r="Q204" s="655">
        <f>O204-P204</f>
        <v>0</v>
      </c>
      <c r="R204" s="652">
        <f t="shared" si="20"/>
        <v>6.2099999999999992E-4</v>
      </c>
      <c r="S204" s="652">
        <f t="shared" si="19"/>
        <v>0</v>
      </c>
      <c r="T204" s="655">
        <f>R204*M204</f>
        <v>6.2099999999999992E-4</v>
      </c>
      <c r="U204" s="655" t="s">
        <v>1470</v>
      </c>
      <c r="V204" s="655">
        <v>10000</v>
      </c>
      <c r="W204" s="655">
        <v>10</v>
      </c>
      <c r="X204" s="657" t="s">
        <v>1472</v>
      </c>
      <c r="Y204" s="657" t="s">
        <v>1448</v>
      </c>
      <c r="Z204" s="752" t="s">
        <v>1322</v>
      </c>
      <c r="AA204" s="753"/>
      <c r="AB204" s="753"/>
      <c r="AC204" s="753"/>
      <c r="AD204" s="753"/>
      <c r="AE204" s="753"/>
      <c r="AF204" s="753"/>
      <c r="AG204" s="753"/>
      <c r="AH204" s="753"/>
      <c r="AI204" s="753"/>
      <c r="AJ204" s="753"/>
      <c r="AK204" s="753"/>
      <c r="AL204" s="753"/>
      <c r="AM204" s="753"/>
      <c r="AN204" s="753"/>
      <c r="AO204" s="753"/>
      <c r="AP204" s="753"/>
      <c r="AQ204" s="753"/>
      <c r="AR204" s="753"/>
      <c r="AS204" s="753"/>
      <c r="AT204" s="753"/>
      <c r="AU204" s="753"/>
      <c r="AV204" s="753"/>
      <c r="AW204" s="753"/>
      <c r="AX204" s="753"/>
      <c r="AY204" s="753"/>
      <c r="AZ204" s="753"/>
      <c r="BA204" s="753"/>
      <c r="BB204" s="753"/>
    </row>
    <row r="205" spans="1:54" ht="15.75" customHeight="1">
      <c r="A205" s="649">
        <v>2</v>
      </c>
      <c r="B205" s="650" t="s">
        <v>445</v>
      </c>
      <c r="C205" s="650" t="s">
        <v>441</v>
      </c>
      <c r="D205" s="650" t="s">
        <v>445</v>
      </c>
      <c r="E205" s="650" t="s">
        <v>445</v>
      </c>
      <c r="F205" s="650" t="s">
        <v>445</v>
      </c>
      <c r="G205" s="650" t="s">
        <v>1321</v>
      </c>
      <c r="H205" s="649" t="s">
        <v>1073</v>
      </c>
      <c r="I205" s="651" t="s">
        <v>1074</v>
      </c>
      <c r="J205" s="651" t="str">
        <f>VLOOKUP(D205,[5]Sheet1!$D$1:$D$65536,1,0)</f>
        <v>RK73H1HTTC1102F</v>
      </c>
      <c r="K205" s="649" t="s">
        <v>28</v>
      </c>
      <c r="L205" s="649"/>
      <c r="M205" s="649"/>
      <c r="N205" s="650" t="s">
        <v>292</v>
      </c>
      <c r="O205" s="650">
        <v>1.5139999999999999E-3</v>
      </c>
      <c r="P205" s="652"/>
      <c r="Q205" s="652"/>
      <c r="R205" s="652">
        <f t="shared" si="20"/>
        <v>1.5669899999999999E-3</v>
      </c>
      <c r="S205" s="652">
        <f t="shared" si="19"/>
        <v>9.4598999999999996E-4</v>
      </c>
      <c r="T205" s="652"/>
      <c r="U205" s="650" t="s">
        <v>1443</v>
      </c>
      <c r="V205" s="650"/>
      <c r="W205" s="650"/>
      <c r="X205" s="653"/>
      <c r="Y205" s="653"/>
      <c r="Z205" s="752"/>
    </row>
    <row r="206" spans="1:54" ht="15.75" customHeight="1">
      <c r="A206" s="649">
        <v>2</v>
      </c>
      <c r="B206" s="650" t="s">
        <v>448</v>
      </c>
      <c r="C206" s="650" t="s">
        <v>441</v>
      </c>
      <c r="D206" s="650" t="s">
        <v>448</v>
      </c>
      <c r="E206" s="650" t="s">
        <v>448</v>
      </c>
      <c r="F206" s="650" t="s">
        <v>448</v>
      </c>
      <c r="G206" s="650" t="s">
        <v>1321</v>
      </c>
      <c r="H206" s="649" t="s">
        <v>1073</v>
      </c>
      <c r="I206" s="651" t="s">
        <v>1074</v>
      </c>
      <c r="J206" s="651" t="str">
        <f>VLOOKUP(D206,[5]Sheet1!$D$1:$D$65536,1,0)</f>
        <v>RMCH06-113FPA</v>
      </c>
      <c r="K206" s="649" t="s">
        <v>28</v>
      </c>
      <c r="L206" s="649"/>
      <c r="M206" s="649"/>
      <c r="N206" s="650" t="s">
        <v>294</v>
      </c>
      <c r="O206" s="650">
        <v>2.7390000000000001E-3</v>
      </c>
      <c r="P206" s="652"/>
      <c r="Q206" s="652"/>
      <c r="R206" s="652">
        <f t="shared" si="20"/>
        <v>2.8348649999999998E-3</v>
      </c>
      <c r="S206" s="652">
        <f t="shared" si="19"/>
        <v>2.2138649999999998E-3</v>
      </c>
      <c r="T206" s="652"/>
      <c r="U206" s="650" t="s">
        <v>1443</v>
      </c>
      <c r="V206" s="650"/>
      <c r="W206" s="650"/>
      <c r="X206" s="653"/>
      <c r="Y206" s="653"/>
      <c r="Z206" s="752"/>
    </row>
    <row r="207" spans="1:54" ht="15.75" customHeight="1">
      <c r="A207" s="649">
        <v>2</v>
      </c>
      <c r="B207" s="650" t="s">
        <v>447</v>
      </c>
      <c r="C207" s="650" t="s">
        <v>441</v>
      </c>
      <c r="D207" s="650" t="s">
        <v>447</v>
      </c>
      <c r="E207" s="650" t="s">
        <v>447</v>
      </c>
      <c r="F207" s="650" t="s">
        <v>447</v>
      </c>
      <c r="G207" s="650" t="s">
        <v>1321</v>
      </c>
      <c r="H207" s="649" t="s">
        <v>1073</v>
      </c>
      <c r="I207" s="651" t="s">
        <v>1074</v>
      </c>
      <c r="J207" s="651" t="str">
        <f>VLOOKUP(D207,[5]Sheet1!$D$1:$D$65536,1,0)</f>
        <v>ERJ1GJF1102C</v>
      </c>
      <c r="K207" s="649" t="s">
        <v>28</v>
      </c>
      <c r="L207" s="649"/>
      <c r="M207" s="649"/>
      <c r="N207" s="650" t="s">
        <v>289</v>
      </c>
      <c r="O207" s="650">
        <v>1.4800000000000001E-2</v>
      </c>
      <c r="P207" s="652"/>
      <c r="Q207" s="652"/>
      <c r="R207" s="652">
        <f t="shared" si="20"/>
        <v>1.5318E-2</v>
      </c>
      <c r="S207" s="652">
        <f t="shared" si="19"/>
        <v>1.4697E-2</v>
      </c>
      <c r="T207" s="652"/>
      <c r="U207" s="650" t="s">
        <v>1480</v>
      </c>
      <c r="V207" s="650"/>
      <c r="W207" s="650"/>
      <c r="X207" s="653"/>
      <c r="Y207" s="653"/>
      <c r="Z207" s="752"/>
    </row>
    <row r="208" spans="1:54" s="658" customFormat="1" ht="15.75" customHeight="1">
      <c r="A208" s="654">
        <v>2</v>
      </c>
      <c r="B208" s="655" t="s">
        <v>1323</v>
      </c>
      <c r="C208" s="655" t="s">
        <v>1324</v>
      </c>
      <c r="D208" s="655" t="s">
        <v>1323</v>
      </c>
      <c r="E208" s="655" t="s">
        <v>1323</v>
      </c>
      <c r="F208" s="659" t="e">
        <v>#N/A</v>
      </c>
      <c r="G208" s="659" t="s">
        <v>1325</v>
      </c>
      <c r="H208" s="660" t="s">
        <v>1073</v>
      </c>
      <c r="I208" s="661" t="s">
        <v>1074</v>
      </c>
      <c r="J208" s="651" t="str">
        <f>VLOOKUP(D208,[5]Sheet1!$D$1:$D$65536,1,0)</f>
        <v>AC0201FR-072K2L</v>
      </c>
      <c r="K208" s="654" t="s">
        <v>28</v>
      </c>
      <c r="L208" s="654">
        <v>3</v>
      </c>
      <c r="M208" s="654">
        <v>3</v>
      </c>
      <c r="N208" s="655" t="s">
        <v>296</v>
      </c>
      <c r="O208" s="650">
        <v>5.9999999999999995E-4</v>
      </c>
      <c r="P208" s="655">
        <f>VLOOKUP(D208,'EEBOM Feb.2nd2026'!$D:$N,11,0)</f>
        <v>5.9999999999999995E-4</v>
      </c>
      <c r="Q208" s="655">
        <f>O208-P208</f>
        <v>0</v>
      </c>
      <c r="R208" s="652">
        <f t="shared" si="20"/>
        <v>6.2099999999999992E-4</v>
      </c>
      <c r="S208" s="652">
        <f t="shared" si="19"/>
        <v>6.2099999999999992E-4</v>
      </c>
      <c r="T208" s="655">
        <f>R208*M208</f>
        <v>1.8629999999999996E-3</v>
      </c>
      <c r="U208" s="655" t="s">
        <v>1470</v>
      </c>
      <c r="V208" s="655">
        <v>10000</v>
      </c>
      <c r="W208" s="655">
        <v>10</v>
      </c>
      <c r="X208" s="657" t="s">
        <v>1472</v>
      </c>
      <c r="Y208" s="657" t="s">
        <v>1448</v>
      </c>
      <c r="Z208" s="752" t="s">
        <v>1326</v>
      </c>
      <c r="AA208" s="753"/>
      <c r="AB208" s="753"/>
      <c r="AC208" s="753"/>
      <c r="AD208" s="753"/>
      <c r="AE208" s="753"/>
      <c r="AF208" s="753"/>
      <c r="AG208" s="753"/>
      <c r="AH208" s="753"/>
      <c r="AI208" s="753"/>
      <c r="AJ208" s="753"/>
      <c r="AK208" s="753"/>
      <c r="AL208" s="753"/>
      <c r="AM208" s="753"/>
      <c r="AN208" s="753"/>
      <c r="AO208" s="753"/>
      <c r="AP208" s="753"/>
      <c r="AQ208" s="753"/>
      <c r="AR208" s="753"/>
      <c r="AS208" s="753"/>
      <c r="AT208" s="753"/>
      <c r="AU208" s="753"/>
      <c r="AV208" s="753"/>
      <c r="AW208" s="753"/>
      <c r="AX208" s="753"/>
      <c r="AY208" s="753"/>
      <c r="AZ208" s="753"/>
      <c r="BA208" s="753"/>
      <c r="BB208" s="753"/>
    </row>
    <row r="209" spans="1:54" ht="15.75" customHeight="1">
      <c r="A209" s="649">
        <v>2</v>
      </c>
      <c r="B209" s="650" t="s">
        <v>1327</v>
      </c>
      <c r="C209" s="650" t="s">
        <v>1324</v>
      </c>
      <c r="D209" s="650" t="s">
        <v>1327</v>
      </c>
      <c r="E209" s="650" t="s">
        <v>1327</v>
      </c>
      <c r="F209" s="650" t="e">
        <v>#N/A</v>
      </c>
      <c r="G209" s="650" t="s">
        <v>1325</v>
      </c>
      <c r="H209" s="649" t="s">
        <v>1073</v>
      </c>
      <c r="I209" s="651" t="s">
        <v>1074</v>
      </c>
      <c r="J209" s="651" t="str">
        <f>VLOOKUP(D209,[5]Sheet1!$D$1:$D$65536,1,0)</f>
        <v>RK73H1HTTC2201F</v>
      </c>
      <c r="K209" s="649" t="s">
        <v>28</v>
      </c>
      <c r="L209" s="649"/>
      <c r="M209" s="649"/>
      <c r="N209" s="650" t="s">
        <v>292</v>
      </c>
      <c r="O209" s="650">
        <v>1.5139999999999999E-3</v>
      </c>
      <c r="P209" s="652"/>
      <c r="Q209" s="652"/>
      <c r="R209" s="652">
        <f t="shared" si="20"/>
        <v>1.5669899999999999E-3</v>
      </c>
      <c r="S209" s="652">
        <f t="shared" si="19"/>
        <v>1.5669899999999999E-3</v>
      </c>
      <c r="T209" s="652"/>
      <c r="U209" s="650" t="s">
        <v>1443</v>
      </c>
      <c r="V209" s="650"/>
      <c r="W209" s="650"/>
      <c r="X209" s="653"/>
      <c r="Y209" s="653"/>
      <c r="Z209" s="752"/>
    </row>
    <row r="210" spans="1:54" ht="15.75" customHeight="1">
      <c r="A210" s="649">
        <v>2</v>
      </c>
      <c r="B210" s="650" t="s">
        <v>1328</v>
      </c>
      <c r="C210" s="650" t="s">
        <v>1324</v>
      </c>
      <c r="D210" s="650" t="s">
        <v>1328</v>
      </c>
      <c r="E210" s="650" t="s">
        <v>1328</v>
      </c>
      <c r="F210" s="650" t="e">
        <v>#N/A</v>
      </c>
      <c r="G210" s="650" t="s">
        <v>1325</v>
      </c>
      <c r="H210" s="649" t="s">
        <v>1073</v>
      </c>
      <c r="I210" s="651" t="s">
        <v>1074</v>
      </c>
      <c r="J210" s="651" t="str">
        <f>VLOOKUP(D210,[5]Sheet1!$D$1:$D$65536,1,0)</f>
        <v>RMCH06-222FPA</v>
      </c>
      <c r="K210" s="649" t="s">
        <v>28</v>
      </c>
      <c r="L210" s="649"/>
      <c r="M210" s="649"/>
      <c r="N210" s="650" t="s">
        <v>294</v>
      </c>
      <c r="O210" s="650">
        <v>2.7390000000000001E-3</v>
      </c>
      <c r="P210" s="652"/>
      <c r="Q210" s="652"/>
      <c r="R210" s="652">
        <f t="shared" si="20"/>
        <v>2.8348649999999998E-3</v>
      </c>
      <c r="S210" s="652">
        <f t="shared" si="19"/>
        <v>2.8348649999999998E-3</v>
      </c>
      <c r="T210" s="652"/>
      <c r="U210" s="650" t="s">
        <v>1443</v>
      </c>
      <c r="V210" s="650"/>
      <c r="W210" s="650"/>
      <c r="X210" s="653"/>
      <c r="Y210" s="653"/>
      <c r="Z210" s="752"/>
    </row>
    <row r="211" spans="1:54" ht="15.75" customHeight="1">
      <c r="A211" s="649">
        <v>2</v>
      </c>
      <c r="B211" s="650" t="s">
        <v>1329</v>
      </c>
      <c r="C211" s="650" t="s">
        <v>1324</v>
      </c>
      <c r="D211" s="650" t="s">
        <v>1329</v>
      </c>
      <c r="E211" s="650" t="s">
        <v>1329</v>
      </c>
      <c r="F211" s="650" t="e">
        <v>#N/A</v>
      </c>
      <c r="G211" s="650" t="s">
        <v>1325</v>
      </c>
      <c r="H211" s="649" t="s">
        <v>1073</v>
      </c>
      <c r="I211" s="651" t="s">
        <v>1074</v>
      </c>
      <c r="J211" s="651" t="str">
        <f>VLOOKUP(D211,[5]Sheet1!$D$1:$D$65536,1,0)</f>
        <v>ERJ1GJF2201C</v>
      </c>
      <c r="K211" s="649" t="s">
        <v>28</v>
      </c>
      <c r="L211" s="649"/>
      <c r="M211" s="670"/>
      <c r="N211" s="650" t="s">
        <v>289</v>
      </c>
      <c r="O211" s="650"/>
      <c r="P211" s="652"/>
      <c r="Q211" s="652"/>
      <c r="R211" s="652">
        <f t="shared" si="20"/>
        <v>0</v>
      </c>
      <c r="S211" s="652">
        <f t="shared" si="19"/>
        <v>0</v>
      </c>
      <c r="T211" s="652"/>
      <c r="U211" s="650"/>
      <c r="V211" s="650"/>
      <c r="W211" s="650"/>
      <c r="X211" s="653"/>
      <c r="Y211" s="653"/>
      <c r="Z211" s="752"/>
    </row>
    <row r="212" spans="1:54" s="658" customFormat="1">
      <c r="A212" s="654">
        <v>2</v>
      </c>
      <c r="B212" s="655" t="s">
        <v>1330</v>
      </c>
      <c r="C212" s="655" t="s">
        <v>1331</v>
      </c>
      <c r="D212" s="655" t="s">
        <v>1330</v>
      </c>
      <c r="E212" s="655" t="s">
        <v>1330</v>
      </c>
      <c r="F212" s="659" t="e">
        <v>#N/A</v>
      </c>
      <c r="G212" s="659" t="s">
        <v>1332</v>
      </c>
      <c r="H212" s="660" t="s">
        <v>1073</v>
      </c>
      <c r="I212" s="661" t="s">
        <v>1074</v>
      </c>
      <c r="J212" s="651" t="str">
        <f>VLOOKUP(D212,[5]Sheet1!$D$1:$D$65536,1,0)</f>
        <v>AC0201FR-07330KL</v>
      </c>
      <c r="K212" s="654" t="s">
        <v>28</v>
      </c>
      <c r="L212" s="654">
        <v>1</v>
      </c>
      <c r="M212" s="654">
        <v>1</v>
      </c>
      <c r="N212" s="655" t="s">
        <v>296</v>
      </c>
      <c r="O212" s="650">
        <v>5.9999999999999995E-4</v>
      </c>
      <c r="P212" s="655">
        <f>VLOOKUP(D212,'EEBOM Feb.2nd2026'!$D:$N,11,0)</f>
        <v>5.9999999999999995E-4</v>
      </c>
      <c r="Q212" s="655">
        <f>O212-P212</f>
        <v>0</v>
      </c>
      <c r="R212" s="652">
        <f t="shared" si="20"/>
        <v>6.2099999999999992E-4</v>
      </c>
      <c r="S212" s="652">
        <f t="shared" si="19"/>
        <v>6.2099999999999992E-4</v>
      </c>
      <c r="T212" s="655">
        <f>R212*M212</f>
        <v>6.2099999999999992E-4</v>
      </c>
      <c r="U212" s="655" t="s">
        <v>1470</v>
      </c>
      <c r="V212" s="655">
        <v>10000</v>
      </c>
      <c r="W212" s="655">
        <v>10</v>
      </c>
      <c r="X212" s="657" t="s">
        <v>1472</v>
      </c>
      <c r="Y212" s="657" t="s">
        <v>1448</v>
      </c>
      <c r="Z212" s="752" t="s">
        <v>1333</v>
      </c>
      <c r="AA212" s="753"/>
      <c r="AB212" s="753"/>
      <c r="AC212" s="753"/>
      <c r="AD212" s="753"/>
      <c r="AE212" s="753"/>
      <c r="AF212" s="753"/>
      <c r="AG212" s="753"/>
      <c r="AH212" s="753"/>
      <c r="AI212" s="753"/>
      <c r="AJ212" s="753"/>
      <c r="AK212" s="753"/>
      <c r="AL212" s="753"/>
      <c r="AM212" s="753"/>
      <c r="AN212" s="753"/>
      <c r="AO212" s="753"/>
      <c r="AP212" s="753"/>
      <c r="AQ212" s="753"/>
      <c r="AR212" s="753"/>
      <c r="AS212" s="753"/>
      <c r="AT212" s="753"/>
      <c r="AU212" s="753"/>
      <c r="AV212" s="753"/>
      <c r="AW212" s="753"/>
      <c r="AX212" s="753"/>
      <c r="AY212" s="753"/>
      <c r="AZ212" s="753"/>
      <c r="BA212" s="753"/>
      <c r="BB212" s="753"/>
    </row>
    <row r="213" spans="1:54" ht="15.75" customHeight="1">
      <c r="A213" s="649">
        <v>2</v>
      </c>
      <c r="B213" s="650" t="s">
        <v>1334</v>
      </c>
      <c r="C213" s="650" t="s">
        <v>1331</v>
      </c>
      <c r="D213" s="650" t="s">
        <v>1334</v>
      </c>
      <c r="E213" s="650" t="s">
        <v>1334</v>
      </c>
      <c r="F213" s="650" t="e">
        <v>#N/A</v>
      </c>
      <c r="G213" s="650" t="s">
        <v>1332</v>
      </c>
      <c r="H213" s="649" t="s">
        <v>1073</v>
      </c>
      <c r="I213" s="651" t="s">
        <v>1074</v>
      </c>
      <c r="J213" s="651" t="str">
        <f>VLOOKUP(D213,[5]Sheet1!$D$1:$D$65536,1,0)</f>
        <v>RK73H1HTTC3303F</v>
      </c>
      <c r="K213" s="649" t="s">
        <v>28</v>
      </c>
      <c r="L213" s="649"/>
      <c r="M213" s="649"/>
      <c r="N213" s="650" t="s">
        <v>292</v>
      </c>
      <c r="O213" s="650">
        <v>1.5139999999999999E-3</v>
      </c>
      <c r="P213" s="652"/>
      <c r="Q213" s="652"/>
      <c r="R213" s="652">
        <f t="shared" si="20"/>
        <v>1.5669899999999999E-3</v>
      </c>
      <c r="S213" s="652">
        <f t="shared" ref="S213:S229" si="21">R213-_xlfn.MINIFS(R:R,C:C,C213)</f>
        <v>1.5669899999999999E-3</v>
      </c>
      <c r="T213" s="652"/>
      <c r="U213" s="650" t="s">
        <v>1443</v>
      </c>
      <c r="V213" s="650"/>
      <c r="W213" s="650"/>
      <c r="X213" s="653"/>
      <c r="Y213" s="653"/>
      <c r="Z213" s="752"/>
    </row>
    <row r="214" spans="1:54" ht="15.75" customHeight="1">
      <c r="A214" s="649">
        <v>2</v>
      </c>
      <c r="B214" s="650" t="s">
        <v>1335</v>
      </c>
      <c r="C214" s="650" t="s">
        <v>1331</v>
      </c>
      <c r="D214" s="650" t="s">
        <v>1335</v>
      </c>
      <c r="E214" s="650" t="s">
        <v>1335</v>
      </c>
      <c r="F214" s="650" t="e">
        <v>#N/A</v>
      </c>
      <c r="G214" s="650" t="s">
        <v>1332</v>
      </c>
      <c r="H214" s="649" t="s">
        <v>1073</v>
      </c>
      <c r="I214" s="651" t="s">
        <v>1074</v>
      </c>
      <c r="J214" s="651" t="str">
        <f>VLOOKUP(D214,[5]Sheet1!$D$1:$D$65536,1,0)</f>
        <v>ERJ1GJF3303C</v>
      </c>
      <c r="K214" s="649" t="s">
        <v>28</v>
      </c>
      <c r="L214" s="649"/>
      <c r="M214" s="670"/>
      <c r="N214" s="650" t="s">
        <v>289</v>
      </c>
      <c r="O214" s="650"/>
      <c r="P214" s="652"/>
      <c r="Q214" s="652"/>
      <c r="R214" s="652">
        <f t="shared" si="20"/>
        <v>0</v>
      </c>
      <c r="S214" s="652">
        <f t="shared" si="21"/>
        <v>0</v>
      </c>
      <c r="T214" s="652"/>
      <c r="U214" s="650"/>
      <c r="V214" s="650"/>
      <c r="W214" s="650"/>
      <c r="X214" s="653"/>
      <c r="Y214" s="653"/>
      <c r="Z214" s="752"/>
    </row>
    <row r="215" spans="1:54" ht="15.75" customHeight="1">
      <c r="A215" s="649">
        <v>2</v>
      </c>
      <c r="B215" s="650" t="s">
        <v>1336</v>
      </c>
      <c r="C215" s="650" t="s">
        <v>1331</v>
      </c>
      <c r="D215" s="650" t="s">
        <v>1336</v>
      </c>
      <c r="E215" s="650" t="s">
        <v>1336</v>
      </c>
      <c r="F215" s="650" t="e">
        <v>#N/A</v>
      </c>
      <c r="G215" s="650" t="s">
        <v>1332</v>
      </c>
      <c r="H215" s="649" t="s">
        <v>1073</v>
      </c>
      <c r="I215" s="651" t="s">
        <v>1074</v>
      </c>
      <c r="J215" s="651" t="str">
        <f>VLOOKUP(D215,[5]Sheet1!$D$1:$D$65536,1,0)</f>
        <v>RMCH06-334FPA</v>
      </c>
      <c r="K215" s="649" t="s">
        <v>28</v>
      </c>
      <c r="L215" s="649"/>
      <c r="M215" s="649"/>
      <c r="N215" s="650" t="s">
        <v>294</v>
      </c>
      <c r="O215" s="650">
        <v>2.7390000000000001E-3</v>
      </c>
      <c r="P215" s="652"/>
      <c r="Q215" s="652"/>
      <c r="R215" s="652">
        <f t="shared" si="20"/>
        <v>2.8348649999999998E-3</v>
      </c>
      <c r="S215" s="652">
        <f t="shared" si="21"/>
        <v>2.8348649999999998E-3</v>
      </c>
      <c r="T215" s="652"/>
      <c r="U215" s="650" t="s">
        <v>1443</v>
      </c>
      <c r="V215" s="650"/>
      <c r="W215" s="650"/>
      <c r="X215" s="653"/>
      <c r="Y215" s="653"/>
      <c r="Z215" s="752"/>
    </row>
    <row r="216" spans="1:54" ht="15.75" customHeight="1">
      <c r="A216" s="649">
        <v>2</v>
      </c>
      <c r="B216" s="650" t="s">
        <v>1337</v>
      </c>
      <c r="C216" s="650" t="s">
        <v>1338</v>
      </c>
      <c r="D216" s="650" t="s">
        <v>1337</v>
      </c>
      <c r="E216" s="650" t="s">
        <v>1337</v>
      </c>
      <c r="F216" s="650" t="e">
        <v>#N/A</v>
      </c>
      <c r="G216" s="650" t="s">
        <v>1339</v>
      </c>
      <c r="H216" s="649" t="s">
        <v>1073</v>
      </c>
      <c r="I216" s="651" t="s">
        <v>1074</v>
      </c>
      <c r="J216" s="651" t="str">
        <f>VLOOKUP(D216,[5]Sheet1!$D$1:$D$65536,1,0)</f>
        <v>CRCW0603220KFKEA</v>
      </c>
      <c r="K216" s="649" t="s">
        <v>28</v>
      </c>
      <c r="L216" s="649">
        <v>1</v>
      </c>
      <c r="M216" s="649"/>
      <c r="N216" s="650" t="s">
        <v>368</v>
      </c>
      <c r="O216" s="650">
        <v>9.5600000000000004E-4</v>
      </c>
      <c r="P216" s="652"/>
      <c r="Q216" s="652"/>
      <c r="R216" s="652">
        <f t="shared" si="20"/>
        <v>9.8945999999999995E-4</v>
      </c>
      <c r="S216" s="652">
        <f t="shared" si="21"/>
        <v>3.6846000000000003E-4</v>
      </c>
      <c r="T216" s="652"/>
      <c r="U216" s="650" t="s">
        <v>1443</v>
      </c>
      <c r="V216" s="650"/>
      <c r="W216" s="650"/>
      <c r="X216" s="653"/>
      <c r="Y216" s="653"/>
      <c r="Z216" s="752" t="s">
        <v>1340</v>
      </c>
    </row>
    <row r="217" spans="1:54" s="658" customFormat="1" ht="15.75" customHeight="1">
      <c r="A217" s="654">
        <v>2</v>
      </c>
      <c r="B217" s="655" t="s">
        <v>1341</v>
      </c>
      <c r="C217" s="655" t="s">
        <v>1338</v>
      </c>
      <c r="D217" s="655" t="s">
        <v>1341</v>
      </c>
      <c r="E217" s="655" t="s">
        <v>1341</v>
      </c>
      <c r="F217" s="659" t="e">
        <v>#N/A</v>
      </c>
      <c r="G217" s="659" t="s">
        <v>1339</v>
      </c>
      <c r="H217" s="660" t="s">
        <v>1073</v>
      </c>
      <c r="I217" s="661" t="s">
        <v>1074</v>
      </c>
      <c r="J217" s="651" t="str">
        <f>VLOOKUP(D217,[5]Sheet1!$D$1:$D$65536,1,0)</f>
        <v>AC0603FR-07220KL</v>
      </c>
      <c r="K217" s="654" t="s">
        <v>28</v>
      </c>
      <c r="L217" s="654"/>
      <c r="M217" s="654">
        <v>1</v>
      </c>
      <c r="N217" s="655" t="s">
        <v>296</v>
      </c>
      <c r="O217" s="650">
        <v>5.9999999999999995E-4</v>
      </c>
      <c r="P217" s="655">
        <f>VLOOKUP(D217,'EEBOM Feb.2nd2026'!$D:$N,11,0)</f>
        <v>5.9999999999999995E-4</v>
      </c>
      <c r="Q217" s="655">
        <f>O217-P217</f>
        <v>0</v>
      </c>
      <c r="R217" s="652">
        <f t="shared" si="20"/>
        <v>6.2099999999999992E-4</v>
      </c>
      <c r="S217" s="652">
        <f t="shared" si="21"/>
        <v>0</v>
      </c>
      <c r="T217" s="655">
        <f>R217*M217</f>
        <v>6.2099999999999992E-4</v>
      </c>
      <c r="U217" s="655" t="s">
        <v>1470</v>
      </c>
      <c r="V217" s="655">
        <v>10000</v>
      </c>
      <c r="W217" s="655">
        <v>10</v>
      </c>
      <c r="X217" s="657" t="s">
        <v>1472</v>
      </c>
      <c r="Y217" s="657" t="s">
        <v>1448</v>
      </c>
      <c r="Z217" s="752"/>
      <c r="AA217" s="753"/>
      <c r="AB217" s="753"/>
      <c r="AC217" s="753"/>
      <c r="AD217" s="753"/>
      <c r="AE217" s="753"/>
      <c r="AF217" s="753"/>
      <c r="AG217" s="753"/>
      <c r="AH217" s="753"/>
      <c r="AI217" s="753"/>
      <c r="AJ217" s="753"/>
      <c r="AK217" s="753"/>
      <c r="AL217" s="753"/>
      <c r="AM217" s="753"/>
      <c r="AN217" s="753"/>
      <c r="AO217" s="753"/>
      <c r="AP217" s="753"/>
      <c r="AQ217" s="753"/>
      <c r="AR217" s="753"/>
      <c r="AS217" s="753"/>
      <c r="AT217" s="753"/>
      <c r="AU217" s="753"/>
      <c r="AV217" s="753"/>
      <c r="AW217" s="753"/>
      <c r="AX217" s="753"/>
      <c r="AY217" s="753"/>
      <c r="AZ217" s="753"/>
      <c r="BA217" s="753"/>
      <c r="BB217" s="753"/>
    </row>
    <row r="218" spans="1:54" ht="15.75" customHeight="1">
      <c r="A218" s="649">
        <v>2</v>
      </c>
      <c r="B218" s="650" t="s">
        <v>1342</v>
      </c>
      <c r="C218" s="650" t="s">
        <v>1338</v>
      </c>
      <c r="D218" s="650" t="s">
        <v>1342</v>
      </c>
      <c r="E218" s="650" t="s">
        <v>1342</v>
      </c>
      <c r="F218" s="650" t="e">
        <v>#N/A</v>
      </c>
      <c r="G218" s="650" t="s">
        <v>1339</v>
      </c>
      <c r="H218" s="649" t="s">
        <v>1073</v>
      </c>
      <c r="I218" s="651" t="s">
        <v>1074</v>
      </c>
      <c r="J218" s="651" t="str">
        <f>VLOOKUP(D218,[5]Sheet1!$D$1:$D$65536,1,0)</f>
        <v>RK73H1JTTD2203F</v>
      </c>
      <c r="K218" s="649" t="s">
        <v>28</v>
      </c>
      <c r="L218" s="649"/>
      <c r="M218" s="649"/>
      <c r="N218" s="650" t="s">
        <v>292</v>
      </c>
      <c r="O218" s="650">
        <v>9.8200000000000002E-4</v>
      </c>
      <c r="P218" s="652"/>
      <c r="Q218" s="652"/>
      <c r="R218" s="652">
        <f t="shared" si="20"/>
        <v>1.0163699999999999E-3</v>
      </c>
      <c r="S218" s="652">
        <f t="shared" si="21"/>
        <v>3.9537000000000003E-4</v>
      </c>
      <c r="T218" s="652"/>
      <c r="U218" s="650" t="s">
        <v>1443</v>
      </c>
      <c r="V218" s="650"/>
      <c r="W218" s="650"/>
      <c r="X218" s="653"/>
      <c r="Y218" s="653"/>
      <c r="Z218" s="752"/>
    </row>
    <row r="219" spans="1:54" ht="15.75" customHeight="1">
      <c r="A219" s="649">
        <v>2</v>
      </c>
      <c r="B219" s="650" t="s">
        <v>1343</v>
      </c>
      <c r="C219" s="650" t="s">
        <v>1338</v>
      </c>
      <c r="D219" s="650" t="s">
        <v>1343</v>
      </c>
      <c r="E219" s="650" t="s">
        <v>1343</v>
      </c>
      <c r="F219" s="650" t="e">
        <v>#N/A</v>
      </c>
      <c r="G219" s="650" t="s">
        <v>1339</v>
      </c>
      <c r="H219" s="649" t="s">
        <v>1073</v>
      </c>
      <c r="I219" s="651" t="s">
        <v>1074</v>
      </c>
      <c r="J219" s="651" t="str">
        <f>VLOOKUP(D219,[5]Sheet1!$D$1:$D$65536,1,0)</f>
        <v>RMCH16K224FTP</v>
      </c>
      <c r="K219" s="649" t="s">
        <v>28</v>
      </c>
      <c r="L219" s="649"/>
      <c r="M219" s="649"/>
      <c r="N219" s="650" t="s">
        <v>294</v>
      </c>
      <c r="O219" s="650">
        <v>1.8890000000000001E-3</v>
      </c>
      <c r="P219" s="652"/>
      <c r="Q219" s="652"/>
      <c r="R219" s="652">
        <f t="shared" si="20"/>
        <v>1.9551149999999999E-3</v>
      </c>
      <c r="S219" s="652">
        <f t="shared" si="21"/>
        <v>1.3341149999999999E-3</v>
      </c>
      <c r="T219" s="652"/>
      <c r="U219" s="650" t="s">
        <v>1443</v>
      </c>
      <c r="V219" s="650"/>
      <c r="W219" s="650"/>
      <c r="X219" s="653"/>
      <c r="Y219" s="653"/>
      <c r="Z219" s="752"/>
    </row>
    <row r="220" spans="1:54" s="658" customFormat="1" ht="15.75" customHeight="1">
      <c r="A220" s="654">
        <v>2</v>
      </c>
      <c r="B220" s="655" t="s">
        <v>1344</v>
      </c>
      <c r="C220" s="655" t="s">
        <v>1345</v>
      </c>
      <c r="D220" s="655" t="s">
        <v>1344</v>
      </c>
      <c r="E220" s="655" t="s">
        <v>1344</v>
      </c>
      <c r="F220" s="659" t="e">
        <v>#N/A</v>
      </c>
      <c r="G220" s="659" t="s">
        <v>1346</v>
      </c>
      <c r="H220" s="660" t="s">
        <v>1073</v>
      </c>
      <c r="I220" s="661" t="s">
        <v>1074</v>
      </c>
      <c r="J220" s="651" t="str">
        <f>VLOOKUP(D220,[5]Sheet1!$D$1:$D$65536,1,0)</f>
        <v>AC0201FR-076K8L</v>
      </c>
      <c r="K220" s="654" t="s">
        <v>28</v>
      </c>
      <c r="L220" s="654">
        <v>2</v>
      </c>
      <c r="M220" s="654">
        <v>2</v>
      </c>
      <c r="N220" s="655" t="s">
        <v>296</v>
      </c>
      <c r="O220" s="650">
        <v>5.9999999999999995E-4</v>
      </c>
      <c r="P220" s="655">
        <f>VLOOKUP(D220,'EEBOM Feb.2nd2026'!$D:$N,11,0)</f>
        <v>5.9999999999999995E-4</v>
      </c>
      <c r="Q220" s="655">
        <f>O220-P220</f>
        <v>0</v>
      </c>
      <c r="R220" s="652">
        <f t="shared" si="20"/>
        <v>6.2099999999999992E-4</v>
      </c>
      <c r="S220" s="652">
        <f t="shared" si="21"/>
        <v>6.2099999999999992E-4</v>
      </c>
      <c r="T220" s="655">
        <f>R220*M220</f>
        <v>1.2419999999999998E-3</v>
      </c>
      <c r="U220" s="655" t="s">
        <v>1470</v>
      </c>
      <c r="V220" s="655">
        <v>10000</v>
      </c>
      <c r="W220" s="655">
        <v>10</v>
      </c>
      <c r="X220" s="657" t="s">
        <v>1472</v>
      </c>
      <c r="Y220" s="657" t="s">
        <v>1448</v>
      </c>
      <c r="Z220" s="752" t="s">
        <v>1347</v>
      </c>
      <c r="AA220" s="753"/>
      <c r="AB220" s="753"/>
      <c r="AC220" s="753"/>
      <c r="AD220" s="753"/>
      <c r="AE220" s="753"/>
      <c r="AF220" s="753"/>
      <c r="AG220" s="753"/>
      <c r="AH220" s="753"/>
      <c r="AI220" s="753"/>
      <c r="AJ220" s="753"/>
      <c r="AK220" s="753"/>
      <c r="AL220" s="753"/>
      <c r="AM220" s="753"/>
      <c r="AN220" s="753"/>
      <c r="AO220" s="753"/>
      <c r="AP220" s="753"/>
      <c r="AQ220" s="753"/>
      <c r="AR220" s="753"/>
      <c r="AS220" s="753"/>
      <c r="AT220" s="753"/>
      <c r="AU220" s="753"/>
      <c r="AV220" s="753"/>
      <c r="AW220" s="753"/>
      <c r="AX220" s="753"/>
      <c r="AY220" s="753"/>
      <c r="AZ220" s="753"/>
      <c r="BA220" s="753"/>
      <c r="BB220" s="753"/>
    </row>
    <row r="221" spans="1:54" ht="15.75" customHeight="1">
      <c r="A221" s="649">
        <v>2</v>
      </c>
      <c r="B221" s="650" t="s">
        <v>1348</v>
      </c>
      <c r="C221" s="650" t="s">
        <v>1345</v>
      </c>
      <c r="D221" s="650" t="s">
        <v>1348</v>
      </c>
      <c r="E221" s="650" t="s">
        <v>1348</v>
      </c>
      <c r="F221" s="650" t="e">
        <v>#N/A</v>
      </c>
      <c r="G221" s="650" t="s">
        <v>1346</v>
      </c>
      <c r="H221" s="649" t="s">
        <v>1073</v>
      </c>
      <c r="I221" s="651" t="s">
        <v>1074</v>
      </c>
      <c r="J221" s="651" t="str">
        <f>VLOOKUP(D221,[5]Sheet1!$D$1:$D$65536,1,0)</f>
        <v>RK73H1HTTC6801F</v>
      </c>
      <c r="K221" s="649" t="s">
        <v>28</v>
      </c>
      <c r="L221" s="649"/>
      <c r="M221" s="649"/>
      <c r="N221" s="650" t="s">
        <v>292</v>
      </c>
      <c r="O221" s="650">
        <v>1.5139999999999999E-3</v>
      </c>
      <c r="P221" s="652"/>
      <c r="Q221" s="652"/>
      <c r="R221" s="652">
        <f t="shared" si="20"/>
        <v>1.5669899999999999E-3</v>
      </c>
      <c r="S221" s="652">
        <f t="shared" si="21"/>
        <v>1.5669899999999999E-3</v>
      </c>
      <c r="T221" s="652"/>
      <c r="U221" s="650" t="s">
        <v>1443</v>
      </c>
      <c r="V221" s="650"/>
      <c r="W221" s="650"/>
      <c r="X221" s="653"/>
      <c r="Y221" s="653"/>
      <c r="Z221" s="752"/>
    </row>
    <row r="222" spans="1:54" ht="15.75" customHeight="1">
      <c r="A222" s="649">
        <v>2</v>
      </c>
      <c r="B222" s="650" t="s">
        <v>1349</v>
      </c>
      <c r="C222" s="650" t="s">
        <v>1345</v>
      </c>
      <c r="D222" s="650" t="s">
        <v>1349</v>
      </c>
      <c r="E222" s="650" t="s">
        <v>1349</v>
      </c>
      <c r="F222" s="650" t="e">
        <v>#N/A</v>
      </c>
      <c r="G222" s="650" t="s">
        <v>1346</v>
      </c>
      <c r="H222" s="649" t="s">
        <v>1073</v>
      </c>
      <c r="I222" s="651" t="s">
        <v>1074</v>
      </c>
      <c r="J222" s="651" t="str">
        <f>VLOOKUP(D222,[5]Sheet1!$D$1:$D$65536,1,0)</f>
        <v>RMCH06-682FPA</v>
      </c>
      <c r="K222" s="649" t="s">
        <v>28</v>
      </c>
      <c r="L222" s="649"/>
      <c r="M222" s="649"/>
      <c r="N222" s="650" t="s">
        <v>294</v>
      </c>
      <c r="O222" s="650">
        <v>2.7390000000000001E-3</v>
      </c>
      <c r="P222" s="652"/>
      <c r="Q222" s="652"/>
      <c r="R222" s="652">
        <f t="shared" si="20"/>
        <v>2.8348649999999998E-3</v>
      </c>
      <c r="S222" s="652">
        <f t="shared" si="21"/>
        <v>2.8348649999999998E-3</v>
      </c>
      <c r="T222" s="652"/>
      <c r="U222" s="650" t="s">
        <v>1443</v>
      </c>
      <c r="V222" s="650"/>
      <c r="W222" s="650"/>
      <c r="X222" s="653"/>
      <c r="Y222" s="653"/>
      <c r="Z222" s="752"/>
    </row>
    <row r="223" spans="1:54" ht="15.75" customHeight="1">
      <c r="A223" s="649">
        <v>2</v>
      </c>
      <c r="B223" s="650" t="s">
        <v>1350</v>
      </c>
      <c r="C223" s="650" t="s">
        <v>1345</v>
      </c>
      <c r="D223" s="650" t="s">
        <v>1350</v>
      </c>
      <c r="E223" s="650" t="s">
        <v>1350</v>
      </c>
      <c r="F223" s="650" t="e">
        <v>#N/A</v>
      </c>
      <c r="G223" s="650" t="s">
        <v>1346</v>
      </c>
      <c r="H223" s="649" t="s">
        <v>1073</v>
      </c>
      <c r="I223" s="651" t="s">
        <v>1074</v>
      </c>
      <c r="J223" s="651" t="str">
        <f>VLOOKUP(D223,[5]Sheet1!$D$1:$D$65536,1,0)</f>
        <v>ERJ1GJF6801C</v>
      </c>
      <c r="K223" s="649" t="s">
        <v>28</v>
      </c>
      <c r="L223" s="649"/>
      <c r="M223" s="670"/>
      <c r="N223" s="650" t="s">
        <v>289</v>
      </c>
      <c r="O223" s="650"/>
      <c r="P223" s="652"/>
      <c r="Q223" s="652"/>
      <c r="R223" s="652">
        <f t="shared" si="20"/>
        <v>0</v>
      </c>
      <c r="S223" s="652">
        <f t="shared" si="21"/>
        <v>0</v>
      </c>
      <c r="T223" s="652"/>
      <c r="U223" s="650"/>
      <c r="V223" s="650"/>
      <c r="W223" s="650"/>
      <c r="X223" s="653"/>
      <c r="Y223" s="653"/>
      <c r="Z223" s="752"/>
    </row>
    <row r="224" spans="1:54" s="658" customFormat="1" ht="15.75" customHeight="1">
      <c r="A224" s="654">
        <v>2</v>
      </c>
      <c r="B224" s="655" t="s">
        <v>261</v>
      </c>
      <c r="C224" s="655" t="s">
        <v>262</v>
      </c>
      <c r="D224" s="655" t="s">
        <v>261</v>
      </c>
      <c r="E224" s="655" t="s">
        <v>261</v>
      </c>
      <c r="F224" s="659" t="s">
        <v>261</v>
      </c>
      <c r="G224" s="659" t="s">
        <v>263</v>
      </c>
      <c r="H224" s="660" t="s">
        <v>1073</v>
      </c>
      <c r="I224" s="661" t="s">
        <v>1074</v>
      </c>
      <c r="J224" s="651" t="str">
        <f>VLOOKUP(D224,[5]Sheet1!$D$1:$D$65536,1,0)</f>
        <v>TPS1HC100BQPWPRQ1</v>
      </c>
      <c r="K224" s="654" t="s">
        <v>28</v>
      </c>
      <c r="L224" s="654">
        <v>3</v>
      </c>
      <c r="M224" s="654">
        <v>3</v>
      </c>
      <c r="N224" s="655" t="s">
        <v>1464</v>
      </c>
      <c r="O224" s="650">
        <v>0.17299999999999999</v>
      </c>
      <c r="P224" s="655"/>
      <c r="Q224" s="655"/>
      <c r="R224" s="652">
        <f t="shared" si="20"/>
        <v>0.17905499999999996</v>
      </c>
      <c r="S224" s="652">
        <f t="shared" si="21"/>
        <v>0</v>
      </c>
      <c r="T224" s="655">
        <f t="shared" ref="T224:T234" si="22">R224*M224</f>
        <v>0.53716499999999989</v>
      </c>
      <c r="U224" s="655" t="s">
        <v>1464</v>
      </c>
      <c r="V224" s="655">
        <v>3000</v>
      </c>
      <c r="W224" s="655">
        <v>6</v>
      </c>
      <c r="X224" s="657" t="s">
        <v>1444</v>
      </c>
      <c r="Y224" s="657" t="s">
        <v>1444</v>
      </c>
      <c r="Z224" s="752" t="s">
        <v>1351</v>
      </c>
      <c r="AA224" s="753"/>
      <c r="AB224" s="753"/>
      <c r="AC224" s="753"/>
      <c r="AD224" s="753"/>
      <c r="AE224" s="753"/>
      <c r="AF224" s="753"/>
      <c r="AG224" s="753"/>
      <c r="AH224" s="753"/>
      <c r="AI224" s="753"/>
      <c r="AJ224" s="753"/>
      <c r="AK224" s="753"/>
      <c r="AL224" s="753"/>
      <c r="AM224" s="753"/>
      <c r="AN224" s="753"/>
      <c r="AO224" s="753"/>
      <c r="AP224" s="753"/>
      <c r="AQ224" s="753"/>
      <c r="AR224" s="753"/>
      <c r="AS224" s="753"/>
      <c r="AT224" s="753"/>
      <c r="AU224" s="753"/>
      <c r="AV224" s="753"/>
      <c r="AW224" s="753"/>
      <c r="AX224" s="753"/>
      <c r="AY224" s="753"/>
      <c r="AZ224" s="753"/>
      <c r="BA224" s="753"/>
      <c r="BB224" s="753"/>
    </row>
    <row r="225" spans="1:54" s="658" customFormat="1" ht="15.75" customHeight="1">
      <c r="A225" s="654">
        <v>2</v>
      </c>
      <c r="B225" s="655" t="s">
        <v>422</v>
      </c>
      <c r="C225" s="655" t="s">
        <v>423</v>
      </c>
      <c r="D225" s="655" t="s">
        <v>422</v>
      </c>
      <c r="E225" s="655" t="s">
        <v>422</v>
      </c>
      <c r="F225" s="659" t="s">
        <v>422</v>
      </c>
      <c r="G225" s="659" t="s">
        <v>424</v>
      </c>
      <c r="H225" s="660" t="s">
        <v>1073</v>
      </c>
      <c r="I225" s="661" t="s">
        <v>1074</v>
      </c>
      <c r="J225" s="651" t="str">
        <f>VLOOKUP(D225,[5]Sheet1!$D$1:$D$65536,1,0)</f>
        <v>TPS7B4255QDBVRQ1</v>
      </c>
      <c r="K225" s="654" t="s">
        <v>28</v>
      </c>
      <c r="L225" s="654">
        <v>2</v>
      </c>
      <c r="M225" s="654">
        <v>2</v>
      </c>
      <c r="N225" s="655" t="s">
        <v>1464</v>
      </c>
      <c r="O225" s="650">
        <v>8.8999999999999996E-2</v>
      </c>
      <c r="P225" s="655"/>
      <c r="Q225" s="655"/>
      <c r="R225" s="652">
        <f t="shared" si="20"/>
        <v>9.2114999999999989E-2</v>
      </c>
      <c r="S225" s="652">
        <f t="shared" si="21"/>
        <v>0</v>
      </c>
      <c r="T225" s="655">
        <f t="shared" si="22"/>
        <v>0.18422999999999998</v>
      </c>
      <c r="U225" s="655" t="s">
        <v>1464</v>
      </c>
      <c r="V225" s="655">
        <v>3000</v>
      </c>
      <c r="W225" s="655">
        <v>6</v>
      </c>
      <c r="X225" s="657" t="s">
        <v>1444</v>
      </c>
      <c r="Y225" s="657" t="s">
        <v>1444</v>
      </c>
      <c r="Z225" s="752" t="s">
        <v>1352</v>
      </c>
      <c r="AA225" s="753"/>
      <c r="AB225" s="753"/>
      <c r="AC225" s="753"/>
      <c r="AD225" s="753"/>
      <c r="AE225" s="753"/>
      <c r="AF225" s="753"/>
      <c r="AG225" s="753"/>
      <c r="AH225" s="753"/>
      <c r="AI225" s="753"/>
      <c r="AJ225" s="753"/>
      <c r="AK225" s="753"/>
      <c r="AL225" s="753"/>
      <c r="AM225" s="753"/>
      <c r="AN225" s="753"/>
      <c r="AO225" s="753"/>
      <c r="AP225" s="753"/>
      <c r="AQ225" s="753"/>
      <c r="AR225" s="753"/>
      <c r="AS225" s="753"/>
      <c r="AT225" s="753"/>
      <c r="AU225" s="753"/>
      <c r="AV225" s="753"/>
      <c r="AW225" s="753"/>
      <c r="AX225" s="753"/>
      <c r="AY225" s="753"/>
      <c r="AZ225" s="753"/>
      <c r="BA225" s="753"/>
      <c r="BB225" s="753"/>
    </row>
    <row r="226" spans="1:54" s="658" customFormat="1" ht="15.75" customHeight="1">
      <c r="A226" s="654">
        <v>2</v>
      </c>
      <c r="B226" s="655" t="s">
        <v>1353</v>
      </c>
      <c r="C226" s="655" t="s">
        <v>1354</v>
      </c>
      <c r="D226" s="655" t="s">
        <v>1353</v>
      </c>
      <c r="E226" s="655" t="s">
        <v>1353</v>
      </c>
      <c r="F226" s="659" t="e">
        <v>#N/A</v>
      </c>
      <c r="G226" s="659" t="s">
        <v>1355</v>
      </c>
      <c r="H226" s="660" t="s">
        <v>1073</v>
      </c>
      <c r="I226" s="661" t="s">
        <v>1074</v>
      </c>
      <c r="J226" s="651" t="str">
        <f>VLOOKUP(D226,[5]Sheet1!$D$1:$D$65536,1,0)</f>
        <v>LMR36503MSCQRPERQ1</v>
      </c>
      <c r="K226" s="654" t="s">
        <v>28</v>
      </c>
      <c r="L226" s="654">
        <v>1</v>
      </c>
      <c r="M226" s="654">
        <v>1</v>
      </c>
      <c r="N226" s="655" t="s">
        <v>1464</v>
      </c>
      <c r="O226" s="650">
        <v>0.34899999999999998</v>
      </c>
      <c r="P226" s="655"/>
      <c r="Q226" s="655"/>
      <c r="R226" s="652">
        <f t="shared" si="20"/>
        <v>0.36121499999999995</v>
      </c>
      <c r="S226" s="652">
        <f t="shared" si="21"/>
        <v>0</v>
      </c>
      <c r="T226" s="655">
        <f t="shared" si="22"/>
        <v>0.36121499999999995</v>
      </c>
      <c r="U226" s="655" t="s">
        <v>1464</v>
      </c>
      <c r="V226" s="655">
        <v>3000</v>
      </c>
      <c r="W226" s="655">
        <v>12</v>
      </c>
      <c r="X226" s="657" t="s">
        <v>1444</v>
      </c>
      <c r="Y226" s="657" t="s">
        <v>1444</v>
      </c>
      <c r="Z226" s="752" t="s">
        <v>559</v>
      </c>
      <c r="AA226" s="753"/>
      <c r="AB226" s="753"/>
      <c r="AC226" s="753"/>
      <c r="AD226" s="753"/>
      <c r="AE226" s="753"/>
      <c r="AF226" s="753"/>
      <c r="AG226" s="753"/>
      <c r="AH226" s="753"/>
      <c r="AI226" s="753"/>
      <c r="AJ226" s="753"/>
      <c r="AK226" s="753"/>
      <c r="AL226" s="753"/>
      <c r="AM226" s="753"/>
      <c r="AN226" s="753"/>
      <c r="AO226" s="753"/>
      <c r="AP226" s="753"/>
      <c r="AQ226" s="753"/>
      <c r="AR226" s="753"/>
      <c r="AS226" s="753"/>
      <c r="AT226" s="753"/>
      <c r="AU226" s="753"/>
      <c r="AV226" s="753"/>
      <c r="AW226" s="753"/>
      <c r="AX226" s="753"/>
      <c r="AY226" s="753"/>
      <c r="AZ226" s="753"/>
      <c r="BA226" s="753"/>
      <c r="BB226" s="753"/>
    </row>
    <row r="227" spans="1:54" s="658" customFormat="1" ht="15.75" customHeight="1">
      <c r="A227" s="654">
        <v>2</v>
      </c>
      <c r="B227" s="655" t="s">
        <v>1356</v>
      </c>
      <c r="C227" s="655" t="s">
        <v>1357</v>
      </c>
      <c r="D227" s="655" t="s">
        <v>1405</v>
      </c>
      <c r="E227" s="655" t="s">
        <v>1356</v>
      </c>
      <c r="F227" s="659" t="e">
        <v>#N/A</v>
      </c>
      <c r="G227" s="659" t="s">
        <v>1358</v>
      </c>
      <c r="H227" s="660" t="s">
        <v>1073</v>
      </c>
      <c r="I227" s="661" t="s">
        <v>1074</v>
      </c>
      <c r="J227" s="651" t="str">
        <f>VLOOKUP(D227,[5]Sheet1!$D$1:$D$65536,1,0)</f>
        <v>INA241A3QDDFRQ1</v>
      </c>
      <c r="K227" s="654" t="s">
        <v>28</v>
      </c>
      <c r="L227" s="654">
        <v>1</v>
      </c>
      <c r="M227" s="654">
        <v>1</v>
      </c>
      <c r="N227" s="655" t="s">
        <v>1464</v>
      </c>
      <c r="O227" s="650">
        <v>0.54</v>
      </c>
      <c r="P227" s="655">
        <f>VLOOKUP(D227,'EEBOM Feb.2nd2026'!$D:$N,11,0)</f>
        <v>0.7</v>
      </c>
      <c r="Q227" s="655">
        <f t="shared" ref="Q227:Q228" si="23">O227-P227</f>
        <v>-0.15999999999999992</v>
      </c>
      <c r="R227" s="652">
        <f t="shared" si="20"/>
        <v>0.55889999999999995</v>
      </c>
      <c r="S227" s="652">
        <f t="shared" si="21"/>
        <v>0</v>
      </c>
      <c r="T227" s="655">
        <f t="shared" si="22"/>
        <v>0.55889999999999995</v>
      </c>
      <c r="U227" s="655" t="s">
        <v>1464</v>
      </c>
      <c r="V227" s="655">
        <v>3000</v>
      </c>
      <c r="W227" s="655">
        <v>6</v>
      </c>
      <c r="X227" s="657" t="s">
        <v>1481</v>
      </c>
      <c r="Y227" s="657" t="s">
        <v>1448</v>
      </c>
      <c r="Z227" s="752" t="s">
        <v>1359</v>
      </c>
      <c r="AA227" s="753"/>
      <c r="AB227" s="753"/>
      <c r="AC227" s="753"/>
      <c r="AD227" s="753"/>
      <c r="AE227" s="753"/>
      <c r="AF227" s="753"/>
      <c r="AG227" s="753"/>
      <c r="AH227" s="753"/>
      <c r="AI227" s="753"/>
      <c r="AJ227" s="753"/>
      <c r="AK227" s="753"/>
      <c r="AL227" s="753"/>
      <c r="AM227" s="753"/>
      <c r="AN227" s="753"/>
      <c r="AO227" s="753"/>
      <c r="AP227" s="753"/>
      <c r="AQ227" s="753"/>
      <c r="AR227" s="753"/>
      <c r="AS227" s="753"/>
      <c r="AT227" s="753"/>
      <c r="AU227" s="753"/>
      <c r="AV227" s="753"/>
      <c r="AW227" s="753"/>
      <c r="AX227" s="753"/>
      <c r="AY227" s="753"/>
      <c r="AZ227" s="753"/>
      <c r="BA227" s="753"/>
      <c r="BB227" s="753"/>
    </row>
    <row r="228" spans="1:54" s="658" customFormat="1" ht="15.75" customHeight="1">
      <c r="A228" s="654">
        <v>2</v>
      </c>
      <c r="B228" s="655" t="s">
        <v>1360</v>
      </c>
      <c r="C228" s="655" t="s">
        <v>1361</v>
      </c>
      <c r="D228" s="655" t="s">
        <v>1406</v>
      </c>
      <c r="E228" s="655" t="s">
        <v>1360</v>
      </c>
      <c r="F228" s="659" t="e">
        <v>#N/A</v>
      </c>
      <c r="G228" s="659" t="s">
        <v>1362</v>
      </c>
      <c r="H228" s="660" t="s">
        <v>1073</v>
      </c>
      <c r="I228" s="661" t="s">
        <v>1074</v>
      </c>
      <c r="J228" s="651" t="str">
        <f>VLOOKUP(D228,[5]Sheet1!$D$1:$D$65536,1,0)</f>
        <v>TCA9517DGKRQ1</v>
      </c>
      <c r="K228" s="654" t="s">
        <v>28</v>
      </c>
      <c r="L228" s="654">
        <v>3</v>
      </c>
      <c r="M228" s="654">
        <v>3</v>
      </c>
      <c r="N228" s="655" t="s">
        <v>1464</v>
      </c>
      <c r="O228" s="650">
        <v>0.22700000000000001</v>
      </c>
      <c r="P228" s="655">
        <f>VLOOKUP(D228,'EEBOM Feb.2nd2026'!$D:$N,11,0)</f>
        <v>0.25</v>
      </c>
      <c r="Q228" s="655">
        <f t="shared" si="23"/>
        <v>-2.2999999999999993E-2</v>
      </c>
      <c r="R228" s="652">
        <f t="shared" si="20"/>
        <v>0.23494499999999999</v>
      </c>
      <c r="S228" s="652">
        <f t="shared" si="21"/>
        <v>0</v>
      </c>
      <c r="T228" s="655">
        <f t="shared" si="22"/>
        <v>0.70483499999999999</v>
      </c>
      <c r="U228" s="655" t="s">
        <v>1464</v>
      </c>
      <c r="V228" s="655">
        <v>2500</v>
      </c>
      <c r="W228" s="655">
        <v>12</v>
      </c>
      <c r="X228" s="657" t="s">
        <v>1481</v>
      </c>
      <c r="Y228" s="657" t="s">
        <v>1448</v>
      </c>
      <c r="Z228" s="752" t="s">
        <v>1363</v>
      </c>
      <c r="AA228" s="753"/>
      <c r="AB228" s="753"/>
      <c r="AC228" s="753"/>
      <c r="AD228" s="753"/>
      <c r="AE228" s="753"/>
      <c r="AF228" s="753"/>
      <c r="AG228" s="753"/>
      <c r="AH228" s="753"/>
      <c r="AI228" s="753"/>
      <c r="AJ228" s="753"/>
      <c r="AK228" s="753"/>
      <c r="AL228" s="753"/>
      <c r="AM228" s="753"/>
      <c r="AN228" s="753"/>
      <c r="AO228" s="753"/>
      <c r="AP228" s="753"/>
      <c r="AQ228" s="753"/>
      <c r="AR228" s="753"/>
      <c r="AS228" s="753"/>
      <c r="AT228" s="753"/>
      <c r="AU228" s="753"/>
      <c r="AV228" s="753"/>
      <c r="AW228" s="753"/>
      <c r="AX228" s="753"/>
      <c r="AY228" s="753"/>
      <c r="AZ228" s="753"/>
      <c r="BA228" s="753"/>
      <c r="BB228" s="753"/>
    </row>
    <row r="229" spans="1:54" s="658" customFormat="1" ht="15.75" customHeight="1">
      <c r="A229" s="654">
        <v>2</v>
      </c>
      <c r="B229" s="655" t="s">
        <v>569</v>
      </c>
      <c r="C229" s="655" t="s">
        <v>568</v>
      </c>
      <c r="D229" s="655" t="s">
        <v>569</v>
      </c>
      <c r="E229" s="655" t="s">
        <v>569</v>
      </c>
      <c r="F229" s="659" t="s">
        <v>569</v>
      </c>
      <c r="G229" s="659" t="s">
        <v>570</v>
      </c>
      <c r="H229" s="660" t="s">
        <v>1073</v>
      </c>
      <c r="I229" s="661" t="s">
        <v>1074</v>
      </c>
      <c r="J229" s="651" t="str">
        <f>VLOOKUP(D229,[5]Sheet1!$D$1:$D$65536,1,0)</f>
        <v>TMUX1308QBQBRQ1</v>
      </c>
      <c r="K229" s="654" t="s">
        <v>28</v>
      </c>
      <c r="L229" s="654">
        <v>2</v>
      </c>
      <c r="M229" s="654">
        <v>2</v>
      </c>
      <c r="N229" s="655" t="s">
        <v>1464</v>
      </c>
      <c r="O229" s="650">
        <v>6.3E-2</v>
      </c>
      <c r="P229" s="655"/>
      <c r="Q229" s="655"/>
      <c r="R229" s="652">
        <f t="shared" si="20"/>
        <v>6.5204999999999999E-2</v>
      </c>
      <c r="S229" s="652">
        <f t="shared" si="21"/>
        <v>0</v>
      </c>
      <c r="T229" s="655">
        <f t="shared" si="22"/>
        <v>0.13041</v>
      </c>
      <c r="U229" s="655" t="s">
        <v>1464</v>
      </c>
      <c r="V229" s="655">
        <v>3000</v>
      </c>
      <c r="W229" s="655">
        <v>12</v>
      </c>
      <c r="X229" s="657" t="s">
        <v>1444</v>
      </c>
      <c r="Y229" s="657" t="s">
        <v>1444</v>
      </c>
      <c r="Z229" s="752" t="s">
        <v>1364</v>
      </c>
      <c r="AA229" s="753"/>
      <c r="AB229" s="753"/>
      <c r="AC229" s="753"/>
      <c r="AD229" s="753"/>
      <c r="AE229" s="753"/>
      <c r="AF229" s="753"/>
      <c r="AG229" s="753"/>
      <c r="AH229" s="753"/>
      <c r="AI229" s="753"/>
      <c r="AJ229" s="753"/>
      <c r="AK229" s="753"/>
      <c r="AL229" s="753"/>
      <c r="AM229" s="753"/>
      <c r="AN229" s="753"/>
      <c r="AO229" s="753"/>
      <c r="AP229" s="753"/>
      <c r="AQ229" s="753"/>
      <c r="AR229" s="753"/>
      <c r="AS229" s="753"/>
      <c r="AT229" s="753"/>
      <c r="AU229" s="753"/>
      <c r="AV229" s="753"/>
      <c r="AW229" s="753"/>
      <c r="AX229" s="753"/>
      <c r="AY229" s="753"/>
      <c r="AZ229" s="753"/>
      <c r="BA229" s="753"/>
      <c r="BB229" s="753"/>
    </row>
    <row r="230" spans="1:54" s="658" customFormat="1" ht="15.75" customHeight="1">
      <c r="A230" s="654">
        <v>2</v>
      </c>
      <c r="B230" s="655" t="s">
        <v>1561</v>
      </c>
      <c r="C230" s="655" t="s">
        <v>613</v>
      </c>
      <c r="D230" s="655" t="s">
        <v>1561</v>
      </c>
      <c r="E230" s="655"/>
      <c r="F230" s="659"/>
      <c r="G230" s="659" t="s">
        <v>614</v>
      </c>
      <c r="H230" s="660" t="s">
        <v>1073</v>
      </c>
      <c r="I230" s="661" t="s">
        <v>1074</v>
      </c>
      <c r="J230" s="651"/>
      <c r="K230" s="654" t="s">
        <v>28</v>
      </c>
      <c r="L230" s="771">
        <v>1</v>
      </c>
      <c r="M230" s="771">
        <v>1</v>
      </c>
      <c r="N230" s="655" t="s">
        <v>1562</v>
      </c>
      <c r="O230" s="687">
        <f>VLOOKUP(D230,[7]Sheet3!$C$2:$G$13,5,0)</f>
        <v>0.83499999999999996</v>
      </c>
      <c r="P230" s="655"/>
      <c r="Q230" s="655"/>
      <c r="R230" s="655">
        <f>O230*1.035</f>
        <v>0.86422499999999991</v>
      </c>
      <c r="S230" s="655"/>
      <c r="T230" s="687">
        <f>R230*M230</f>
        <v>0.86422499999999991</v>
      </c>
      <c r="U230" s="655"/>
      <c r="V230" s="655"/>
      <c r="W230" s="655"/>
      <c r="X230" s="657"/>
      <c r="Y230" s="657"/>
      <c r="Z230" s="752" t="s">
        <v>616</v>
      </c>
      <c r="AA230" s="753" t="s">
        <v>1560</v>
      </c>
      <c r="AB230" s="765" t="s">
        <v>1551</v>
      </c>
      <c r="AC230" s="753"/>
      <c r="AD230" s="753"/>
      <c r="AE230" s="753"/>
      <c r="AF230" s="753"/>
      <c r="AG230" s="753"/>
      <c r="AH230" s="753"/>
      <c r="AI230" s="753"/>
      <c r="AJ230" s="753"/>
      <c r="AK230" s="753"/>
      <c r="AL230" s="753"/>
      <c r="AM230" s="753"/>
      <c r="AN230" s="753"/>
      <c r="AO230" s="753"/>
      <c r="AP230" s="753"/>
      <c r="AQ230" s="753"/>
      <c r="AR230" s="753"/>
      <c r="AS230" s="753"/>
      <c r="AT230" s="753"/>
      <c r="AU230" s="753"/>
      <c r="AV230" s="753"/>
      <c r="AW230" s="753"/>
      <c r="AX230" s="753"/>
      <c r="AY230" s="753"/>
      <c r="AZ230" s="753"/>
      <c r="BA230" s="753"/>
      <c r="BB230" s="753"/>
    </row>
    <row r="231" spans="1:54" s="658" customFormat="1" ht="15.75" customHeight="1">
      <c r="A231" s="654">
        <v>2</v>
      </c>
      <c r="B231" s="754" t="s">
        <v>1365</v>
      </c>
      <c r="C231" s="754" t="s">
        <v>613</v>
      </c>
      <c r="D231" s="754" t="s">
        <v>1365</v>
      </c>
      <c r="E231" s="655" t="s">
        <v>1365</v>
      </c>
      <c r="F231" s="659" t="e">
        <v>#N/A</v>
      </c>
      <c r="G231" s="766" t="s">
        <v>614</v>
      </c>
      <c r="H231" s="767" t="s">
        <v>1073</v>
      </c>
      <c r="I231" s="768" t="s">
        <v>1074</v>
      </c>
      <c r="J231" s="756" t="e">
        <f>VLOOKUP(D231,[5]Sheet1!$D$1:$D$65536,1,0)</f>
        <v>#N/A</v>
      </c>
      <c r="K231" s="757" t="s">
        <v>28</v>
      </c>
      <c r="L231" s="654">
        <v>1</v>
      </c>
      <c r="M231" s="757">
        <v>1</v>
      </c>
      <c r="N231" s="754" t="s">
        <v>1482</v>
      </c>
      <c r="O231" s="650">
        <v>0.83499999999999996</v>
      </c>
      <c r="P231" s="655"/>
      <c r="Q231" s="655"/>
      <c r="R231" s="691">
        <f t="shared" si="20"/>
        <v>0.86422499999999991</v>
      </c>
      <c r="S231" s="652">
        <f t="shared" ref="S231:S252" si="24">R231-_xlfn.MINIFS(R:R,C:C,C231)</f>
        <v>0</v>
      </c>
      <c r="T231" s="754"/>
      <c r="U231" s="655" t="s">
        <v>1483</v>
      </c>
      <c r="V231" s="655">
        <v>5000</v>
      </c>
      <c r="W231" s="655">
        <v>39</v>
      </c>
      <c r="X231" s="657" t="s">
        <v>1444</v>
      </c>
      <c r="Y231" s="758" t="s">
        <v>1444</v>
      </c>
      <c r="Z231" s="764" t="s">
        <v>616</v>
      </c>
      <c r="AA231" s="753" t="s">
        <v>1538</v>
      </c>
      <c r="AB231" s="765" t="str">
        <f>VLOOKUP(D231,[6]删除物料!$C$3:$F$14,4,0)</f>
        <v>位号不变，主料删除</v>
      </c>
      <c r="AC231" s="753"/>
      <c r="AD231" s="753"/>
      <c r="AE231" s="753"/>
      <c r="AF231" s="753"/>
      <c r="AG231" s="753"/>
      <c r="AH231" s="753"/>
      <c r="AI231" s="753"/>
      <c r="AJ231" s="753"/>
      <c r="AK231" s="753"/>
      <c r="AL231" s="753"/>
      <c r="AM231" s="753"/>
      <c r="AN231" s="753"/>
      <c r="AO231" s="753"/>
      <c r="AP231" s="753"/>
      <c r="AQ231" s="753"/>
      <c r="AR231" s="753"/>
      <c r="AS231" s="753"/>
      <c r="AT231" s="753"/>
      <c r="AU231" s="753"/>
      <c r="AV231" s="753"/>
      <c r="AW231" s="753"/>
      <c r="AX231" s="753"/>
      <c r="AY231" s="753"/>
      <c r="AZ231" s="753"/>
      <c r="BA231" s="753"/>
      <c r="BB231" s="753"/>
    </row>
    <row r="232" spans="1:54" s="658" customFormat="1" ht="15.75" customHeight="1">
      <c r="A232" s="654">
        <v>2</v>
      </c>
      <c r="B232" s="655" t="s">
        <v>1366</v>
      </c>
      <c r="C232" s="655" t="s">
        <v>1367</v>
      </c>
      <c r="D232" s="655" t="s">
        <v>1407</v>
      </c>
      <c r="E232" s="655" t="s">
        <v>1366</v>
      </c>
      <c r="F232" s="659" t="e">
        <v>#N/A</v>
      </c>
      <c r="G232" s="659" t="s">
        <v>1368</v>
      </c>
      <c r="H232" s="660" t="s">
        <v>1073</v>
      </c>
      <c r="I232" s="661" t="s">
        <v>1074</v>
      </c>
      <c r="J232" s="651" t="str">
        <f>VLOOKUP(D232,[5]Sheet1!$D$1:$D$65536,1,0)</f>
        <v>TCAL9539RTWRQ1.A</v>
      </c>
      <c r="K232" s="654" t="s">
        <v>28</v>
      </c>
      <c r="L232" s="654">
        <v>1</v>
      </c>
      <c r="M232" s="654">
        <v>1</v>
      </c>
      <c r="N232" s="655" t="s">
        <v>1464</v>
      </c>
      <c r="O232" s="650">
        <v>0.17</v>
      </c>
      <c r="P232" s="655">
        <f>VLOOKUP(D232,'EEBOM Feb.2nd2026'!$D:$N,11,0)</f>
        <v>0.5</v>
      </c>
      <c r="Q232" s="655">
        <f t="shared" ref="Q232:Q237" si="25">O232-P232</f>
        <v>-0.32999999999999996</v>
      </c>
      <c r="R232" s="652">
        <f t="shared" si="20"/>
        <v>0.17595</v>
      </c>
      <c r="S232" s="652">
        <f t="shared" si="24"/>
        <v>0</v>
      </c>
      <c r="T232" s="655">
        <f t="shared" si="22"/>
        <v>0.17595</v>
      </c>
      <c r="U232" s="655" t="s">
        <v>1464</v>
      </c>
      <c r="V232" s="655">
        <v>5000</v>
      </c>
      <c r="W232" s="655">
        <v>6</v>
      </c>
      <c r="X232" s="657" t="s">
        <v>1481</v>
      </c>
      <c r="Y232" s="657" t="s">
        <v>1448</v>
      </c>
      <c r="Z232" s="752" t="s">
        <v>1369</v>
      </c>
      <c r="AA232" s="753"/>
      <c r="AB232" s="753"/>
      <c r="AC232" s="753"/>
      <c r="AD232" s="753"/>
      <c r="AE232" s="753"/>
      <c r="AF232" s="753"/>
      <c r="AG232" s="753"/>
      <c r="AH232" s="753"/>
      <c r="AI232" s="753"/>
      <c r="AJ232" s="753"/>
      <c r="AK232" s="753"/>
      <c r="AL232" s="753"/>
      <c r="AM232" s="753"/>
      <c r="AN232" s="753"/>
      <c r="AO232" s="753"/>
      <c r="AP232" s="753"/>
      <c r="AQ232" s="753"/>
      <c r="AR232" s="753"/>
      <c r="AS232" s="753"/>
      <c r="AT232" s="753"/>
      <c r="AU232" s="753"/>
      <c r="AV232" s="753"/>
      <c r="AW232" s="753"/>
      <c r="AX232" s="753"/>
      <c r="AY232" s="753"/>
      <c r="AZ232" s="753"/>
      <c r="BA232" s="753"/>
      <c r="BB232" s="753"/>
    </row>
    <row r="233" spans="1:54" s="658" customFormat="1" ht="15.75" customHeight="1">
      <c r="A233" s="654">
        <v>2</v>
      </c>
      <c r="B233" s="655" t="s">
        <v>500</v>
      </c>
      <c r="C233" s="655" t="s">
        <v>499</v>
      </c>
      <c r="D233" s="655" t="s">
        <v>1408</v>
      </c>
      <c r="E233" s="655" t="s">
        <v>500</v>
      </c>
      <c r="F233" s="659" t="s">
        <v>500</v>
      </c>
      <c r="G233" s="659" t="s">
        <v>501</v>
      </c>
      <c r="H233" s="660" t="s">
        <v>1073</v>
      </c>
      <c r="I233" s="661" t="s">
        <v>1074</v>
      </c>
      <c r="J233" s="651" t="str">
        <f>VLOOKUP(D233,[5]Sheet1!$D$1:$D$65536,1,0)</f>
        <v>LMR38025SQDRRRQ1</v>
      </c>
      <c r="K233" s="654" t="s">
        <v>28</v>
      </c>
      <c r="L233" s="654">
        <v>1</v>
      </c>
      <c r="M233" s="654">
        <v>1</v>
      </c>
      <c r="N233" s="655" t="s">
        <v>1464</v>
      </c>
      <c r="O233" s="650">
        <v>0.379</v>
      </c>
      <c r="P233" s="655">
        <f>VLOOKUP(D233,'EEBOM Feb.2nd2026'!$D:$N,11,0)</f>
        <v>0.55200000000000005</v>
      </c>
      <c r="Q233" s="655">
        <f t="shared" si="25"/>
        <v>-0.17300000000000004</v>
      </c>
      <c r="R233" s="652">
        <f t="shared" si="20"/>
        <v>0.39226499999999997</v>
      </c>
      <c r="S233" s="652">
        <f t="shared" si="24"/>
        <v>0</v>
      </c>
      <c r="T233" s="655">
        <f t="shared" si="22"/>
        <v>0.39226499999999997</v>
      </c>
      <c r="U233" s="655" t="s">
        <v>1464</v>
      </c>
      <c r="V233" s="655">
        <v>3000</v>
      </c>
      <c r="W233" s="655">
        <v>12</v>
      </c>
      <c r="X233" s="657" t="s">
        <v>1481</v>
      </c>
      <c r="Y233" s="657" t="s">
        <v>1448</v>
      </c>
      <c r="Z233" s="752" t="s">
        <v>502</v>
      </c>
      <c r="AA233" s="753"/>
      <c r="AB233" s="753"/>
      <c r="AC233" s="753"/>
      <c r="AD233" s="753"/>
      <c r="AE233" s="753"/>
      <c r="AF233" s="753"/>
      <c r="AG233" s="753"/>
      <c r="AH233" s="753"/>
      <c r="AI233" s="753"/>
      <c r="AJ233" s="753"/>
      <c r="AK233" s="753"/>
      <c r="AL233" s="753"/>
      <c r="AM233" s="753"/>
      <c r="AN233" s="753"/>
      <c r="AO233" s="753"/>
      <c r="AP233" s="753"/>
      <c r="AQ233" s="753"/>
      <c r="AR233" s="753"/>
      <c r="AS233" s="753"/>
      <c r="AT233" s="753"/>
      <c r="AU233" s="753"/>
      <c r="AV233" s="753"/>
      <c r="AW233" s="753"/>
      <c r="AX233" s="753"/>
      <c r="AY233" s="753"/>
      <c r="AZ233" s="753"/>
      <c r="BA233" s="753"/>
      <c r="BB233" s="753"/>
    </row>
    <row r="234" spans="1:54" ht="15.75" customHeight="1">
      <c r="A234" s="649">
        <v>2</v>
      </c>
      <c r="B234" s="650" t="s">
        <v>1370</v>
      </c>
      <c r="C234" s="650" t="s">
        <v>1371</v>
      </c>
      <c r="D234" s="664" t="s">
        <v>1370</v>
      </c>
      <c r="E234" s="650" t="s">
        <v>1370</v>
      </c>
      <c r="F234" s="650" t="e">
        <v>#N/A</v>
      </c>
      <c r="G234" s="650" t="s">
        <v>1372</v>
      </c>
      <c r="H234" s="649" t="s">
        <v>1073</v>
      </c>
      <c r="I234" s="651" t="s">
        <v>1074</v>
      </c>
      <c r="J234" s="651" t="str">
        <f>VLOOKUP(D234,[5]Sheet1!$D$1:$D$65536,1,0)</f>
        <v>LP2951-50QDRM3Q1</v>
      </c>
      <c r="K234" s="654" t="s">
        <v>28</v>
      </c>
      <c r="L234" s="654">
        <v>2</v>
      </c>
      <c r="M234" s="654">
        <v>2</v>
      </c>
      <c r="N234" s="655" t="s">
        <v>1484</v>
      </c>
      <c r="O234" s="650">
        <v>0.11</v>
      </c>
      <c r="P234" s="655">
        <f>0.11*1.035</f>
        <v>0.11384999999999999</v>
      </c>
      <c r="Q234" s="655">
        <f t="shared" si="25"/>
        <v>-3.8499999999999923E-3</v>
      </c>
      <c r="R234" s="652">
        <f t="shared" si="20"/>
        <v>0.11384999999999999</v>
      </c>
      <c r="S234" s="652">
        <f t="shared" si="24"/>
        <v>0</v>
      </c>
      <c r="T234" s="655">
        <f t="shared" si="22"/>
        <v>0.22769999999999999</v>
      </c>
      <c r="U234" s="655" t="s">
        <v>1464</v>
      </c>
      <c r="V234" s="663">
        <v>3000</v>
      </c>
      <c r="W234" s="663">
        <v>18</v>
      </c>
      <c r="X234" s="653"/>
      <c r="Y234" s="653"/>
      <c r="Z234" s="752" t="s">
        <v>1373</v>
      </c>
    </row>
    <row r="235" spans="1:54" s="658" customFormat="1" ht="15.75" customHeight="1">
      <c r="A235" s="654">
        <v>2</v>
      </c>
      <c r="B235" s="655" t="s">
        <v>1374</v>
      </c>
      <c r="C235" s="655" t="s">
        <v>1371</v>
      </c>
      <c r="D235" s="655" t="s">
        <v>1374</v>
      </c>
      <c r="E235" s="655" t="s">
        <v>1374</v>
      </c>
      <c r="F235" s="659" t="e">
        <v>#N/A</v>
      </c>
      <c r="G235" s="659" t="s">
        <v>1372</v>
      </c>
      <c r="H235" s="660" t="s">
        <v>1073</v>
      </c>
      <c r="I235" s="661" t="s">
        <v>1074</v>
      </c>
      <c r="J235" s="651" t="str">
        <f>VLOOKUP(D235,[5]Sheet1!$D$1:$D$65536,1,0)</f>
        <v>NCV2951CDR2G</v>
      </c>
      <c r="K235" s="654" t="s">
        <v>28</v>
      </c>
      <c r="L235" s="654"/>
      <c r="M235" s="654"/>
      <c r="N235" s="655" t="s">
        <v>1153</v>
      </c>
      <c r="O235" s="650">
        <v>0.1236</v>
      </c>
      <c r="P235" s="655">
        <f>VLOOKUP(D235,'EEBOM Feb.2nd2026'!$D:$N,11,0)</f>
        <v>0.1236</v>
      </c>
      <c r="Q235" s="655">
        <f t="shared" si="25"/>
        <v>0</v>
      </c>
      <c r="R235" s="652">
        <f t="shared" si="20"/>
        <v>0.12792599999999998</v>
      </c>
      <c r="S235" s="652">
        <f t="shared" si="24"/>
        <v>1.4075999999999991E-2</v>
      </c>
      <c r="T235" s="655"/>
      <c r="U235" s="655" t="s">
        <v>1089</v>
      </c>
      <c r="V235" s="655">
        <v>18000</v>
      </c>
      <c r="W235" s="655">
        <v>49</v>
      </c>
      <c r="X235" s="657" t="s">
        <v>1485</v>
      </c>
      <c r="Y235" s="657" t="s">
        <v>1448</v>
      </c>
      <c r="Z235" s="752"/>
      <c r="AA235" s="753"/>
      <c r="AB235" s="753"/>
      <c r="AC235" s="753"/>
      <c r="AD235" s="753"/>
      <c r="AE235" s="753"/>
      <c r="AF235" s="753"/>
      <c r="AG235" s="753"/>
      <c r="AH235" s="753"/>
      <c r="AI235" s="753"/>
      <c r="AJ235" s="753"/>
      <c r="AK235" s="753"/>
      <c r="AL235" s="753"/>
      <c r="AM235" s="753"/>
      <c r="AN235" s="753"/>
      <c r="AO235" s="753"/>
      <c r="AP235" s="753"/>
      <c r="AQ235" s="753"/>
      <c r="AR235" s="753"/>
      <c r="AS235" s="753"/>
      <c r="AT235" s="753"/>
      <c r="AU235" s="753"/>
      <c r="AV235" s="753"/>
      <c r="AW235" s="753"/>
      <c r="AX235" s="753"/>
      <c r="AY235" s="753"/>
      <c r="AZ235" s="753"/>
      <c r="BA235" s="753"/>
      <c r="BB235" s="753"/>
    </row>
    <row r="236" spans="1:54" s="658" customFormat="1" ht="15.5" customHeight="1">
      <c r="A236" s="654">
        <v>2</v>
      </c>
      <c r="B236" s="655" t="s">
        <v>573</v>
      </c>
      <c r="C236" s="655" t="s">
        <v>572</v>
      </c>
      <c r="D236" s="655" t="s">
        <v>573</v>
      </c>
      <c r="E236" s="655" t="s">
        <v>573</v>
      </c>
      <c r="F236" s="659" t="s">
        <v>573</v>
      </c>
      <c r="G236" s="659" t="s">
        <v>1375</v>
      </c>
      <c r="H236" s="660" t="s">
        <v>1073</v>
      </c>
      <c r="I236" s="661" t="s">
        <v>1074</v>
      </c>
      <c r="J236" s="651" t="str">
        <f>VLOOKUP(D236,[5]Sheet1!$D$1:$D$65536,1,0)</f>
        <v>TPS1HTC30AQPWPRQ1</v>
      </c>
      <c r="K236" s="654" t="s">
        <v>28</v>
      </c>
      <c r="L236" s="654">
        <v>2</v>
      </c>
      <c r="M236" s="654">
        <v>2</v>
      </c>
      <c r="N236" s="655" t="s">
        <v>1464</v>
      </c>
      <c r="O236" s="650">
        <v>0.53</v>
      </c>
      <c r="P236" s="655">
        <f>VLOOKUP(D236,'EEBOM Feb.2nd2026'!$D:$N,11,0)</f>
        <v>0.53</v>
      </c>
      <c r="Q236" s="655">
        <f t="shared" si="25"/>
        <v>0</v>
      </c>
      <c r="R236" s="652">
        <f t="shared" si="20"/>
        <v>0.54854999999999998</v>
      </c>
      <c r="S236" s="652">
        <f t="shared" si="24"/>
        <v>0</v>
      </c>
      <c r="T236" s="655">
        <f t="shared" ref="T236:T237" si="26">R236*M236</f>
        <v>1.0971</v>
      </c>
      <c r="U236" s="655" t="s">
        <v>1464</v>
      </c>
      <c r="V236" s="655">
        <v>3000</v>
      </c>
      <c r="W236" s="655">
        <v>6</v>
      </c>
      <c r="X236" s="657" t="s">
        <v>1481</v>
      </c>
      <c r="Y236" s="657" t="s">
        <v>1448</v>
      </c>
      <c r="Z236" s="752" t="s">
        <v>1376</v>
      </c>
      <c r="AA236" s="753"/>
      <c r="AB236" s="753"/>
      <c r="AC236" s="753"/>
      <c r="AD236" s="753"/>
      <c r="AE236" s="753"/>
      <c r="AF236" s="753"/>
      <c r="AG236" s="753"/>
      <c r="AH236" s="753"/>
      <c r="AI236" s="753"/>
      <c r="AJ236" s="753"/>
      <c r="AK236" s="753"/>
      <c r="AL236" s="753"/>
      <c r="AM236" s="753"/>
      <c r="AN236" s="753"/>
      <c r="AO236" s="753"/>
      <c r="AP236" s="753"/>
      <c r="AQ236" s="753"/>
      <c r="AR236" s="753"/>
      <c r="AS236" s="753"/>
      <c r="AT236" s="753"/>
      <c r="AU236" s="753"/>
      <c r="AV236" s="753"/>
      <c r="AW236" s="753"/>
      <c r="AX236" s="753"/>
      <c r="AY236" s="753"/>
      <c r="AZ236" s="753"/>
      <c r="BA236" s="753"/>
      <c r="BB236" s="753"/>
    </row>
    <row r="237" spans="1:54" s="658" customFormat="1" ht="15.75" customHeight="1">
      <c r="A237" s="654">
        <v>2</v>
      </c>
      <c r="B237" s="655" t="s">
        <v>1377</v>
      </c>
      <c r="C237" s="655" t="s">
        <v>1378</v>
      </c>
      <c r="D237" s="655" t="s">
        <v>1409</v>
      </c>
      <c r="E237" s="655" t="s">
        <v>1377</v>
      </c>
      <c r="F237" s="659" t="e">
        <v>#N/A</v>
      </c>
      <c r="G237" s="659" t="s">
        <v>1379</v>
      </c>
      <c r="H237" s="660" t="s">
        <v>1073</v>
      </c>
      <c r="I237" s="661" t="s">
        <v>1074</v>
      </c>
      <c r="J237" s="651" t="str">
        <f>VLOOKUP(D237,[5]Sheet1!$D$1:$D$65536,1,0)</f>
        <v>LM2904BQDGKRQ1</v>
      </c>
      <c r="K237" s="654" t="s">
        <v>28</v>
      </c>
      <c r="L237" s="654">
        <v>1</v>
      </c>
      <c r="M237" s="654">
        <v>1</v>
      </c>
      <c r="N237" s="655" t="s">
        <v>1464</v>
      </c>
      <c r="O237" s="650">
        <v>5.3999999999999999E-2</v>
      </c>
      <c r="P237" s="655">
        <f>VLOOKUP(D237,'EEBOM Feb.2nd2026'!$D:$N,11,0)</f>
        <v>7.0000000000000007E-2</v>
      </c>
      <c r="Q237" s="655">
        <f t="shared" si="25"/>
        <v>-1.6000000000000007E-2</v>
      </c>
      <c r="R237" s="652">
        <f t="shared" si="20"/>
        <v>5.5889999999999995E-2</v>
      </c>
      <c r="S237" s="652">
        <f t="shared" si="24"/>
        <v>5.5889999999999995E-2</v>
      </c>
      <c r="T237" s="655">
        <f t="shared" si="26"/>
        <v>5.5889999999999995E-2</v>
      </c>
      <c r="U237" s="655" t="s">
        <v>1464</v>
      </c>
      <c r="V237" s="655">
        <v>2500</v>
      </c>
      <c r="W237" s="655">
        <v>12</v>
      </c>
      <c r="X237" s="657" t="s">
        <v>1481</v>
      </c>
      <c r="Y237" s="657" t="s">
        <v>1448</v>
      </c>
      <c r="Z237" s="752" t="s">
        <v>1380</v>
      </c>
      <c r="AA237" s="753"/>
      <c r="AB237" s="753"/>
      <c r="AC237" s="753"/>
      <c r="AD237" s="753"/>
      <c r="AE237" s="753"/>
      <c r="AF237" s="753"/>
      <c r="AG237" s="753"/>
      <c r="AH237" s="753"/>
      <c r="AI237" s="753"/>
      <c r="AJ237" s="753"/>
      <c r="AK237" s="753"/>
      <c r="AL237" s="753"/>
      <c r="AM237" s="753"/>
      <c r="AN237" s="753"/>
      <c r="AO237" s="753"/>
      <c r="AP237" s="753"/>
      <c r="AQ237" s="753"/>
      <c r="AR237" s="753"/>
      <c r="AS237" s="753"/>
      <c r="AT237" s="753"/>
      <c r="AU237" s="753"/>
      <c r="AV237" s="753"/>
      <c r="AW237" s="753"/>
      <c r="AX237" s="753"/>
      <c r="AY237" s="753"/>
      <c r="AZ237" s="753"/>
      <c r="BA237" s="753"/>
      <c r="BB237" s="753"/>
    </row>
    <row r="238" spans="1:54" ht="15.75" customHeight="1">
      <c r="A238" s="649">
        <v>2</v>
      </c>
      <c r="B238" s="650" t="s">
        <v>1381</v>
      </c>
      <c r="C238" s="650" t="s">
        <v>1378</v>
      </c>
      <c r="D238" s="675" t="s">
        <v>1410</v>
      </c>
      <c r="E238" s="650" t="s">
        <v>1381</v>
      </c>
      <c r="F238" s="650" t="e">
        <v>#N/A</v>
      </c>
      <c r="G238" s="650" t="s">
        <v>1379</v>
      </c>
      <c r="H238" s="649" t="s">
        <v>1073</v>
      </c>
      <c r="I238" s="651" t="s">
        <v>1074</v>
      </c>
      <c r="J238" s="651" t="str">
        <f>VLOOKUP(D238,[5]Sheet1!$D$1:$D$65536,1,0)</f>
        <v>LM2904BYST</v>
      </c>
      <c r="K238" s="649" t="s">
        <v>28</v>
      </c>
      <c r="L238" s="649"/>
      <c r="M238" s="670"/>
      <c r="N238" s="650" t="s">
        <v>1382</v>
      </c>
      <c r="O238" s="650"/>
      <c r="P238" s="652"/>
      <c r="Q238" s="652"/>
      <c r="R238" s="652">
        <f t="shared" si="20"/>
        <v>0</v>
      </c>
      <c r="S238" s="652">
        <f t="shared" si="24"/>
        <v>0</v>
      </c>
      <c r="T238" s="652"/>
      <c r="U238" s="650"/>
      <c r="V238" s="650"/>
      <c r="W238" s="650"/>
      <c r="X238" s="653"/>
      <c r="Y238" s="653"/>
      <c r="Z238" s="752"/>
    </row>
    <row r="239" spans="1:54" s="658" customFormat="1" ht="15.75" customHeight="1">
      <c r="A239" s="654">
        <v>2</v>
      </c>
      <c r="B239" s="655" t="s">
        <v>317</v>
      </c>
      <c r="C239" s="655" t="s">
        <v>312</v>
      </c>
      <c r="D239" s="655" t="s">
        <v>317</v>
      </c>
      <c r="E239" s="655" t="s">
        <v>317</v>
      </c>
      <c r="F239" s="659" t="s">
        <v>317</v>
      </c>
      <c r="G239" s="659" t="s">
        <v>314</v>
      </c>
      <c r="H239" s="660" t="s">
        <v>1073</v>
      </c>
      <c r="I239" s="661" t="s">
        <v>1074</v>
      </c>
      <c r="J239" s="651" t="str">
        <f>VLOOKUP(D239,[5]Sheet1!$D$1:$D$65536,1,0)</f>
        <v>SHT41A-BD1B-R3</v>
      </c>
      <c r="K239" s="654" t="s">
        <v>28</v>
      </c>
      <c r="L239" s="654">
        <v>1</v>
      </c>
      <c r="M239" s="654">
        <v>1</v>
      </c>
      <c r="N239" s="655" t="s">
        <v>315</v>
      </c>
      <c r="O239" s="650">
        <v>0.42</v>
      </c>
      <c r="P239" s="655">
        <f>VLOOKUP(D239,'EEBOM Feb.2nd2026'!$D:$N,11,0)</f>
        <v>0.42</v>
      </c>
      <c r="Q239" s="655">
        <f>O239-P239</f>
        <v>0</v>
      </c>
      <c r="R239" s="652">
        <f t="shared" si="20"/>
        <v>0.43469999999999998</v>
      </c>
      <c r="S239" s="652">
        <f t="shared" si="24"/>
        <v>0</v>
      </c>
      <c r="T239" s="655">
        <f>R239*M239</f>
        <v>0.43469999999999998</v>
      </c>
      <c r="U239" s="655" t="s">
        <v>1383</v>
      </c>
      <c r="V239" s="655">
        <v>10000</v>
      </c>
      <c r="W239" s="655">
        <v>8</v>
      </c>
      <c r="X239" s="657" t="s">
        <v>1486</v>
      </c>
      <c r="Y239" s="657" t="s">
        <v>1448</v>
      </c>
      <c r="Z239" s="752" t="s">
        <v>316</v>
      </c>
      <c r="AA239" s="753"/>
      <c r="AB239" s="753"/>
      <c r="AC239" s="753"/>
      <c r="AD239" s="753"/>
      <c r="AE239" s="753"/>
      <c r="AF239" s="753"/>
      <c r="AG239" s="753"/>
      <c r="AH239" s="753"/>
      <c r="AI239" s="753"/>
      <c r="AJ239" s="753"/>
      <c r="AK239" s="753"/>
      <c r="AL239" s="753"/>
      <c r="AM239" s="753"/>
      <c r="AN239" s="753"/>
      <c r="AO239" s="753"/>
      <c r="AP239" s="753"/>
      <c r="AQ239" s="753"/>
      <c r="AR239" s="753"/>
      <c r="AS239" s="753"/>
      <c r="AT239" s="753"/>
      <c r="AU239" s="753"/>
      <c r="AV239" s="753"/>
      <c r="AW239" s="753"/>
      <c r="AX239" s="753"/>
      <c r="AY239" s="753"/>
      <c r="AZ239" s="753"/>
      <c r="BA239" s="753"/>
      <c r="BB239" s="753"/>
    </row>
    <row r="240" spans="1:54" ht="15.75" customHeight="1">
      <c r="A240" s="649">
        <v>2</v>
      </c>
      <c r="B240" s="650" t="s">
        <v>313</v>
      </c>
      <c r="C240" s="650" t="s">
        <v>312</v>
      </c>
      <c r="D240" s="650" t="s">
        <v>313</v>
      </c>
      <c r="E240" s="650" t="s">
        <v>313</v>
      </c>
      <c r="F240" s="650" t="s">
        <v>313</v>
      </c>
      <c r="G240" s="650" t="s">
        <v>314</v>
      </c>
      <c r="H240" s="649" t="s">
        <v>1073</v>
      </c>
      <c r="I240" s="651" t="s">
        <v>1074</v>
      </c>
      <c r="J240" s="651" t="str">
        <f>VLOOKUP(D240,[5]Sheet1!$D$1:$D$65536,1,0)</f>
        <v>SHT41A-BD1B-R2</v>
      </c>
      <c r="K240" s="649" t="s">
        <v>28</v>
      </c>
      <c r="L240" s="649"/>
      <c r="M240" s="649"/>
      <c r="N240" s="650" t="s">
        <v>315</v>
      </c>
      <c r="O240" s="650">
        <v>0.42</v>
      </c>
      <c r="P240" s="652"/>
      <c r="Q240" s="652"/>
      <c r="R240" s="652">
        <f t="shared" si="20"/>
        <v>0.43469999999999998</v>
      </c>
      <c r="S240" s="652">
        <f t="shared" si="24"/>
        <v>0</v>
      </c>
      <c r="T240" s="652"/>
      <c r="U240" s="650" t="s">
        <v>1383</v>
      </c>
      <c r="V240" s="650"/>
      <c r="W240" s="650"/>
      <c r="X240" s="653"/>
      <c r="Y240" s="653"/>
      <c r="Z240" s="752"/>
    </row>
    <row r="241" spans="1:54" s="658" customFormat="1" ht="15.75" customHeight="1">
      <c r="A241" s="654">
        <v>2</v>
      </c>
      <c r="B241" s="655" t="s">
        <v>1384</v>
      </c>
      <c r="C241" s="655" t="s">
        <v>1385</v>
      </c>
      <c r="D241" s="655" t="s">
        <v>1384</v>
      </c>
      <c r="E241" s="655" t="s">
        <v>1384</v>
      </c>
      <c r="F241" s="659" t="e">
        <v>#N/A</v>
      </c>
      <c r="G241" s="659" t="s">
        <v>1386</v>
      </c>
      <c r="H241" s="660" t="s">
        <v>1073</v>
      </c>
      <c r="I241" s="661" t="s">
        <v>1074</v>
      </c>
      <c r="J241" s="651" t="str">
        <f>VLOOKUP(D241,[5]Sheet1!$D$1:$D$65536,1,0)</f>
        <v>OPT4003DNPRQ1</v>
      </c>
      <c r="K241" s="654" t="s">
        <v>28</v>
      </c>
      <c r="L241" s="654">
        <v>1</v>
      </c>
      <c r="M241" s="654">
        <v>1</v>
      </c>
      <c r="N241" s="655" t="s">
        <v>1464</v>
      </c>
      <c r="O241" s="650">
        <v>0.33</v>
      </c>
      <c r="P241" s="655">
        <f>VLOOKUP(D241,'EEBOM Feb.2nd2026'!$D:$N,11,0)</f>
        <v>0.36</v>
      </c>
      <c r="Q241" s="655">
        <f t="shared" ref="Q241:Q242" si="27">O241-P241</f>
        <v>-2.9999999999999971E-2</v>
      </c>
      <c r="R241" s="652">
        <f t="shared" si="20"/>
        <v>0.34154999999999996</v>
      </c>
      <c r="S241" s="652">
        <f t="shared" si="24"/>
        <v>0</v>
      </c>
      <c r="T241" s="655">
        <f t="shared" ref="T241:T242" si="28">R241*M241</f>
        <v>0.34154999999999996</v>
      </c>
      <c r="U241" s="655" t="s">
        <v>1464</v>
      </c>
      <c r="V241" s="655">
        <v>3000</v>
      </c>
      <c r="W241" s="655">
        <v>12</v>
      </c>
      <c r="X241" s="657" t="s">
        <v>1481</v>
      </c>
      <c r="Y241" s="657" t="s">
        <v>1448</v>
      </c>
      <c r="Z241" s="752" t="s">
        <v>579</v>
      </c>
      <c r="AA241" s="753"/>
      <c r="AB241" s="753"/>
      <c r="AC241" s="753"/>
      <c r="AD241" s="753"/>
      <c r="AE241" s="753"/>
      <c r="AF241" s="753"/>
      <c r="AG241" s="753"/>
      <c r="AH241" s="753"/>
      <c r="AI241" s="753"/>
      <c r="AJ241" s="753"/>
      <c r="AK241" s="753"/>
      <c r="AL241" s="753"/>
      <c r="AM241" s="753"/>
      <c r="AN241" s="753"/>
      <c r="AO241" s="753"/>
      <c r="AP241" s="753"/>
      <c r="AQ241" s="753"/>
      <c r="AR241" s="753"/>
      <c r="AS241" s="753"/>
      <c r="AT241" s="753"/>
      <c r="AU241" s="753"/>
      <c r="AV241" s="753"/>
      <c r="AW241" s="753"/>
      <c r="AX241" s="753"/>
      <c r="AY241" s="753"/>
      <c r="AZ241" s="753"/>
      <c r="BA241" s="753"/>
      <c r="BB241" s="753"/>
    </row>
    <row r="242" spans="1:54" s="658" customFormat="1" ht="15.75" customHeight="1">
      <c r="A242" s="654">
        <v>2</v>
      </c>
      <c r="B242" s="655" t="s">
        <v>591</v>
      </c>
      <c r="C242" s="655" t="s">
        <v>587</v>
      </c>
      <c r="D242" s="655" t="s">
        <v>591</v>
      </c>
      <c r="E242" s="655" t="s">
        <v>591</v>
      </c>
      <c r="F242" s="659" t="s">
        <v>591</v>
      </c>
      <c r="G242" s="659" t="s">
        <v>588</v>
      </c>
      <c r="H242" s="660" t="s">
        <v>1073</v>
      </c>
      <c r="I242" s="661" t="s">
        <v>1074</v>
      </c>
      <c r="J242" s="651" t="str">
        <f>VLOOKUP(D242,[5]Sheet1!$D$1:$D$65536,1,0)</f>
        <v>1C325000BE0A</v>
      </c>
      <c r="K242" s="654" t="s">
        <v>28</v>
      </c>
      <c r="L242" s="654">
        <v>1</v>
      </c>
      <c r="M242" s="654">
        <v>1</v>
      </c>
      <c r="N242" s="655" t="s">
        <v>592</v>
      </c>
      <c r="O242" s="650">
        <v>6.8000000000000005E-2</v>
      </c>
      <c r="P242" s="655">
        <f>VLOOKUP(D242,'EEBOM Feb.2nd2026'!$D:$N,11,0)</f>
        <v>6.8000000000000005E-2</v>
      </c>
      <c r="Q242" s="655">
        <f t="shared" si="27"/>
        <v>0</v>
      </c>
      <c r="R242" s="652">
        <f t="shared" si="20"/>
        <v>7.0379999999999998E-2</v>
      </c>
      <c r="S242" s="652">
        <f t="shared" si="24"/>
        <v>0</v>
      </c>
      <c r="T242" s="655">
        <f t="shared" si="28"/>
        <v>7.0379999999999998E-2</v>
      </c>
      <c r="U242" s="655" t="s">
        <v>592</v>
      </c>
      <c r="V242" s="655">
        <v>3000</v>
      </c>
      <c r="W242" s="655">
        <v>10</v>
      </c>
      <c r="X242" s="657" t="s">
        <v>1487</v>
      </c>
      <c r="Y242" s="657" t="s">
        <v>1448</v>
      </c>
      <c r="Z242" s="752" t="s">
        <v>590</v>
      </c>
      <c r="AA242" s="753"/>
      <c r="AB242" s="753"/>
      <c r="AC242" s="753"/>
      <c r="AD242" s="753"/>
      <c r="AE242" s="753"/>
      <c r="AF242" s="753"/>
      <c r="AG242" s="753"/>
      <c r="AH242" s="753"/>
      <c r="AI242" s="753"/>
      <c r="AJ242" s="753"/>
      <c r="AK242" s="753"/>
      <c r="AL242" s="753"/>
      <c r="AM242" s="753"/>
      <c r="AN242" s="753"/>
      <c r="AO242" s="753"/>
      <c r="AP242" s="753"/>
      <c r="AQ242" s="753"/>
      <c r="AR242" s="753"/>
      <c r="AS242" s="753"/>
      <c r="AT242" s="753"/>
      <c r="AU242" s="753"/>
      <c r="AV242" s="753"/>
      <c r="AW242" s="753"/>
      <c r="AX242" s="753"/>
      <c r="AY242" s="753"/>
      <c r="AZ242" s="753"/>
      <c r="BA242" s="753"/>
      <c r="BB242" s="753"/>
    </row>
    <row r="243" spans="1:54" ht="15.75" customHeight="1">
      <c r="A243" s="649">
        <v>2</v>
      </c>
      <c r="B243" s="650" t="s">
        <v>586</v>
      </c>
      <c r="C243" s="650" t="s">
        <v>587</v>
      </c>
      <c r="D243" s="650" t="s">
        <v>586</v>
      </c>
      <c r="E243" s="650" t="e">
        <v>#N/A</v>
      </c>
      <c r="F243" s="650" t="e">
        <v>#N/A</v>
      </c>
      <c r="G243" s="650" t="s">
        <v>588</v>
      </c>
      <c r="H243" s="649" t="s">
        <v>1073</v>
      </c>
      <c r="I243" s="651" t="s">
        <v>1074</v>
      </c>
      <c r="J243" s="651" t="str">
        <f>VLOOKUP(D243,[5]Sheet1!$D$1:$D$65536,1,0)</f>
        <v>AM25070307</v>
      </c>
      <c r="K243" s="649" t="s">
        <v>28</v>
      </c>
      <c r="L243" s="649"/>
      <c r="M243" s="649"/>
      <c r="N243" s="650" t="s">
        <v>589</v>
      </c>
      <c r="O243" s="650">
        <v>7.4999999999999997E-2</v>
      </c>
      <c r="P243" s="652"/>
      <c r="Q243" s="652"/>
      <c r="R243" s="652">
        <f t="shared" si="20"/>
        <v>7.7624999999999986E-2</v>
      </c>
      <c r="S243" s="652">
        <f t="shared" si="24"/>
        <v>7.2449999999999876E-3</v>
      </c>
      <c r="T243" s="652"/>
      <c r="U243" s="650" t="s">
        <v>1387</v>
      </c>
      <c r="V243" s="650"/>
      <c r="W243" s="650"/>
      <c r="X243" s="653"/>
      <c r="Y243" s="653"/>
      <c r="Z243" s="752"/>
    </row>
    <row r="244" spans="1:54" ht="15.75" customHeight="1">
      <c r="A244" s="649">
        <v>2</v>
      </c>
      <c r="B244" s="650" t="s">
        <v>593</v>
      </c>
      <c r="C244" s="650" t="s">
        <v>587</v>
      </c>
      <c r="D244" s="650" t="s">
        <v>593</v>
      </c>
      <c r="E244" s="650" t="e">
        <v>#N/A</v>
      </c>
      <c r="F244" s="650" t="e">
        <v>#N/A</v>
      </c>
      <c r="G244" s="650" t="s">
        <v>588</v>
      </c>
      <c r="H244" s="649" t="s">
        <v>1073</v>
      </c>
      <c r="I244" s="651" t="s">
        <v>1074</v>
      </c>
      <c r="J244" s="651" t="str">
        <f>VLOOKUP(D244,[5]Sheet1!$D$1:$D$65536,1,0)</f>
        <v>EXS00A-CS14701</v>
      </c>
      <c r="K244" s="649" t="s">
        <v>28</v>
      </c>
      <c r="L244" s="649"/>
      <c r="M244" s="649"/>
      <c r="N244" s="650" t="s">
        <v>594</v>
      </c>
      <c r="O244" s="650">
        <v>0.12</v>
      </c>
      <c r="P244" s="652"/>
      <c r="Q244" s="652"/>
      <c r="R244" s="652">
        <f t="shared" si="20"/>
        <v>0.12419999999999999</v>
      </c>
      <c r="S244" s="652">
        <f t="shared" si="24"/>
        <v>5.3819999999999993E-2</v>
      </c>
      <c r="T244" s="652"/>
      <c r="U244" s="650" t="s">
        <v>1388</v>
      </c>
      <c r="V244" s="650"/>
      <c r="W244" s="650"/>
      <c r="X244" s="653"/>
      <c r="Y244" s="653"/>
      <c r="Z244" s="752"/>
    </row>
    <row r="245" spans="1:54" ht="15.75" customHeight="1">
      <c r="A245" s="649">
        <v>2</v>
      </c>
      <c r="B245" s="650" t="s">
        <v>1540</v>
      </c>
      <c r="C245" s="650" t="s">
        <v>1539</v>
      </c>
      <c r="D245" s="650" t="s">
        <v>1540</v>
      </c>
      <c r="E245" s="650"/>
      <c r="F245" s="650"/>
      <c r="G245" s="650" t="s">
        <v>1543</v>
      </c>
      <c r="H245" s="649" t="s">
        <v>1073</v>
      </c>
      <c r="I245" s="651" t="s">
        <v>1074</v>
      </c>
      <c r="J245" s="651"/>
      <c r="K245" s="649" t="s">
        <v>28</v>
      </c>
      <c r="L245" s="676">
        <v>9</v>
      </c>
      <c r="M245" s="649">
        <v>9</v>
      </c>
      <c r="N245" s="650" t="s">
        <v>237</v>
      </c>
      <c r="O245" s="675">
        <f>VLOOKUP(D245,[7]Sheet3!$C$2:$G$13,5,0)</f>
        <v>0.16800000000000001</v>
      </c>
      <c r="P245" s="650"/>
      <c r="Q245" s="650"/>
      <c r="R245" s="652">
        <f t="shared" ref="R245:R252" si="29">O245*1.035</f>
        <v>0.17388000000000001</v>
      </c>
      <c r="S245" s="652">
        <f t="shared" si="24"/>
        <v>0</v>
      </c>
      <c r="T245" s="675">
        <f>R245*M245</f>
        <v>1.5649200000000001</v>
      </c>
      <c r="U245" s="650"/>
      <c r="V245" s="650"/>
      <c r="W245" s="650"/>
      <c r="X245" s="653"/>
      <c r="Y245" s="653"/>
      <c r="Z245" s="761" t="s">
        <v>1123</v>
      </c>
      <c r="AA245" s="753" t="s">
        <v>1560</v>
      </c>
      <c r="AB245" s="765" t="s">
        <v>1551</v>
      </c>
    </row>
    <row r="246" spans="1:54" ht="15.75" customHeight="1">
      <c r="A246" s="649">
        <v>2</v>
      </c>
      <c r="B246" s="650" t="s">
        <v>1541</v>
      </c>
      <c r="C246" s="650" t="s">
        <v>1539</v>
      </c>
      <c r="D246" s="650" t="s">
        <v>1541</v>
      </c>
      <c r="E246" s="650"/>
      <c r="F246" s="650"/>
      <c r="G246" s="650" t="s">
        <v>1543</v>
      </c>
      <c r="H246" s="649" t="s">
        <v>1073</v>
      </c>
      <c r="I246" s="651" t="s">
        <v>1074</v>
      </c>
      <c r="J246" s="651"/>
      <c r="K246" s="649" t="s">
        <v>28</v>
      </c>
      <c r="L246" s="676"/>
      <c r="M246" s="649"/>
      <c r="N246" s="650" t="s">
        <v>275</v>
      </c>
      <c r="O246" s="675">
        <f>VLOOKUP(D246,[7]Sheet3!$C$2:$G$13,5,0)</f>
        <v>0.17780000000000001</v>
      </c>
      <c r="P246" s="650"/>
      <c r="Q246" s="650"/>
      <c r="R246" s="652">
        <f t="shared" si="29"/>
        <v>0.18402299999999999</v>
      </c>
      <c r="S246" s="652">
        <f t="shared" si="24"/>
        <v>1.0142999999999985E-2</v>
      </c>
      <c r="T246" s="650"/>
      <c r="U246" s="650"/>
      <c r="V246" s="650"/>
      <c r="W246" s="650"/>
      <c r="X246" s="653"/>
      <c r="Y246" s="653"/>
      <c r="Z246" s="752"/>
      <c r="AA246" s="753" t="s">
        <v>1560</v>
      </c>
      <c r="AB246" s="765" t="s">
        <v>1559</v>
      </c>
    </row>
    <row r="247" spans="1:54" ht="15.75" customHeight="1">
      <c r="A247" s="649">
        <v>2</v>
      </c>
      <c r="B247" s="650" t="s">
        <v>1542</v>
      </c>
      <c r="C247" s="650" t="s">
        <v>1539</v>
      </c>
      <c r="D247" s="650" t="s">
        <v>1542</v>
      </c>
      <c r="E247" s="650"/>
      <c r="F247" s="650"/>
      <c r="G247" s="650" t="s">
        <v>1543</v>
      </c>
      <c r="H247" s="649" t="s">
        <v>1073</v>
      </c>
      <c r="I247" s="651" t="s">
        <v>1074</v>
      </c>
      <c r="J247" s="651"/>
      <c r="K247" s="649" t="s">
        <v>28</v>
      </c>
      <c r="L247" s="676"/>
      <c r="M247" s="649"/>
      <c r="N247" s="650" t="s">
        <v>526</v>
      </c>
      <c r="O247" s="675">
        <f>VLOOKUP(D247,[7]Sheet3!$C$2:$G$13,5,0)</f>
        <v>0.24</v>
      </c>
      <c r="P247" s="650"/>
      <c r="Q247" s="650"/>
      <c r="R247" s="652">
        <f t="shared" si="29"/>
        <v>0.24839999999999998</v>
      </c>
      <c r="S247" s="652">
        <f t="shared" si="24"/>
        <v>7.4519999999999975E-2</v>
      </c>
      <c r="T247" s="650"/>
      <c r="U247" s="650"/>
      <c r="V247" s="650"/>
      <c r="W247" s="650"/>
      <c r="X247" s="653"/>
      <c r="Y247" s="653"/>
      <c r="Z247" s="752"/>
      <c r="AA247" s="753" t="s">
        <v>1560</v>
      </c>
      <c r="AB247" s="765" t="s">
        <v>1559</v>
      </c>
    </row>
    <row r="248" spans="1:54" ht="15.5" customHeight="1">
      <c r="A248" s="649">
        <v>2</v>
      </c>
      <c r="B248" s="650" t="s">
        <v>1544</v>
      </c>
      <c r="C248" s="650" t="s">
        <v>1545</v>
      </c>
      <c r="D248" s="650" t="s">
        <v>1544</v>
      </c>
      <c r="E248" s="650"/>
      <c r="F248" s="650"/>
      <c r="G248" s="650" t="s">
        <v>489</v>
      </c>
      <c r="H248" s="649" t="s">
        <v>1073</v>
      </c>
      <c r="I248" s="651" t="s">
        <v>1074</v>
      </c>
      <c r="J248" s="762"/>
      <c r="K248" s="649" t="s">
        <v>28</v>
      </c>
      <c r="L248" s="676">
        <v>2</v>
      </c>
      <c r="M248" s="649"/>
      <c r="N248" s="650" t="s">
        <v>275</v>
      </c>
      <c r="O248" s="675">
        <f>VLOOKUP(D248,[7]Sheet3!$C$2:$G$13,5,0)</f>
        <v>7.1999999999999995E-2</v>
      </c>
      <c r="P248" s="650"/>
      <c r="Q248" s="650"/>
      <c r="R248" s="652">
        <f t="shared" si="29"/>
        <v>7.4519999999999989E-2</v>
      </c>
      <c r="S248" s="652">
        <f t="shared" si="24"/>
        <v>1.552499999999999E-2</v>
      </c>
      <c r="T248" s="650"/>
      <c r="U248" s="650"/>
      <c r="V248" s="650"/>
      <c r="W248" s="650"/>
      <c r="X248" s="653"/>
      <c r="Y248" s="653"/>
      <c r="Z248" s="763" t="s">
        <v>1128</v>
      </c>
      <c r="AA248" s="753" t="s">
        <v>1560</v>
      </c>
      <c r="AB248" s="765" t="s">
        <v>1551</v>
      </c>
    </row>
    <row r="249" spans="1:54" ht="15.75" customHeight="1">
      <c r="A249" s="649">
        <v>2</v>
      </c>
      <c r="B249" s="650" t="s">
        <v>1546</v>
      </c>
      <c r="C249" s="650" t="s">
        <v>1545</v>
      </c>
      <c r="D249" s="650" t="s">
        <v>1546</v>
      </c>
      <c r="E249" s="650"/>
      <c r="F249" s="650"/>
      <c r="G249" s="650" t="s">
        <v>489</v>
      </c>
      <c r="H249" s="649" t="s">
        <v>1073</v>
      </c>
      <c r="I249" s="651" t="s">
        <v>1074</v>
      </c>
      <c r="J249" s="651"/>
      <c r="K249" s="649" t="s">
        <v>28</v>
      </c>
      <c r="L249" s="676"/>
      <c r="M249" s="649">
        <v>2</v>
      </c>
      <c r="N249" s="650" t="s">
        <v>526</v>
      </c>
      <c r="O249" s="675">
        <f>VLOOKUP(D249,[7]Sheet3!$C$2:$G$13,5,0)</f>
        <v>5.7000000000000002E-2</v>
      </c>
      <c r="P249" s="650"/>
      <c r="Q249" s="650"/>
      <c r="R249" s="652">
        <f t="shared" si="29"/>
        <v>5.8994999999999999E-2</v>
      </c>
      <c r="S249" s="652">
        <f t="shared" si="24"/>
        <v>0</v>
      </c>
      <c r="T249" s="675">
        <f>R249*M249</f>
        <v>0.11799</v>
      </c>
      <c r="U249" s="650"/>
      <c r="V249" s="650"/>
      <c r="W249" s="650"/>
      <c r="X249" s="653"/>
      <c r="Y249" s="653"/>
      <c r="Z249" s="752"/>
      <c r="AA249" s="753" t="s">
        <v>1560</v>
      </c>
      <c r="AB249" s="765" t="s">
        <v>1559</v>
      </c>
    </row>
    <row r="250" spans="1:54" ht="15.75" customHeight="1">
      <c r="A250" s="649">
        <v>2</v>
      </c>
      <c r="B250" s="650" t="s">
        <v>1547</v>
      </c>
      <c r="C250" s="650" t="s">
        <v>1545</v>
      </c>
      <c r="D250" s="650" t="s">
        <v>1547</v>
      </c>
      <c r="E250" s="650"/>
      <c r="F250" s="650"/>
      <c r="G250" s="650" t="s">
        <v>489</v>
      </c>
      <c r="H250" s="649" t="s">
        <v>1073</v>
      </c>
      <c r="I250" s="651" t="s">
        <v>1074</v>
      </c>
      <c r="J250" s="651"/>
      <c r="K250" s="649" t="s">
        <v>28</v>
      </c>
      <c r="L250" s="676"/>
      <c r="M250" s="649"/>
      <c r="N250" s="650" t="s">
        <v>526</v>
      </c>
      <c r="O250" s="675">
        <f>VLOOKUP(D250,[7]Sheet3!$C$2:$G$13,5,0)</f>
        <v>8.5999999999999993E-2</v>
      </c>
      <c r="P250" s="650"/>
      <c r="Q250" s="650"/>
      <c r="R250" s="652">
        <f t="shared" si="29"/>
        <v>8.9009999999999992E-2</v>
      </c>
      <c r="S250" s="652">
        <f t="shared" si="24"/>
        <v>3.0014999999999993E-2</v>
      </c>
      <c r="T250" s="650"/>
      <c r="U250" s="650"/>
      <c r="V250" s="650"/>
      <c r="W250" s="650"/>
      <c r="X250" s="653"/>
      <c r="Y250" s="653"/>
      <c r="Z250" s="752"/>
      <c r="AA250" s="753" t="s">
        <v>1560</v>
      </c>
      <c r="AB250" s="765" t="s">
        <v>1559</v>
      </c>
    </row>
    <row r="251" spans="1:54" ht="15.75" customHeight="1">
      <c r="A251" s="649">
        <v>2</v>
      </c>
      <c r="B251" s="650" t="s">
        <v>1548</v>
      </c>
      <c r="C251" s="650" t="s">
        <v>1545</v>
      </c>
      <c r="D251" s="650" t="s">
        <v>1548</v>
      </c>
      <c r="E251" s="650"/>
      <c r="F251" s="650"/>
      <c r="G251" s="650" t="s">
        <v>489</v>
      </c>
      <c r="H251" s="649" t="s">
        <v>1073</v>
      </c>
      <c r="I251" s="651" t="s">
        <v>1074</v>
      </c>
      <c r="J251" s="651"/>
      <c r="K251" s="649" t="s">
        <v>28</v>
      </c>
      <c r="L251" s="676"/>
      <c r="M251" s="649"/>
      <c r="N251" s="650" t="s">
        <v>554</v>
      </c>
      <c r="O251" s="675">
        <f>VLOOKUP(D251,[7]Sheet3!$C$2:$G$13,5,0)</f>
        <v>8.7999999999999995E-2</v>
      </c>
      <c r="P251" s="650"/>
      <c r="Q251" s="650"/>
      <c r="R251" s="652">
        <f t="shared" si="29"/>
        <v>9.1079999999999994E-2</v>
      </c>
      <c r="S251" s="652">
        <f t="shared" si="24"/>
        <v>3.2084999999999995E-2</v>
      </c>
      <c r="T251" s="650"/>
      <c r="U251" s="650"/>
      <c r="V251" s="650"/>
      <c r="W251" s="650"/>
      <c r="X251" s="653"/>
      <c r="Y251" s="653"/>
      <c r="Z251" s="752"/>
      <c r="AA251" s="753" t="s">
        <v>1560</v>
      </c>
      <c r="AB251" s="765" t="s">
        <v>1559</v>
      </c>
    </row>
    <row r="252" spans="1:54" ht="15.75" customHeight="1">
      <c r="A252" s="649">
        <v>2</v>
      </c>
      <c r="B252" s="650" t="s">
        <v>1552</v>
      </c>
      <c r="C252" s="650" t="s">
        <v>1553</v>
      </c>
      <c r="D252" s="650" t="s">
        <v>1552</v>
      </c>
      <c r="E252" s="650"/>
      <c r="F252" s="650"/>
      <c r="G252" s="763" t="s">
        <v>1554</v>
      </c>
      <c r="H252" s="649" t="s">
        <v>1073</v>
      </c>
      <c r="I252" s="651" t="s">
        <v>1074</v>
      </c>
      <c r="J252" s="651"/>
      <c r="K252" s="649" t="s">
        <v>28</v>
      </c>
      <c r="L252" s="676">
        <v>1</v>
      </c>
      <c r="M252" s="649">
        <v>1</v>
      </c>
      <c r="N252" s="206" t="s">
        <v>1153</v>
      </c>
      <c r="O252" s="675">
        <f>VLOOKUP(D252,[7]Sheet3!$C$2:$G$13,5,0)</f>
        <v>3.1710000000000002E-2</v>
      </c>
      <c r="P252" s="650"/>
      <c r="Q252" s="650"/>
      <c r="R252" s="652">
        <f t="shared" si="29"/>
        <v>3.2819849999999998E-2</v>
      </c>
      <c r="S252" s="652">
        <f t="shared" si="24"/>
        <v>0</v>
      </c>
      <c r="T252" s="675">
        <f>R252*M252</f>
        <v>3.2819849999999998E-2</v>
      </c>
      <c r="U252" s="650"/>
      <c r="V252" s="650"/>
      <c r="W252" s="650"/>
      <c r="X252" s="653"/>
      <c r="Y252" s="653"/>
      <c r="Z252" s="752" t="s">
        <v>1555</v>
      </c>
      <c r="AA252" s="753" t="s">
        <v>1560</v>
      </c>
      <c r="AB252" s="765" t="s">
        <v>1551</v>
      </c>
    </row>
    <row r="253" spans="1:54">
      <c r="O253" s="761"/>
      <c r="P253" s="761"/>
      <c r="Q253" s="761"/>
      <c r="R253" s="761"/>
      <c r="S253" s="761"/>
      <c r="T253" s="761">
        <f>SUM(T3:T252)</f>
        <v>11.558356290000001</v>
      </c>
    </row>
    <row r="254" spans="1:54">
      <c r="O254" s="761"/>
      <c r="P254" s="761"/>
      <c r="Q254" s="761"/>
      <c r="R254" s="761"/>
      <c r="S254" s="761"/>
      <c r="T254" s="761"/>
    </row>
    <row r="255" spans="1:54">
      <c r="O255" s="761"/>
      <c r="P255" s="761"/>
      <c r="Q255" s="761"/>
      <c r="R255" s="761"/>
      <c r="S255" s="761"/>
      <c r="T255" s="761"/>
    </row>
    <row r="256" spans="1:54">
      <c r="O256" s="761"/>
      <c r="P256" s="761"/>
      <c r="Q256" s="761"/>
      <c r="R256" s="761"/>
      <c r="S256" s="761"/>
      <c r="T256" s="761"/>
    </row>
    <row r="257" spans="15:20">
      <c r="O257" s="761"/>
      <c r="P257" s="761"/>
      <c r="Q257" s="761"/>
      <c r="R257" s="761"/>
      <c r="S257" s="761"/>
      <c r="T257" s="761"/>
    </row>
    <row r="258" spans="15:20">
      <c r="O258" s="761"/>
      <c r="P258" s="761"/>
      <c r="Q258" s="761"/>
      <c r="R258" s="761"/>
      <c r="S258" s="761"/>
      <c r="T258" s="761"/>
    </row>
    <row r="259" spans="15:20">
      <c r="O259" s="761"/>
      <c r="P259" s="761"/>
      <c r="Q259" s="761"/>
      <c r="R259" s="761"/>
      <c r="S259" s="761"/>
      <c r="T259" s="761"/>
    </row>
    <row r="260" spans="15:20">
      <c r="O260" s="761"/>
      <c r="P260" s="761"/>
      <c r="Q260" s="761"/>
      <c r="R260" s="761"/>
      <c r="S260" s="761"/>
      <c r="T260" s="761"/>
    </row>
    <row r="261" spans="15:20">
      <c r="O261" s="761"/>
      <c r="P261" s="761"/>
      <c r="Q261" s="761"/>
      <c r="R261" s="761"/>
      <c r="S261" s="761"/>
      <c r="T261" s="761"/>
    </row>
    <row r="262" spans="15:20">
      <c r="O262" s="761"/>
      <c r="P262" s="761"/>
      <c r="Q262" s="761"/>
      <c r="R262" s="761"/>
      <c r="S262" s="761"/>
      <c r="T262" s="761"/>
    </row>
    <row r="263" spans="15:20">
      <c r="O263" s="761"/>
      <c r="P263" s="761"/>
      <c r="Q263" s="761"/>
      <c r="R263" s="761"/>
      <c r="S263" s="761"/>
      <c r="T263" s="761"/>
    </row>
    <row r="264" spans="15:20">
      <c r="O264" s="761"/>
      <c r="P264" s="761"/>
      <c r="Q264" s="761"/>
      <c r="R264" s="761"/>
      <c r="S264" s="761"/>
      <c r="T264" s="761"/>
    </row>
    <row r="265" spans="15:20">
      <c r="O265" s="761"/>
      <c r="P265" s="761"/>
      <c r="Q265" s="761"/>
      <c r="R265" s="761"/>
      <c r="S265" s="761"/>
      <c r="T265" s="761"/>
    </row>
    <row r="266" spans="15:20">
      <c r="O266" s="761"/>
      <c r="P266" s="761"/>
      <c r="Q266" s="761"/>
      <c r="R266" s="761"/>
      <c r="S266" s="761"/>
      <c r="T266" s="761"/>
    </row>
    <row r="267" spans="15:20">
      <c r="O267" s="761"/>
      <c r="P267" s="761"/>
      <c r="Q267" s="761"/>
      <c r="R267" s="761"/>
      <c r="S267" s="761"/>
      <c r="T267" s="761"/>
    </row>
    <row r="268" spans="15:20">
      <c r="O268" s="761"/>
      <c r="P268" s="761"/>
      <c r="Q268" s="761"/>
      <c r="R268" s="761"/>
      <c r="S268" s="761"/>
      <c r="T268" s="761"/>
    </row>
    <row r="269" spans="15:20">
      <c r="O269" s="761"/>
      <c r="P269" s="761"/>
      <c r="Q269" s="761"/>
      <c r="R269" s="761"/>
      <c r="S269" s="761"/>
      <c r="T269" s="761"/>
    </row>
    <row r="270" spans="15:20">
      <c r="O270" s="761"/>
      <c r="P270" s="761"/>
      <c r="Q270" s="761"/>
      <c r="R270" s="761"/>
      <c r="S270" s="761"/>
      <c r="T270" s="761"/>
    </row>
    <row r="271" spans="15:20">
      <c r="O271" s="761"/>
      <c r="P271" s="761"/>
      <c r="Q271" s="761"/>
      <c r="R271" s="761"/>
      <c r="S271" s="761"/>
      <c r="T271" s="761"/>
    </row>
    <row r="272" spans="15:20">
      <c r="O272" s="761"/>
      <c r="P272" s="761"/>
      <c r="Q272" s="761"/>
      <c r="R272" s="761"/>
      <c r="S272" s="761"/>
      <c r="T272" s="761"/>
    </row>
    <row r="273" spans="15:20">
      <c r="O273" s="761"/>
      <c r="P273" s="761"/>
      <c r="Q273" s="761"/>
      <c r="R273" s="761"/>
      <c r="S273" s="761"/>
      <c r="T273" s="761"/>
    </row>
    <row r="274" spans="15:20">
      <c r="O274" s="761"/>
      <c r="P274" s="761"/>
      <c r="Q274" s="761"/>
      <c r="R274" s="761"/>
      <c r="S274" s="761"/>
      <c r="T274" s="761"/>
    </row>
    <row r="275" spans="15:20">
      <c r="O275" s="761"/>
      <c r="P275" s="761"/>
      <c r="Q275" s="761"/>
      <c r="R275" s="761"/>
      <c r="S275" s="761"/>
      <c r="T275" s="761"/>
    </row>
    <row r="276" spans="15:20">
      <c r="O276" s="761"/>
      <c r="P276" s="761"/>
      <c r="Q276" s="761"/>
      <c r="R276" s="761"/>
      <c r="S276" s="761"/>
      <c r="T276" s="761"/>
    </row>
    <row r="277" spans="15:20">
      <c r="O277" s="761"/>
      <c r="P277" s="761"/>
      <c r="Q277" s="761"/>
      <c r="R277" s="761"/>
      <c r="S277" s="761"/>
      <c r="T277" s="761"/>
    </row>
    <row r="278" spans="15:20">
      <c r="O278" s="761"/>
      <c r="P278" s="761"/>
      <c r="Q278" s="761"/>
      <c r="R278" s="761"/>
      <c r="S278" s="761"/>
      <c r="T278" s="761"/>
    </row>
    <row r="279" spans="15:20">
      <c r="O279" s="761"/>
      <c r="P279" s="761"/>
      <c r="Q279" s="761"/>
      <c r="R279" s="761"/>
      <c r="S279" s="761"/>
      <c r="T279" s="761"/>
    </row>
    <row r="280" spans="15:20">
      <c r="O280" s="761"/>
      <c r="P280" s="761"/>
      <c r="Q280" s="761"/>
      <c r="R280" s="761"/>
      <c r="S280" s="761"/>
      <c r="T280" s="761"/>
    </row>
    <row r="281" spans="15:20">
      <c r="O281" s="761"/>
      <c r="P281" s="761"/>
      <c r="Q281" s="761"/>
      <c r="R281" s="761"/>
      <c r="S281" s="761"/>
      <c r="T281" s="761"/>
    </row>
    <row r="282" spans="15:20">
      <c r="O282" s="761"/>
      <c r="P282" s="761"/>
      <c r="Q282" s="761"/>
      <c r="R282" s="761"/>
      <c r="S282" s="761"/>
      <c r="T282" s="761"/>
    </row>
    <row r="283" spans="15:20">
      <c r="O283" s="761"/>
      <c r="P283" s="761"/>
      <c r="Q283" s="761"/>
      <c r="R283" s="761"/>
      <c r="S283" s="761"/>
      <c r="T283" s="761"/>
    </row>
    <row r="284" spans="15:20">
      <c r="O284" s="761"/>
      <c r="P284" s="761"/>
      <c r="Q284" s="761"/>
      <c r="R284" s="761"/>
      <c r="S284" s="761"/>
      <c r="T284" s="761"/>
    </row>
    <row r="285" spans="15:20">
      <c r="O285" s="761"/>
      <c r="P285" s="761"/>
      <c r="Q285" s="761"/>
      <c r="R285" s="761"/>
      <c r="S285" s="761"/>
      <c r="T285" s="761"/>
    </row>
    <row r="286" spans="15:20">
      <c r="O286" s="761"/>
      <c r="P286" s="761"/>
      <c r="Q286" s="761"/>
      <c r="R286" s="761"/>
      <c r="S286" s="761"/>
      <c r="T286" s="761"/>
    </row>
    <row r="287" spans="15:20">
      <c r="O287" s="761"/>
      <c r="P287" s="761"/>
      <c r="Q287" s="761"/>
      <c r="R287" s="761"/>
      <c r="S287" s="761"/>
      <c r="T287" s="761"/>
    </row>
    <row r="288" spans="15:20">
      <c r="O288" s="761"/>
      <c r="P288" s="761"/>
      <c r="Q288" s="761"/>
      <c r="R288" s="761"/>
      <c r="S288" s="761"/>
      <c r="T288" s="761"/>
    </row>
    <row r="289" spans="15:20">
      <c r="O289" s="761"/>
      <c r="P289" s="761"/>
      <c r="Q289" s="761"/>
      <c r="R289" s="761"/>
      <c r="S289" s="761"/>
      <c r="T289" s="761"/>
    </row>
    <row r="290" spans="15:20">
      <c r="O290" s="761"/>
      <c r="P290" s="761"/>
      <c r="Q290" s="761"/>
      <c r="R290" s="761"/>
      <c r="S290" s="761"/>
      <c r="T290" s="761"/>
    </row>
    <row r="291" spans="15:20">
      <c r="O291" s="761"/>
      <c r="P291" s="761"/>
      <c r="Q291" s="761"/>
      <c r="R291" s="761"/>
      <c r="S291" s="761"/>
      <c r="T291" s="761"/>
    </row>
    <row r="292" spans="15:20">
      <c r="O292" s="761"/>
      <c r="P292" s="761"/>
      <c r="Q292" s="761"/>
      <c r="R292" s="761"/>
      <c r="S292" s="761"/>
      <c r="T292" s="761"/>
    </row>
    <row r="293" spans="15:20">
      <c r="O293" s="761"/>
      <c r="P293" s="761"/>
      <c r="Q293" s="761"/>
      <c r="R293" s="761"/>
      <c r="S293" s="761"/>
      <c r="T293" s="761"/>
    </row>
    <row r="294" spans="15:20">
      <c r="O294" s="761"/>
      <c r="P294" s="761"/>
      <c r="Q294" s="761"/>
      <c r="R294" s="761"/>
      <c r="S294" s="761"/>
      <c r="T294" s="761"/>
    </row>
    <row r="295" spans="15:20">
      <c r="O295" s="761"/>
      <c r="P295" s="761"/>
      <c r="Q295" s="761"/>
      <c r="R295" s="761"/>
      <c r="S295" s="761"/>
      <c r="T295" s="761"/>
    </row>
    <row r="296" spans="15:20">
      <c r="O296" s="761"/>
      <c r="P296" s="761"/>
      <c r="Q296" s="761"/>
      <c r="R296" s="761"/>
      <c r="S296" s="761"/>
      <c r="T296" s="761"/>
    </row>
    <row r="297" spans="15:20">
      <c r="O297" s="761"/>
      <c r="P297" s="761"/>
      <c r="Q297" s="761"/>
      <c r="R297" s="761"/>
      <c r="S297" s="761"/>
      <c r="T297" s="761"/>
    </row>
    <row r="298" spans="15:20">
      <c r="O298" s="761"/>
      <c r="P298" s="761"/>
      <c r="Q298" s="761"/>
      <c r="R298" s="761"/>
      <c r="S298" s="761"/>
      <c r="T298" s="761"/>
    </row>
    <row r="299" spans="15:20">
      <c r="O299" s="761"/>
      <c r="P299" s="761"/>
      <c r="Q299" s="761"/>
      <c r="R299" s="761"/>
      <c r="S299" s="761"/>
      <c r="T299" s="761"/>
    </row>
    <row r="300" spans="15:20">
      <c r="O300" s="761"/>
      <c r="P300" s="761"/>
      <c r="Q300" s="761"/>
      <c r="R300" s="761"/>
      <c r="S300" s="761"/>
      <c r="T300" s="761"/>
    </row>
    <row r="301" spans="15:20">
      <c r="O301" s="761"/>
      <c r="P301" s="761"/>
      <c r="Q301" s="761"/>
      <c r="R301" s="761"/>
      <c r="S301" s="761"/>
      <c r="T301" s="761"/>
    </row>
    <row r="302" spans="15:20">
      <c r="O302" s="761"/>
      <c r="P302" s="761"/>
      <c r="Q302" s="761"/>
      <c r="R302" s="761"/>
      <c r="S302" s="761"/>
      <c r="T302" s="761"/>
    </row>
    <row r="303" spans="15:20">
      <c r="O303" s="761"/>
      <c r="P303" s="761"/>
      <c r="Q303" s="761"/>
      <c r="R303" s="761"/>
      <c r="S303" s="761"/>
      <c r="T303" s="761"/>
    </row>
    <row r="304" spans="15:20">
      <c r="O304" s="761"/>
      <c r="P304" s="761"/>
      <c r="Q304" s="761"/>
      <c r="R304" s="761"/>
      <c r="S304" s="761"/>
      <c r="T304" s="761"/>
    </row>
    <row r="305" spans="15:20">
      <c r="O305" s="761"/>
      <c r="P305" s="761"/>
      <c r="Q305" s="761"/>
      <c r="R305" s="761"/>
      <c r="S305" s="761"/>
      <c r="T305" s="761"/>
    </row>
    <row r="306" spans="15:20">
      <c r="O306" s="761"/>
      <c r="P306" s="761"/>
      <c r="Q306" s="761"/>
      <c r="R306" s="761"/>
      <c r="S306" s="761"/>
      <c r="T306" s="761"/>
    </row>
    <row r="307" spans="15:20">
      <c r="O307" s="761"/>
      <c r="P307" s="761"/>
      <c r="Q307" s="761"/>
      <c r="R307" s="761"/>
      <c r="S307" s="761"/>
      <c r="T307" s="761"/>
    </row>
    <row r="308" spans="15:20">
      <c r="O308" s="761"/>
      <c r="P308" s="761"/>
      <c r="Q308" s="761"/>
      <c r="R308" s="761"/>
      <c r="S308" s="761"/>
      <c r="T308" s="761"/>
    </row>
    <row r="309" spans="15:20">
      <c r="O309" s="761"/>
      <c r="P309" s="761"/>
      <c r="Q309" s="761"/>
      <c r="R309" s="761"/>
      <c r="S309" s="761"/>
      <c r="T309" s="761"/>
    </row>
    <row r="310" spans="15:20">
      <c r="O310" s="761"/>
      <c r="P310" s="761"/>
      <c r="Q310" s="761"/>
      <c r="R310" s="761"/>
      <c r="S310" s="761"/>
      <c r="T310" s="761"/>
    </row>
    <row r="311" spans="15:20">
      <c r="O311" s="761"/>
      <c r="P311" s="761"/>
      <c r="Q311" s="761"/>
      <c r="R311" s="761"/>
      <c r="S311" s="761"/>
      <c r="T311" s="761"/>
    </row>
    <row r="312" spans="15:20">
      <c r="O312" s="761"/>
      <c r="P312" s="761"/>
      <c r="Q312" s="761"/>
      <c r="R312" s="761"/>
      <c r="S312" s="761"/>
      <c r="T312" s="761"/>
    </row>
    <row r="313" spans="15:20">
      <c r="O313" s="761"/>
      <c r="P313" s="761"/>
      <c r="Q313" s="761"/>
      <c r="R313" s="761"/>
      <c r="S313" s="761"/>
      <c r="T313" s="761"/>
    </row>
    <row r="314" spans="15:20">
      <c r="O314" s="761"/>
      <c r="P314" s="761"/>
      <c r="Q314" s="761"/>
      <c r="R314" s="761"/>
      <c r="S314" s="761"/>
      <c r="T314" s="761"/>
    </row>
    <row r="315" spans="15:20">
      <c r="O315" s="761"/>
      <c r="P315" s="761"/>
      <c r="Q315" s="761"/>
      <c r="R315" s="761"/>
      <c r="S315" s="761"/>
      <c r="T315" s="761"/>
    </row>
    <row r="316" spans="15:20">
      <c r="O316" s="761"/>
      <c r="P316" s="761"/>
      <c r="Q316" s="761"/>
      <c r="R316" s="761"/>
      <c r="S316" s="761"/>
      <c r="T316" s="761"/>
    </row>
    <row r="317" spans="15:20">
      <c r="O317" s="761"/>
      <c r="P317" s="761"/>
      <c r="Q317" s="761"/>
      <c r="R317" s="761"/>
      <c r="S317" s="761"/>
      <c r="T317" s="761"/>
    </row>
    <row r="318" spans="15:20">
      <c r="O318" s="761"/>
      <c r="P318" s="761"/>
      <c r="Q318" s="761"/>
      <c r="R318" s="761"/>
      <c r="S318" s="761"/>
      <c r="T318" s="761"/>
    </row>
    <row r="319" spans="15:20">
      <c r="O319" s="761"/>
      <c r="P319" s="761"/>
      <c r="Q319" s="761"/>
      <c r="R319" s="761"/>
      <c r="S319" s="761"/>
      <c r="T319" s="761"/>
    </row>
    <row r="320" spans="15:20">
      <c r="O320" s="761"/>
      <c r="P320" s="761"/>
      <c r="Q320" s="761"/>
      <c r="R320" s="761"/>
      <c r="S320" s="761"/>
      <c r="T320" s="761"/>
    </row>
    <row r="321" spans="15:20">
      <c r="O321" s="761"/>
      <c r="P321" s="761"/>
      <c r="Q321" s="761"/>
      <c r="R321" s="761"/>
      <c r="S321" s="761"/>
      <c r="T321" s="761"/>
    </row>
    <row r="322" spans="15:20">
      <c r="O322" s="761"/>
      <c r="P322" s="761"/>
      <c r="Q322" s="761"/>
      <c r="R322" s="761"/>
      <c r="S322" s="761"/>
      <c r="T322" s="761"/>
    </row>
    <row r="323" spans="15:20">
      <c r="O323" s="761"/>
      <c r="P323" s="761"/>
      <c r="Q323" s="761"/>
      <c r="R323" s="761"/>
      <c r="S323" s="761"/>
      <c r="T323" s="761"/>
    </row>
    <row r="324" spans="15:20">
      <c r="O324" s="761"/>
      <c r="P324" s="761"/>
      <c r="Q324" s="761"/>
      <c r="R324" s="761"/>
      <c r="S324" s="761"/>
      <c r="T324" s="761"/>
    </row>
    <row r="325" spans="15:20">
      <c r="O325" s="761"/>
      <c r="P325" s="761"/>
      <c r="Q325" s="761"/>
      <c r="R325" s="761"/>
      <c r="S325" s="761"/>
      <c r="T325" s="761"/>
    </row>
    <row r="326" spans="15:20">
      <c r="O326" s="761"/>
      <c r="P326" s="761"/>
      <c r="Q326" s="761"/>
      <c r="R326" s="761"/>
      <c r="S326" s="761"/>
      <c r="T326" s="761"/>
    </row>
    <row r="327" spans="15:20">
      <c r="O327" s="761"/>
      <c r="P327" s="761"/>
      <c r="Q327" s="761"/>
      <c r="R327" s="761"/>
      <c r="S327" s="761"/>
      <c r="T327" s="761"/>
    </row>
    <row r="328" spans="15:20">
      <c r="O328" s="761"/>
      <c r="P328" s="761"/>
      <c r="Q328" s="761"/>
      <c r="R328" s="761"/>
      <c r="S328" s="761"/>
      <c r="T328" s="761"/>
    </row>
    <row r="329" spans="15:20">
      <c r="O329" s="761"/>
      <c r="P329" s="761"/>
      <c r="Q329" s="761"/>
      <c r="R329" s="761"/>
      <c r="S329" s="761"/>
      <c r="T329" s="761"/>
    </row>
    <row r="330" spans="15:20">
      <c r="O330" s="761"/>
      <c r="P330" s="761"/>
      <c r="Q330" s="761"/>
      <c r="R330" s="761"/>
      <c r="S330" s="761"/>
      <c r="T330" s="761"/>
    </row>
    <row r="331" spans="15:20">
      <c r="O331" s="761"/>
      <c r="P331" s="761"/>
      <c r="Q331" s="761"/>
      <c r="R331" s="761"/>
      <c r="S331" s="761"/>
      <c r="T331" s="761"/>
    </row>
    <row r="332" spans="15:20">
      <c r="O332" s="761"/>
      <c r="P332" s="761"/>
      <c r="Q332" s="761"/>
      <c r="R332" s="761"/>
      <c r="S332" s="761"/>
      <c r="T332" s="761"/>
    </row>
    <row r="333" spans="15:20">
      <c r="O333" s="761"/>
      <c r="P333" s="761"/>
      <c r="Q333" s="761"/>
      <c r="R333" s="761"/>
      <c r="S333" s="761"/>
      <c r="T333" s="761"/>
    </row>
    <row r="334" spans="15:20">
      <c r="O334" s="761"/>
      <c r="P334" s="761"/>
      <c r="Q334" s="761"/>
      <c r="R334" s="761"/>
      <c r="S334" s="761"/>
      <c r="T334" s="761"/>
    </row>
    <row r="335" spans="15:20">
      <c r="O335" s="761"/>
      <c r="P335" s="761"/>
      <c r="Q335" s="761"/>
      <c r="R335" s="761"/>
      <c r="S335" s="761"/>
      <c r="T335" s="761"/>
    </row>
    <row r="336" spans="15:20">
      <c r="O336" s="761"/>
      <c r="P336" s="761"/>
      <c r="Q336" s="761"/>
      <c r="R336" s="761"/>
      <c r="S336" s="761"/>
      <c r="T336" s="761"/>
    </row>
    <row r="337" spans="15:20">
      <c r="O337" s="761"/>
      <c r="P337" s="761"/>
      <c r="Q337" s="761"/>
      <c r="R337" s="761"/>
      <c r="S337" s="761"/>
      <c r="T337" s="761"/>
    </row>
    <row r="338" spans="15:20">
      <c r="O338" s="761"/>
      <c r="P338" s="761"/>
      <c r="Q338" s="761"/>
      <c r="R338" s="761"/>
      <c r="S338" s="761"/>
      <c r="T338" s="761"/>
    </row>
    <row r="339" spans="15:20">
      <c r="O339" s="761"/>
      <c r="P339" s="761"/>
      <c r="Q339" s="761"/>
      <c r="R339" s="761"/>
      <c r="S339" s="761"/>
      <c r="T339" s="761"/>
    </row>
    <row r="340" spans="15:20">
      <c r="O340" s="761"/>
      <c r="P340" s="761"/>
      <c r="Q340" s="761"/>
      <c r="R340" s="761"/>
      <c r="S340" s="761"/>
      <c r="T340" s="761"/>
    </row>
    <row r="341" spans="15:20">
      <c r="O341" s="761"/>
      <c r="P341" s="761"/>
      <c r="Q341" s="761"/>
      <c r="R341" s="761"/>
      <c r="S341" s="761"/>
      <c r="T341" s="761"/>
    </row>
    <row r="342" spans="15:20">
      <c r="O342" s="761"/>
      <c r="P342" s="761"/>
      <c r="Q342" s="761"/>
      <c r="R342" s="761"/>
      <c r="S342" s="761"/>
      <c r="T342" s="761"/>
    </row>
    <row r="343" spans="15:20">
      <c r="O343" s="761"/>
      <c r="P343" s="761"/>
      <c r="Q343" s="761"/>
      <c r="R343" s="761"/>
      <c r="S343" s="761"/>
      <c r="T343" s="761"/>
    </row>
    <row r="344" spans="15:20">
      <c r="O344" s="761"/>
      <c r="P344" s="761"/>
      <c r="Q344" s="761"/>
      <c r="R344" s="761"/>
      <c r="S344" s="761"/>
      <c r="T344" s="761"/>
    </row>
    <row r="345" spans="15:20">
      <c r="O345" s="761"/>
      <c r="P345" s="761"/>
      <c r="Q345" s="761"/>
      <c r="R345" s="761"/>
      <c r="S345" s="761"/>
      <c r="T345" s="761"/>
    </row>
    <row r="346" spans="15:20">
      <c r="O346" s="761"/>
      <c r="P346" s="761"/>
      <c r="Q346" s="761"/>
      <c r="R346" s="761"/>
      <c r="S346" s="761"/>
      <c r="T346" s="761"/>
    </row>
    <row r="347" spans="15:20">
      <c r="O347" s="761"/>
      <c r="P347" s="761"/>
      <c r="Q347" s="761"/>
      <c r="R347" s="761"/>
      <c r="S347" s="761"/>
      <c r="T347" s="761"/>
    </row>
    <row r="348" spans="15:20">
      <c r="O348" s="761"/>
      <c r="P348" s="761"/>
      <c r="Q348" s="761"/>
      <c r="R348" s="761"/>
      <c r="S348" s="761"/>
      <c r="T348" s="761"/>
    </row>
    <row r="349" spans="15:20">
      <c r="O349" s="761"/>
      <c r="P349" s="761"/>
      <c r="Q349" s="761"/>
      <c r="R349" s="761"/>
      <c r="S349" s="761"/>
      <c r="T349" s="761"/>
    </row>
    <row r="350" spans="15:20">
      <c r="O350" s="761"/>
      <c r="P350" s="761"/>
      <c r="Q350" s="761"/>
      <c r="R350" s="761"/>
      <c r="S350" s="761"/>
      <c r="T350" s="761"/>
    </row>
    <row r="351" spans="15:20">
      <c r="O351" s="761"/>
      <c r="P351" s="761"/>
      <c r="Q351" s="761"/>
      <c r="R351" s="761"/>
      <c r="S351" s="761"/>
      <c r="T351" s="761"/>
    </row>
    <row r="352" spans="15:20">
      <c r="O352" s="761"/>
      <c r="P352" s="761"/>
      <c r="Q352" s="761"/>
      <c r="R352" s="761"/>
      <c r="S352" s="761"/>
      <c r="T352" s="761"/>
    </row>
    <row r="353" spans="15:20">
      <c r="O353" s="761"/>
      <c r="P353" s="761"/>
      <c r="Q353" s="761"/>
      <c r="R353" s="761"/>
      <c r="S353" s="761"/>
      <c r="T353" s="761"/>
    </row>
    <row r="354" spans="15:20">
      <c r="O354" s="761"/>
      <c r="P354" s="761"/>
      <c r="Q354" s="761"/>
      <c r="R354" s="761"/>
      <c r="S354" s="761"/>
      <c r="T354" s="761"/>
    </row>
    <row r="355" spans="15:20">
      <c r="O355" s="761"/>
      <c r="P355" s="761"/>
      <c r="Q355" s="761"/>
      <c r="R355" s="761"/>
      <c r="S355" s="761"/>
      <c r="T355" s="761"/>
    </row>
    <row r="356" spans="15:20">
      <c r="O356" s="761"/>
      <c r="P356" s="761"/>
      <c r="Q356" s="761"/>
      <c r="R356" s="761"/>
      <c r="S356" s="761"/>
      <c r="T356" s="761"/>
    </row>
    <row r="357" spans="15:20">
      <c r="O357" s="761"/>
      <c r="P357" s="761"/>
      <c r="Q357" s="761"/>
      <c r="R357" s="761"/>
      <c r="S357" s="761"/>
      <c r="T357" s="761"/>
    </row>
    <row r="358" spans="15:20">
      <c r="O358" s="761"/>
      <c r="P358" s="761"/>
      <c r="Q358" s="761"/>
      <c r="R358" s="761"/>
      <c r="S358" s="761"/>
      <c r="T358" s="761"/>
    </row>
    <row r="359" spans="15:20">
      <c r="O359" s="761"/>
      <c r="P359" s="761"/>
      <c r="Q359" s="761"/>
      <c r="R359" s="761"/>
      <c r="S359" s="761"/>
      <c r="T359" s="761"/>
    </row>
    <row r="360" spans="15:20">
      <c r="O360" s="761"/>
      <c r="P360" s="761"/>
      <c r="Q360" s="761"/>
      <c r="R360" s="761"/>
      <c r="S360" s="761"/>
      <c r="T360" s="761"/>
    </row>
    <row r="361" spans="15:20">
      <c r="O361" s="761"/>
      <c r="P361" s="761"/>
      <c r="Q361" s="761"/>
      <c r="R361" s="761"/>
      <c r="S361" s="761"/>
      <c r="T361" s="761"/>
    </row>
    <row r="362" spans="15:20">
      <c r="O362" s="761"/>
      <c r="P362" s="761"/>
      <c r="Q362" s="761"/>
      <c r="R362" s="761"/>
      <c r="S362" s="761"/>
      <c r="T362" s="761"/>
    </row>
    <row r="363" spans="15:20">
      <c r="O363" s="761"/>
      <c r="P363" s="761"/>
      <c r="Q363" s="761"/>
      <c r="R363" s="761"/>
      <c r="S363" s="761"/>
      <c r="T363" s="761"/>
    </row>
    <row r="364" spans="15:20">
      <c r="O364" s="761"/>
      <c r="P364" s="761"/>
      <c r="Q364" s="761"/>
      <c r="R364" s="761"/>
      <c r="S364" s="761"/>
      <c r="T364" s="761"/>
    </row>
    <row r="365" spans="15:20">
      <c r="O365" s="761"/>
      <c r="P365" s="761"/>
      <c r="Q365" s="761"/>
      <c r="R365" s="761"/>
      <c r="S365" s="761"/>
      <c r="T365" s="761"/>
    </row>
    <row r="366" spans="15:20">
      <c r="O366" s="761"/>
      <c r="P366" s="761"/>
      <c r="Q366" s="761"/>
      <c r="R366" s="761"/>
      <c r="S366" s="761"/>
      <c r="T366" s="761"/>
    </row>
    <row r="367" spans="15:20">
      <c r="O367" s="761"/>
      <c r="P367" s="761"/>
      <c r="Q367" s="761"/>
      <c r="R367" s="761"/>
      <c r="S367" s="761"/>
      <c r="T367" s="761"/>
    </row>
    <row r="368" spans="15:20">
      <c r="O368" s="761"/>
      <c r="P368" s="761"/>
      <c r="Q368" s="761"/>
      <c r="R368" s="761"/>
      <c r="S368" s="761"/>
      <c r="T368" s="761"/>
    </row>
    <row r="369" spans="15:20">
      <c r="O369" s="761"/>
      <c r="P369" s="761"/>
      <c r="Q369" s="761"/>
      <c r="R369" s="761"/>
      <c r="S369" s="761"/>
      <c r="T369" s="761"/>
    </row>
    <row r="370" spans="15:20">
      <c r="O370" s="761"/>
      <c r="P370" s="761"/>
      <c r="Q370" s="761"/>
      <c r="R370" s="761"/>
      <c r="S370" s="761"/>
      <c r="T370" s="761"/>
    </row>
    <row r="371" spans="15:20">
      <c r="O371" s="761"/>
      <c r="P371" s="761"/>
      <c r="Q371" s="761"/>
      <c r="R371" s="761"/>
      <c r="S371" s="761"/>
      <c r="T371" s="761"/>
    </row>
    <row r="372" spans="15:20">
      <c r="O372" s="761"/>
      <c r="P372" s="761"/>
      <c r="Q372" s="761"/>
      <c r="R372" s="761"/>
      <c r="S372" s="761"/>
      <c r="T372" s="761"/>
    </row>
    <row r="373" spans="15:20">
      <c r="O373" s="761"/>
      <c r="P373" s="761"/>
      <c r="Q373" s="761"/>
      <c r="R373" s="761"/>
      <c r="S373" s="761"/>
      <c r="T373" s="761"/>
    </row>
    <row r="374" spans="15:20">
      <c r="O374" s="761"/>
      <c r="P374" s="761"/>
      <c r="Q374" s="761"/>
      <c r="R374" s="761"/>
      <c r="S374" s="761"/>
      <c r="T374" s="761"/>
    </row>
    <row r="375" spans="15:20">
      <c r="O375" s="761"/>
      <c r="P375" s="761"/>
      <c r="Q375" s="761"/>
      <c r="R375" s="761"/>
      <c r="S375" s="761"/>
      <c r="T375" s="761"/>
    </row>
    <row r="376" spans="15:20">
      <c r="O376" s="761"/>
      <c r="P376" s="761"/>
      <c r="Q376" s="761"/>
      <c r="R376" s="761"/>
      <c r="S376" s="761"/>
      <c r="T376" s="761"/>
    </row>
    <row r="377" spans="15:20">
      <c r="O377" s="761"/>
      <c r="P377" s="761"/>
      <c r="Q377" s="761"/>
      <c r="R377" s="761"/>
      <c r="S377" s="761"/>
      <c r="T377" s="761"/>
    </row>
    <row r="378" spans="15:20">
      <c r="O378" s="761"/>
      <c r="P378" s="761"/>
      <c r="Q378" s="761"/>
      <c r="R378" s="761"/>
      <c r="S378" s="761"/>
      <c r="T378" s="761"/>
    </row>
    <row r="379" spans="15:20">
      <c r="O379" s="761"/>
      <c r="P379" s="761"/>
      <c r="Q379" s="761"/>
      <c r="R379" s="761"/>
      <c r="S379" s="761"/>
      <c r="T379" s="761"/>
    </row>
    <row r="380" spans="15:20">
      <c r="O380" s="761"/>
      <c r="P380" s="761"/>
      <c r="Q380" s="761"/>
      <c r="R380" s="761"/>
      <c r="S380" s="761"/>
      <c r="T380" s="761"/>
    </row>
    <row r="381" spans="15:20">
      <c r="O381" s="761"/>
      <c r="P381" s="761"/>
      <c r="Q381" s="761"/>
      <c r="R381" s="761"/>
      <c r="S381" s="761"/>
      <c r="T381" s="761"/>
    </row>
    <row r="382" spans="15:20">
      <c r="O382" s="761"/>
      <c r="P382" s="761"/>
      <c r="Q382" s="761"/>
      <c r="R382" s="761"/>
      <c r="S382" s="761"/>
      <c r="T382" s="761"/>
    </row>
    <row r="383" spans="15:20">
      <c r="O383" s="761"/>
      <c r="P383" s="761"/>
      <c r="Q383" s="761"/>
      <c r="R383" s="761"/>
      <c r="S383" s="761"/>
      <c r="T383" s="761"/>
    </row>
    <row r="384" spans="15:20">
      <c r="O384" s="761"/>
      <c r="P384" s="761"/>
      <c r="Q384" s="761"/>
      <c r="R384" s="761"/>
      <c r="S384" s="761"/>
      <c r="T384" s="761"/>
    </row>
    <row r="385" spans="15:20">
      <c r="O385" s="761"/>
      <c r="P385" s="761"/>
      <c r="Q385" s="761"/>
      <c r="R385" s="761"/>
      <c r="S385" s="761"/>
      <c r="T385" s="761"/>
    </row>
    <row r="386" spans="15:20">
      <c r="O386" s="761"/>
      <c r="P386" s="761"/>
      <c r="Q386" s="761"/>
      <c r="R386" s="761"/>
      <c r="S386" s="761"/>
      <c r="T386" s="761"/>
    </row>
    <row r="387" spans="15:20">
      <c r="O387" s="761"/>
      <c r="P387" s="761"/>
      <c r="Q387" s="761"/>
      <c r="R387" s="761"/>
      <c r="S387" s="761"/>
      <c r="T387" s="761"/>
    </row>
    <row r="388" spans="15:20">
      <c r="O388" s="761"/>
      <c r="P388" s="761"/>
      <c r="Q388" s="761"/>
      <c r="R388" s="761"/>
      <c r="S388" s="761"/>
      <c r="T388" s="761"/>
    </row>
    <row r="389" spans="15:20">
      <c r="O389" s="761"/>
      <c r="P389" s="761"/>
      <c r="Q389" s="761"/>
      <c r="R389" s="761"/>
      <c r="S389" s="761"/>
      <c r="T389" s="761"/>
    </row>
    <row r="390" spans="15:20">
      <c r="O390" s="761"/>
      <c r="P390" s="761"/>
      <c r="Q390" s="761"/>
      <c r="R390" s="761"/>
      <c r="S390" s="761"/>
      <c r="T390" s="761"/>
    </row>
    <row r="391" spans="15:20">
      <c r="O391" s="761"/>
      <c r="P391" s="761"/>
      <c r="Q391" s="761"/>
      <c r="R391" s="761"/>
      <c r="S391" s="761"/>
      <c r="T391" s="761"/>
    </row>
    <row r="392" spans="15:20">
      <c r="O392" s="761"/>
      <c r="P392" s="761"/>
      <c r="Q392" s="761"/>
      <c r="R392" s="761"/>
      <c r="S392" s="761"/>
      <c r="T392" s="761"/>
    </row>
    <row r="393" spans="15:20">
      <c r="O393" s="761"/>
      <c r="P393" s="761"/>
      <c r="Q393" s="761"/>
      <c r="R393" s="761"/>
      <c r="S393" s="761"/>
      <c r="T393" s="761"/>
    </row>
    <row r="394" spans="15:20">
      <c r="O394" s="761"/>
      <c r="P394" s="761"/>
      <c r="Q394" s="761"/>
      <c r="R394" s="761"/>
      <c r="S394" s="761"/>
      <c r="T394" s="761"/>
    </row>
    <row r="395" spans="15:20">
      <c r="O395" s="761"/>
      <c r="P395" s="761"/>
      <c r="Q395" s="761"/>
      <c r="R395" s="761"/>
      <c r="S395" s="761"/>
      <c r="T395" s="761"/>
    </row>
    <row r="396" spans="15:20">
      <c r="O396" s="761"/>
      <c r="P396" s="761"/>
      <c r="Q396" s="761"/>
      <c r="R396" s="761"/>
      <c r="S396" s="761"/>
      <c r="T396" s="761"/>
    </row>
    <row r="397" spans="15:20">
      <c r="O397" s="761"/>
      <c r="P397" s="761"/>
      <c r="Q397" s="761"/>
      <c r="R397" s="761"/>
      <c r="S397" s="761"/>
      <c r="T397" s="761"/>
    </row>
    <row r="398" spans="15:20">
      <c r="O398" s="761"/>
      <c r="P398" s="761"/>
      <c r="Q398" s="761"/>
      <c r="R398" s="761"/>
      <c r="S398" s="761"/>
      <c r="T398" s="761"/>
    </row>
    <row r="399" spans="15:20">
      <c r="O399" s="761"/>
      <c r="P399" s="761"/>
      <c r="Q399" s="761"/>
      <c r="R399" s="761"/>
      <c r="S399" s="761"/>
      <c r="T399" s="761"/>
    </row>
    <row r="400" spans="15:20">
      <c r="O400" s="761"/>
      <c r="P400" s="761"/>
      <c r="Q400" s="761"/>
      <c r="R400" s="761"/>
      <c r="S400" s="761"/>
      <c r="T400" s="761"/>
    </row>
    <row r="401" spans="15:20">
      <c r="O401" s="761"/>
      <c r="P401" s="761"/>
      <c r="Q401" s="761"/>
      <c r="R401" s="761"/>
      <c r="S401" s="761"/>
      <c r="T401" s="761"/>
    </row>
    <row r="402" spans="15:20">
      <c r="O402" s="761"/>
      <c r="P402" s="761"/>
      <c r="Q402" s="761"/>
      <c r="R402" s="761"/>
      <c r="S402" s="761"/>
      <c r="T402" s="761"/>
    </row>
    <row r="403" spans="15:20">
      <c r="O403" s="761"/>
      <c r="P403" s="761"/>
      <c r="Q403" s="761"/>
      <c r="R403" s="761"/>
      <c r="S403" s="761"/>
      <c r="T403" s="761"/>
    </row>
    <row r="404" spans="15:20">
      <c r="O404" s="761"/>
      <c r="P404" s="761"/>
      <c r="Q404" s="761"/>
      <c r="R404" s="761"/>
      <c r="S404" s="761"/>
      <c r="T404" s="761"/>
    </row>
    <row r="405" spans="15:20">
      <c r="O405" s="761"/>
      <c r="P405" s="761"/>
      <c r="Q405" s="761"/>
      <c r="R405" s="761"/>
      <c r="S405" s="761"/>
      <c r="T405" s="761"/>
    </row>
    <row r="406" spans="15:20">
      <c r="O406" s="761"/>
      <c r="P406" s="761"/>
      <c r="Q406" s="761"/>
      <c r="R406" s="761"/>
      <c r="S406" s="761"/>
      <c r="T406" s="761"/>
    </row>
    <row r="407" spans="15:20">
      <c r="O407" s="761"/>
      <c r="P407" s="761"/>
      <c r="Q407" s="761"/>
      <c r="R407" s="761"/>
      <c r="S407" s="761"/>
      <c r="T407" s="761"/>
    </row>
    <row r="408" spans="15:20">
      <c r="O408" s="761"/>
      <c r="P408" s="761"/>
      <c r="Q408" s="761"/>
      <c r="R408" s="761"/>
      <c r="S408" s="761"/>
      <c r="T408" s="761"/>
    </row>
    <row r="409" spans="15:20">
      <c r="O409" s="761"/>
      <c r="P409" s="761"/>
      <c r="Q409" s="761"/>
      <c r="R409" s="761"/>
      <c r="S409" s="761"/>
      <c r="T409" s="761"/>
    </row>
    <row r="410" spans="15:20">
      <c r="O410" s="761"/>
      <c r="P410" s="761"/>
      <c r="Q410" s="761"/>
      <c r="R410" s="761"/>
      <c r="S410" s="761"/>
      <c r="T410" s="761"/>
    </row>
    <row r="411" spans="15:20">
      <c r="O411" s="761"/>
      <c r="P411" s="761"/>
      <c r="Q411" s="761"/>
      <c r="R411" s="761"/>
      <c r="S411" s="761"/>
      <c r="T411" s="761"/>
    </row>
    <row r="412" spans="15:20">
      <c r="O412" s="761"/>
      <c r="P412" s="761"/>
      <c r="Q412" s="761"/>
      <c r="R412" s="761"/>
      <c r="S412" s="761"/>
      <c r="T412" s="761"/>
    </row>
    <row r="413" spans="15:20">
      <c r="O413" s="761"/>
      <c r="P413" s="761"/>
      <c r="Q413" s="761"/>
      <c r="R413" s="761"/>
      <c r="S413" s="761"/>
      <c r="T413" s="761"/>
    </row>
    <row r="414" spans="15:20">
      <c r="O414" s="761"/>
      <c r="P414" s="761"/>
      <c r="Q414" s="761"/>
      <c r="R414" s="761"/>
      <c r="S414" s="761"/>
      <c r="T414" s="761"/>
    </row>
    <row r="415" spans="15:20">
      <c r="O415" s="761"/>
      <c r="P415" s="761"/>
      <c r="Q415" s="761"/>
      <c r="R415" s="761"/>
      <c r="S415" s="761"/>
      <c r="T415" s="761"/>
    </row>
    <row r="416" spans="15:20">
      <c r="O416" s="761"/>
      <c r="P416" s="761"/>
      <c r="Q416" s="761"/>
      <c r="R416" s="761"/>
      <c r="S416" s="761"/>
      <c r="T416" s="761"/>
    </row>
    <row r="417" spans="15:20">
      <c r="O417" s="761"/>
      <c r="P417" s="761"/>
      <c r="Q417" s="761"/>
      <c r="R417" s="761"/>
      <c r="S417" s="761"/>
      <c r="T417" s="761"/>
    </row>
    <row r="418" spans="15:20">
      <c r="O418" s="761"/>
      <c r="P418" s="761"/>
      <c r="Q418" s="761"/>
      <c r="R418" s="761"/>
      <c r="S418" s="761"/>
      <c r="T418" s="761"/>
    </row>
    <row r="419" spans="15:20">
      <c r="O419" s="761"/>
      <c r="P419" s="761"/>
      <c r="Q419" s="761"/>
      <c r="R419" s="761"/>
      <c r="S419" s="761"/>
      <c r="T419" s="761"/>
    </row>
    <row r="420" spans="15:20">
      <c r="O420" s="761"/>
      <c r="P420" s="761"/>
      <c r="Q420" s="761"/>
      <c r="R420" s="761"/>
      <c r="S420" s="761"/>
      <c r="T420" s="761"/>
    </row>
    <row r="421" spans="15:20">
      <c r="O421" s="761"/>
      <c r="P421" s="761"/>
      <c r="Q421" s="761"/>
      <c r="R421" s="761"/>
      <c r="S421" s="761"/>
      <c r="T421" s="761"/>
    </row>
    <row r="422" spans="15:20">
      <c r="O422" s="761"/>
      <c r="P422" s="761"/>
      <c r="Q422" s="761"/>
      <c r="R422" s="761"/>
      <c r="S422" s="761"/>
      <c r="T422" s="761"/>
    </row>
    <row r="423" spans="15:20">
      <c r="O423" s="761"/>
      <c r="P423" s="761"/>
      <c r="Q423" s="761"/>
      <c r="R423" s="761"/>
      <c r="S423" s="761"/>
      <c r="T423" s="761"/>
    </row>
    <row r="424" spans="15:20">
      <c r="O424" s="761"/>
      <c r="P424" s="761"/>
      <c r="Q424" s="761"/>
      <c r="R424" s="761"/>
      <c r="S424" s="761"/>
      <c r="T424" s="761"/>
    </row>
    <row r="425" spans="15:20">
      <c r="O425" s="761"/>
      <c r="P425" s="761"/>
      <c r="Q425" s="761"/>
      <c r="R425" s="761"/>
      <c r="S425" s="761"/>
      <c r="T425" s="761"/>
    </row>
    <row r="426" spans="15:20">
      <c r="O426" s="761"/>
      <c r="P426" s="761"/>
      <c r="Q426" s="761"/>
      <c r="R426" s="761"/>
      <c r="S426" s="761"/>
      <c r="T426" s="761"/>
    </row>
    <row r="427" spans="15:20">
      <c r="O427" s="761"/>
      <c r="P427" s="761"/>
      <c r="Q427" s="761"/>
      <c r="R427" s="761"/>
      <c r="S427" s="761"/>
      <c r="T427" s="761"/>
    </row>
    <row r="428" spans="15:20">
      <c r="O428" s="761"/>
      <c r="P428" s="761"/>
      <c r="Q428" s="761"/>
      <c r="R428" s="761"/>
      <c r="S428" s="761"/>
      <c r="T428" s="761"/>
    </row>
    <row r="429" spans="15:20">
      <c r="O429" s="761"/>
      <c r="P429" s="761"/>
      <c r="Q429" s="761"/>
      <c r="R429" s="761"/>
      <c r="S429" s="761"/>
      <c r="T429" s="761"/>
    </row>
    <row r="430" spans="15:20">
      <c r="O430" s="761"/>
      <c r="P430" s="761"/>
      <c r="Q430" s="761"/>
      <c r="R430" s="761"/>
      <c r="S430" s="761"/>
      <c r="T430" s="761"/>
    </row>
    <row r="431" spans="15:20">
      <c r="O431" s="761"/>
      <c r="P431" s="761"/>
      <c r="Q431" s="761"/>
      <c r="R431" s="761"/>
      <c r="S431" s="761"/>
      <c r="T431" s="761"/>
    </row>
    <row r="432" spans="15:20">
      <c r="O432" s="761"/>
      <c r="P432" s="761"/>
      <c r="Q432" s="761"/>
      <c r="R432" s="761"/>
      <c r="S432" s="761"/>
      <c r="T432" s="761"/>
    </row>
    <row r="433" spans="15:20">
      <c r="O433" s="761"/>
      <c r="P433" s="761"/>
      <c r="Q433" s="761"/>
      <c r="R433" s="761"/>
      <c r="S433" s="761"/>
      <c r="T433" s="761"/>
    </row>
    <row r="434" spans="15:20">
      <c r="O434" s="761"/>
      <c r="P434" s="761"/>
      <c r="Q434" s="761"/>
      <c r="R434" s="761"/>
      <c r="S434" s="761"/>
      <c r="T434" s="761"/>
    </row>
    <row r="435" spans="15:20">
      <c r="O435" s="761"/>
      <c r="P435" s="761"/>
      <c r="Q435" s="761"/>
      <c r="R435" s="761"/>
      <c r="S435" s="761"/>
      <c r="T435" s="761"/>
    </row>
    <row r="436" spans="15:20">
      <c r="O436" s="761"/>
      <c r="P436" s="761"/>
      <c r="Q436" s="761"/>
      <c r="R436" s="761"/>
      <c r="S436" s="761"/>
      <c r="T436" s="761"/>
    </row>
    <row r="437" spans="15:20">
      <c r="O437" s="761"/>
      <c r="P437" s="761"/>
      <c r="Q437" s="761"/>
      <c r="R437" s="761"/>
      <c r="S437" s="761"/>
      <c r="T437" s="761"/>
    </row>
    <row r="438" spans="15:20">
      <c r="O438" s="761"/>
      <c r="P438" s="761"/>
      <c r="Q438" s="761"/>
      <c r="R438" s="761"/>
      <c r="S438" s="761"/>
      <c r="T438" s="761"/>
    </row>
    <row r="439" spans="15:20">
      <c r="O439" s="761"/>
      <c r="P439" s="761"/>
      <c r="Q439" s="761"/>
      <c r="R439" s="761"/>
      <c r="S439" s="761"/>
      <c r="T439" s="761"/>
    </row>
    <row r="440" spans="15:20">
      <c r="O440" s="761"/>
      <c r="P440" s="761"/>
      <c r="Q440" s="761"/>
      <c r="R440" s="761"/>
      <c r="S440" s="761"/>
      <c r="T440" s="761"/>
    </row>
    <row r="441" spans="15:20">
      <c r="O441" s="761"/>
      <c r="P441" s="761"/>
      <c r="Q441" s="761"/>
      <c r="R441" s="761"/>
      <c r="S441" s="761"/>
      <c r="T441" s="761"/>
    </row>
    <row r="442" spans="15:20">
      <c r="O442" s="761"/>
      <c r="P442" s="761"/>
      <c r="Q442" s="761"/>
      <c r="R442" s="761"/>
      <c r="S442" s="761"/>
      <c r="T442" s="761"/>
    </row>
    <row r="443" spans="15:20">
      <c r="O443" s="761"/>
      <c r="P443" s="761"/>
      <c r="Q443" s="761"/>
      <c r="R443" s="761"/>
      <c r="S443" s="761"/>
      <c r="T443" s="761"/>
    </row>
    <row r="444" spans="15:20">
      <c r="O444" s="761"/>
      <c r="P444" s="761"/>
      <c r="Q444" s="761"/>
      <c r="R444" s="761"/>
      <c r="S444" s="761"/>
      <c r="T444" s="761"/>
    </row>
    <row r="445" spans="15:20">
      <c r="O445" s="761"/>
      <c r="P445" s="761"/>
      <c r="Q445" s="761"/>
      <c r="R445" s="761"/>
      <c r="S445" s="761"/>
      <c r="T445" s="761"/>
    </row>
    <row r="446" spans="15:20">
      <c r="O446" s="761"/>
      <c r="P446" s="761"/>
      <c r="Q446" s="761"/>
      <c r="R446" s="761"/>
      <c r="S446" s="761"/>
      <c r="T446" s="761"/>
    </row>
    <row r="447" spans="15:20">
      <c r="O447" s="761"/>
      <c r="P447" s="761"/>
      <c r="Q447" s="761"/>
      <c r="R447" s="761"/>
      <c r="S447" s="761"/>
      <c r="T447" s="761"/>
    </row>
    <row r="448" spans="15:20">
      <c r="O448" s="761"/>
      <c r="P448" s="761"/>
      <c r="Q448" s="761"/>
      <c r="R448" s="761"/>
      <c r="S448" s="761"/>
      <c r="T448" s="761"/>
    </row>
    <row r="449" spans="15:20">
      <c r="O449" s="761"/>
      <c r="P449" s="761"/>
      <c r="Q449" s="761"/>
      <c r="R449" s="761"/>
      <c r="S449" s="761"/>
      <c r="T449" s="761"/>
    </row>
    <row r="450" spans="15:20">
      <c r="O450" s="761"/>
      <c r="P450" s="761"/>
      <c r="Q450" s="761"/>
      <c r="R450" s="761"/>
      <c r="S450" s="761"/>
      <c r="T450" s="761"/>
    </row>
    <row r="451" spans="15:20">
      <c r="O451" s="761"/>
      <c r="P451" s="761"/>
      <c r="Q451" s="761"/>
      <c r="R451" s="761"/>
      <c r="S451" s="761"/>
      <c r="T451" s="761"/>
    </row>
    <row r="452" spans="15:20">
      <c r="O452" s="761"/>
      <c r="P452" s="761"/>
      <c r="Q452" s="761"/>
      <c r="R452" s="761"/>
      <c r="S452" s="761"/>
      <c r="T452" s="761"/>
    </row>
    <row r="453" spans="15:20">
      <c r="O453" s="761"/>
      <c r="P453" s="761"/>
      <c r="Q453" s="761"/>
      <c r="R453" s="761"/>
      <c r="S453" s="761"/>
      <c r="T453" s="761"/>
    </row>
    <row r="454" spans="15:20">
      <c r="O454" s="761"/>
      <c r="P454" s="761"/>
      <c r="Q454" s="761"/>
      <c r="R454" s="761"/>
      <c r="S454" s="761"/>
      <c r="T454" s="761"/>
    </row>
    <row r="455" spans="15:20">
      <c r="O455" s="761"/>
      <c r="P455" s="761"/>
      <c r="Q455" s="761"/>
      <c r="R455" s="761"/>
      <c r="S455" s="761"/>
      <c r="T455" s="761"/>
    </row>
    <row r="456" spans="15:20">
      <c r="O456" s="761"/>
      <c r="P456" s="761"/>
      <c r="Q456" s="761"/>
      <c r="R456" s="761"/>
      <c r="S456" s="761"/>
      <c r="T456" s="761"/>
    </row>
    <row r="457" spans="15:20">
      <c r="O457" s="761"/>
      <c r="P457" s="761"/>
      <c r="Q457" s="761"/>
      <c r="R457" s="761"/>
      <c r="S457" s="761"/>
      <c r="T457" s="761"/>
    </row>
    <row r="458" spans="15:20">
      <c r="O458" s="761"/>
      <c r="P458" s="761"/>
      <c r="Q458" s="761"/>
      <c r="R458" s="761"/>
      <c r="S458" s="761"/>
      <c r="T458" s="761"/>
    </row>
    <row r="459" spans="15:20">
      <c r="O459" s="761"/>
      <c r="P459" s="761"/>
      <c r="Q459" s="761"/>
      <c r="R459" s="761"/>
      <c r="S459" s="761"/>
      <c r="T459" s="761"/>
    </row>
    <row r="460" spans="15:20">
      <c r="O460" s="761"/>
      <c r="P460" s="761"/>
      <c r="Q460" s="761"/>
      <c r="R460" s="761"/>
      <c r="S460" s="761"/>
      <c r="T460" s="761"/>
    </row>
    <row r="461" spans="15:20">
      <c r="O461" s="761"/>
      <c r="P461" s="761"/>
      <c r="Q461" s="761"/>
      <c r="R461" s="761"/>
      <c r="S461" s="761"/>
      <c r="T461" s="761"/>
    </row>
    <row r="462" spans="15:20">
      <c r="O462" s="761"/>
      <c r="P462" s="761"/>
      <c r="Q462" s="761"/>
      <c r="R462" s="761"/>
      <c r="S462" s="761"/>
      <c r="T462" s="761"/>
    </row>
    <row r="463" spans="15:20">
      <c r="O463" s="761"/>
      <c r="P463" s="761"/>
      <c r="Q463" s="761"/>
      <c r="R463" s="761"/>
      <c r="S463" s="761"/>
      <c r="T463" s="761"/>
    </row>
    <row r="464" spans="15:20">
      <c r="O464" s="761"/>
      <c r="P464" s="761"/>
      <c r="Q464" s="761"/>
      <c r="R464" s="761"/>
      <c r="S464" s="761"/>
      <c r="T464" s="761"/>
    </row>
    <row r="465" spans="15:20">
      <c r="O465" s="761"/>
      <c r="P465" s="761"/>
      <c r="Q465" s="761"/>
      <c r="R465" s="761"/>
      <c r="S465" s="761"/>
      <c r="T465" s="761"/>
    </row>
    <row r="466" spans="15:20">
      <c r="O466" s="761"/>
      <c r="P466" s="761"/>
      <c r="Q466" s="761"/>
      <c r="R466" s="761"/>
      <c r="S466" s="761"/>
      <c r="T466" s="761"/>
    </row>
    <row r="467" spans="15:20">
      <c r="O467" s="761"/>
      <c r="P467" s="761"/>
      <c r="Q467" s="761"/>
      <c r="R467" s="761"/>
      <c r="S467" s="761"/>
      <c r="T467" s="761"/>
    </row>
    <row r="468" spans="15:20">
      <c r="O468" s="761"/>
      <c r="P468" s="761"/>
      <c r="Q468" s="761"/>
      <c r="R468" s="761"/>
      <c r="S468" s="761"/>
      <c r="T468" s="761"/>
    </row>
    <row r="469" spans="15:20">
      <c r="O469" s="761"/>
      <c r="P469" s="761"/>
      <c r="Q469" s="761"/>
      <c r="R469" s="761"/>
      <c r="S469" s="761"/>
      <c r="T469" s="761"/>
    </row>
    <row r="470" spans="15:20">
      <c r="O470" s="761"/>
      <c r="P470" s="761"/>
      <c r="Q470" s="761"/>
      <c r="R470" s="761"/>
      <c r="S470" s="761"/>
      <c r="T470" s="761"/>
    </row>
    <row r="471" spans="15:20">
      <c r="O471" s="761"/>
      <c r="P471" s="761"/>
      <c r="Q471" s="761"/>
      <c r="R471" s="761"/>
      <c r="S471" s="761"/>
      <c r="T471" s="761"/>
    </row>
    <row r="472" spans="15:20">
      <c r="O472" s="761"/>
      <c r="P472" s="761"/>
      <c r="Q472" s="761"/>
      <c r="R472" s="761"/>
      <c r="S472" s="761"/>
      <c r="T472" s="761"/>
    </row>
    <row r="473" spans="15:20">
      <c r="O473" s="761"/>
      <c r="P473" s="761"/>
      <c r="Q473" s="761"/>
      <c r="R473" s="761"/>
      <c r="S473" s="761"/>
      <c r="T473" s="761"/>
    </row>
    <row r="474" spans="15:20">
      <c r="O474" s="761"/>
      <c r="P474" s="761"/>
      <c r="Q474" s="761"/>
      <c r="R474" s="761"/>
      <c r="S474" s="761"/>
      <c r="T474" s="761"/>
    </row>
    <row r="475" spans="15:20">
      <c r="O475" s="761"/>
      <c r="P475" s="761"/>
      <c r="Q475" s="761"/>
      <c r="R475" s="761"/>
      <c r="S475" s="761"/>
      <c r="T475" s="761"/>
    </row>
    <row r="476" spans="15:20">
      <c r="O476" s="761"/>
      <c r="P476" s="761"/>
      <c r="Q476" s="761"/>
      <c r="R476" s="761"/>
      <c r="S476" s="761"/>
      <c r="T476" s="761"/>
    </row>
    <row r="477" spans="15:20">
      <c r="O477" s="761"/>
      <c r="P477" s="761"/>
      <c r="Q477" s="761"/>
      <c r="R477" s="761"/>
      <c r="S477" s="761"/>
      <c r="T477" s="761"/>
    </row>
    <row r="478" spans="15:20">
      <c r="O478" s="761"/>
      <c r="P478" s="761"/>
      <c r="Q478" s="761"/>
      <c r="R478" s="761"/>
      <c r="S478" s="761"/>
      <c r="T478" s="761"/>
    </row>
    <row r="479" spans="15:20">
      <c r="O479" s="761"/>
      <c r="P479" s="761"/>
      <c r="Q479" s="761"/>
      <c r="R479" s="761"/>
      <c r="S479" s="761"/>
      <c r="T479" s="761"/>
    </row>
    <row r="480" spans="15:20">
      <c r="O480" s="761"/>
      <c r="P480" s="761"/>
      <c r="Q480" s="761"/>
      <c r="R480" s="761"/>
      <c r="S480" s="761"/>
      <c r="T480" s="761"/>
    </row>
    <row r="481" spans="15:20">
      <c r="O481" s="761"/>
      <c r="P481" s="761"/>
      <c r="Q481" s="761"/>
      <c r="R481" s="761"/>
      <c r="S481" s="761"/>
      <c r="T481" s="761"/>
    </row>
    <row r="482" spans="15:20">
      <c r="O482" s="761"/>
      <c r="P482" s="761"/>
      <c r="Q482" s="761"/>
      <c r="R482" s="761"/>
      <c r="S482" s="761"/>
      <c r="T482" s="761"/>
    </row>
    <row r="483" spans="15:20">
      <c r="O483" s="761"/>
      <c r="P483" s="761"/>
      <c r="Q483" s="761"/>
      <c r="R483" s="761"/>
      <c r="S483" s="761"/>
      <c r="T483" s="761"/>
    </row>
    <row r="484" spans="15:20">
      <c r="O484" s="761"/>
      <c r="P484" s="761"/>
      <c r="Q484" s="761"/>
      <c r="R484" s="761"/>
      <c r="S484" s="761"/>
      <c r="T484" s="761"/>
    </row>
    <row r="485" spans="15:20">
      <c r="O485" s="761"/>
      <c r="P485" s="761"/>
      <c r="Q485" s="761"/>
      <c r="R485" s="761"/>
      <c r="S485" s="761"/>
      <c r="T485" s="761"/>
    </row>
    <row r="486" spans="15:20">
      <c r="O486" s="761"/>
      <c r="P486" s="761"/>
      <c r="Q486" s="761"/>
      <c r="R486" s="761"/>
      <c r="S486" s="761"/>
      <c r="T486" s="761"/>
    </row>
    <row r="487" spans="15:20">
      <c r="O487" s="761"/>
      <c r="P487" s="761"/>
      <c r="Q487" s="761"/>
      <c r="R487" s="761"/>
      <c r="S487" s="761"/>
      <c r="T487" s="761"/>
    </row>
    <row r="488" spans="15:20">
      <c r="O488" s="761"/>
      <c r="P488" s="761"/>
      <c r="Q488" s="761"/>
      <c r="R488" s="761"/>
      <c r="S488" s="761"/>
      <c r="T488" s="761"/>
    </row>
    <row r="489" spans="15:20">
      <c r="O489" s="761"/>
      <c r="P489" s="761"/>
      <c r="Q489" s="761"/>
      <c r="R489" s="761"/>
      <c r="S489" s="761"/>
      <c r="T489" s="761"/>
    </row>
    <row r="490" spans="15:20">
      <c r="O490" s="761"/>
      <c r="P490" s="761"/>
      <c r="Q490" s="761"/>
      <c r="R490" s="761"/>
      <c r="S490" s="761"/>
      <c r="T490" s="761"/>
    </row>
    <row r="491" spans="15:20">
      <c r="O491" s="761"/>
      <c r="P491" s="761"/>
      <c r="Q491" s="761"/>
      <c r="R491" s="761"/>
      <c r="S491" s="761"/>
      <c r="T491" s="761"/>
    </row>
    <row r="492" spans="15:20">
      <c r="O492" s="761"/>
      <c r="P492" s="761"/>
      <c r="Q492" s="761"/>
      <c r="R492" s="761"/>
      <c r="S492" s="761"/>
      <c r="T492" s="761"/>
    </row>
    <row r="493" spans="15:20">
      <c r="O493" s="761"/>
      <c r="P493" s="761"/>
      <c r="Q493" s="761"/>
      <c r="R493" s="761"/>
      <c r="S493" s="761"/>
      <c r="T493" s="761"/>
    </row>
    <row r="494" spans="15:20">
      <c r="O494" s="761"/>
      <c r="P494" s="761"/>
      <c r="Q494" s="761"/>
      <c r="R494" s="761"/>
      <c r="S494" s="761"/>
      <c r="T494" s="761"/>
    </row>
    <row r="495" spans="15:20">
      <c r="O495" s="761"/>
      <c r="P495" s="761"/>
      <c r="Q495" s="761"/>
      <c r="R495" s="761"/>
      <c r="S495" s="761"/>
      <c r="T495" s="761"/>
    </row>
    <row r="496" spans="15:20">
      <c r="O496" s="761"/>
      <c r="P496" s="761"/>
      <c r="Q496" s="761"/>
      <c r="R496" s="761"/>
      <c r="S496" s="761"/>
      <c r="T496" s="761"/>
    </row>
    <row r="497" spans="15:20">
      <c r="O497" s="761"/>
      <c r="P497" s="761"/>
      <c r="Q497" s="761"/>
      <c r="R497" s="761"/>
      <c r="S497" s="761"/>
      <c r="T497" s="761"/>
    </row>
    <row r="498" spans="15:20">
      <c r="O498" s="761"/>
      <c r="P498" s="761"/>
      <c r="Q498" s="761"/>
      <c r="R498" s="761"/>
      <c r="S498" s="761"/>
      <c r="T498" s="761"/>
    </row>
    <row r="499" spans="15:20">
      <c r="O499" s="761"/>
      <c r="P499" s="761"/>
      <c r="Q499" s="761"/>
      <c r="R499" s="761"/>
      <c r="S499" s="761"/>
      <c r="T499" s="761"/>
    </row>
    <row r="500" spans="15:20">
      <c r="O500" s="761"/>
      <c r="P500" s="761"/>
      <c r="Q500" s="761"/>
      <c r="R500" s="761"/>
      <c r="S500" s="761"/>
      <c r="T500" s="761"/>
    </row>
    <row r="501" spans="15:20">
      <c r="O501" s="761"/>
      <c r="P501" s="761"/>
      <c r="Q501" s="761"/>
      <c r="R501" s="761"/>
      <c r="S501" s="761"/>
      <c r="T501" s="761"/>
    </row>
    <row r="502" spans="15:20">
      <c r="O502" s="761"/>
      <c r="P502" s="761"/>
      <c r="Q502" s="761"/>
      <c r="R502" s="761"/>
      <c r="S502" s="761"/>
      <c r="T502" s="761"/>
    </row>
    <row r="503" spans="15:20">
      <c r="O503" s="761"/>
      <c r="P503" s="761"/>
      <c r="Q503" s="761"/>
      <c r="R503" s="761"/>
      <c r="S503" s="761"/>
      <c r="T503" s="761"/>
    </row>
    <row r="504" spans="15:20">
      <c r="O504" s="761"/>
      <c r="P504" s="761"/>
      <c r="Q504" s="761"/>
      <c r="R504" s="761"/>
      <c r="S504" s="761"/>
      <c r="T504" s="761"/>
    </row>
    <row r="505" spans="15:20">
      <c r="O505" s="761"/>
      <c r="P505" s="761"/>
      <c r="Q505" s="761"/>
      <c r="R505" s="761"/>
      <c r="S505" s="761"/>
      <c r="T505" s="761"/>
    </row>
    <row r="506" spans="15:20">
      <c r="O506" s="761"/>
      <c r="P506" s="761"/>
      <c r="Q506" s="761"/>
      <c r="R506" s="761"/>
      <c r="S506" s="761"/>
      <c r="T506" s="761"/>
    </row>
    <row r="507" spans="15:20">
      <c r="O507" s="761"/>
      <c r="P507" s="761"/>
      <c r="Q507" s="761"/>
      <c r="R507" s="761"/>
      <c r="S507" s="761"/>
      <c r="T507" s="761"/>
    </row>
    <row r="508" spans="15:20">
      <c r="O508" s="761"/>
      <c r="P508" s="761"/>
      <c r="Q508" s="761"/>
      <c r="R508" s="761"/>
      <c r="S508" s="761"/>
      <c r="T508" s="761"/>
    </row>
    <row r="509" spans="15:20">
      <c r="O509" s="761"/>
      <c r="P509" s="761"/>
      <c r="Q509" s="761"/>
      <c r="R509" s="761"/>
      <c r="S509" s="761"/>
      <c r="T509" s="761"/>
    </row>
    <row r="510" spans="15:20">
      <c r="O510" s="761"/>
      <c r="P510" s="761"/>
      <c r="Q510" s="761"/>
      <c r="R510" s="761"/>
      <c r="S510" s="761"/>
      <c r="T510" s="761"/>
    </row>
    <row r="511" spans="15:20">
      <c r="O511" s="761"/>
      <c r="P511" s="761"/>
      <c r="Q511" s="761"/>
      <c r="R511" s="761"/>
      <c r="S511" s="761"/>
      <c r="T511" s="761"/>
    </row>
    <row r="512" spans="15:20">
      <c r="O512" s="761"/>
      <c r="P512" s="761"/>
      <c r="Q512" s="761"/>
      <c r="R512" s="761"/>
      <c r="S512" s="761"/>
      <c r="T512" s="761"/>
    </row>
    <row r="513" spans="15:20">
      <c r="O513" s="761"/>
      <c r="P513" s="761"/>
      <c r="Q513" s="761"/>
      <c r="R513" s="761"/>
      <c r="S513" s="761"/>
      <c r="T513" s="761"/>
    </row>
    <row r="514" spans="15:20">
      <c r="O514" s="761"/>
      <c r="P514" s="761"/>
      <c r="Q514" s="761"/>
      <c r="R514" s="761"/>
      <c r="S514" s="761"/>
      <c r="T514" s="761"/>
    </row>
    <row r="515" spans="15:20">
      <c r="O515" s="761"/>
      <c r="P515" s="761"/>
      <c r="Q515" s="761"/>
      <c r="R515" s="761"/>
      <c r="S515" s="761"/>
      <c r="T515" s="761"/>
    </row>
    <row r="516" spans="15:20">
      <c r="O516" s="761"/>
      <c r="P516" s="761"/>
      <c r="Q516" s="761"/>
      <c r="R516" s="761"/>
      <c r="S516" s="761"/>
      <c r="T516" s="761"/>
    </row>
    <row r="517" spans="15:20">
      <c r="O517" s="761"/>
      <c r="P517" s="761"/>
      <c r="Q517" s="761"/>
      <c r="R517" s="761"/>
      <c r="S517" s="761"/>
      <c r="T517" s="761"/>
    </row>
    <row r="518" spans="15:20">
      <c r="O518" s="761"/>
      <c r="P518" s="761"/>
      <c r="Q518" s="761"/>
      <c r="R518" s="761"/>
      <c r="S518" s="761"/>
      <c r="T518" s="761"/>
    </row>
    <row r="519" spans="15:20">
      <c r="O519" s="761"/>
      <c r="P519" s="761"/>
      <c r="Q519" s="761"/>
      <c r="R519" s="761"/>
      <c r="S519" s="761"/>
      <c r="T519" s="761"/>
    </row>
    <row r="520" spans="15:20">
      <c r="O520" s="761"/>
      <c r="P520" s="761"/>
      <c r="Q520" s="761"/>
      <c r="R520" s="761"/>
      <c r="S520" s="761"/>
      <c r="T520" s="761"/>
    </row>
    <row r="521" spans="15:20">
      <c r="O521" s="761"/>
      <c r="P521" s="761"/>
      <c r="Q521" s="761"/>
      <c r="R521" s="761"/>
      <c r="S521" s="761"/>
      <c r="T521" s="761"/>
    </row>
    <row r="522" spans="15:20">
      <c r="O522" s="761"/>
      <c r="P522" s="761"/>
      <c r="Q522" s="761"/>
      <c r="R522" s="761"/>
      <c r="S522" s="761"/>
      <c r="T522" s="761"/>
    </row>
    <row r="523" spans="15:20">
      <c r="O523" s="761"/>
      <c r="P523" s="761"/>
      <c r="Q523" s="761"/>
      <c r="R523" s="761"/>
      <c r="S523" s="761"/>
      <c r="T523" s="761"/>
    </row>
    <row r="524" spans="15:20">
      <c r="O524" s="761"/>
      <c r="P524" s="761"/>
      <c r="Q524" s="761"/>
      <c r="R524" s="761"/>
      <c r="S524" s="761"/>
      <c r="T524" s="761"/>
    </row>
    <row r="525" spans="15:20">
      <c r="O525" s="761"/>
      <c r="P525" s="761"/>
      <c r="Q525" s="761"/>
      <c r="R525" s="761"/>
      <c r="S525" s="761"/>
      <c r="T525" s="761"/>
    </row>
    <row r="526" spans="15:20">
      <c r="O526" s="761"/>
      <c r="P526" s="761"/>
      <c r="Q526" s="761"/>
      <c r="R526" s="761"/>
      <c r="S526" s="761"/>
      <c r="T526" s="761"/>
    </row>
    <row r="527" spans="15:20">
      <c r="O527" s="761"/>
      <c r="P527" s="761"/>
      <c r="Q527" s="761"/>
      <c r="R527" s="761"/>
      <c r="S527" s="761"/>
      <c r="T527" s="761"/>
    </row>
    <row r="528" spans="15:20">
      <c r="O528" s="761"/>
      <c r="P528" s="761"/>
      <c r="Q528" s="761"/>
      <c r="R528" s="761"/>
      <c r="S528" s="761"/>
      <c r="T528" s="761"/>
    </row>
    <row r="529" spans="15:20">
      <c r="O529" s="761"/>
      <c r="P529" s="761"/>
      <c r="Q529" s="761"/>
      <c r="R529" s="761"/>
      <c r="S529" s="761"/>
      <c r="T529" s="761"/>
    </row>
    <row r="530" spans="15:20">
      <c r="O530" s="761"/>
      <c r="P530" s="761"/>
      <c r="Q530" s="761"/>
      <c r="R530" s="761"/>
      <c r="S530" s="761"/>
      <c r="T530" s="761"/>
    </row>
    <row r="531" spans="15:20">
      <c r="O531" s="761"/>
      <c r="P531" s="761"/>
      <c r="Q531" s="761"/>
      <c r="R531" s="761"/>
      <c r="S531" s="761"/>
      <c r="T531" s="761"/>
    </row>
    <row r="532" spans="15:20">
      <c r="O532" s="761"/>
      <c r="P532" s="761"/>
      <c r="Q532" s="761"/>
      <c r="R532" s="761"/>
      <c r="S532" s="761"/>
      <c r="T532" s="761"/>
    </row>
    <row r="533" spans="15:20">
      <c r="O533" s="761"/>
      <c r="P533" s="761"/>
      <c r="Q533" s="761"/>
      <c r="R533" s="761"/>
      <c r="S533" s="761"/>
      <c r="T533" s="761"/>
    </row>
    <row r="534" spans="15:20">
      <c r="O534" s="761"/>
      <c r="P534" s="761"/>
      <c r="Q534" s="761"/>
      <c r="R534" s="761"/>
      <c r="S534" s="761"/>
      <c r="T534" s="761"/>
    </row>
    <row r="535" spans="15:20">
      <c r="O535" s="761"/>
      <c r="P535" s="761"/>
      <c r="Q535" s="761"/>
      <c r="R535" s="761"/>
      <c r="S535" s="761"/>
      <c r="T535" s="761"/>
    </row>
    <row r="536" spans="15:20">
      <c r="O536" s="761"/>
      <c r="P536" s="761"/>
      <c r="Q536" s="761"/>
      <c r="R536" s="761"/>
      <c r="S536" s="761"/>
      <c r="T536" s="761"/>
    </row>
    <row r="537" spans="15:20">
      <c r="O537" s="761"/>
      <c r="P537" s="761"/>
      <c r="Q537" s="761"/>
      <c r="R537" s="761"/>
      <c r="S537" s="761"/>
      <c r="T537" s="761"/>
    </row>
  </sheetData>
  <autoFilter ref="A2:AC252" xr:uid="{8E9380A8-3C83-46D7-AA37-91E1272C63FA}"/>
  <phoneticPr fontId="3" type="noConversion"/>
  <conditionalFormatting sqref="C1:C2 C4:C1048576">
    <cfRule type="duplicateValues" dxfId="74" priority="5"/>
  </conditionalFormatting>
  <conditionalFormatting sqref="C3">
    <cfRule type="duplicateValues" dxfId="73" priority="1"/>
    <cfRule type="duplicateValues" dxfId="72" priority="2"/>
  </conditionalFormatting>
  <conditionalFormatting sqref="C79">
    <cfRule type="duplicateValues" dxfId="71" priority="8"/>
  </conditionalFormatting>
  <conditionalFormatting sqref="C170">
    <cfRule type="duplicateValues" dxfId="70" priority="6"/>
  </conditionalFormatting>
  <conditionalFormatting sqref="C171:C1048576 C2 C80:C169 C4:C78">
    <cfRule type="duplicateValues" dxfId="69" priority="10"/>
  </conditionalFormatting>
  <conditionalFormatting sqref="E3:E99 E101:E162 E164:E180 E182:E230 E232:E249 D234 E251:E252">
    <cfRule type="expression" priority="4" stopIfTrue="1">
      <formula>D2&lt;&gt;#REF!</formula>
    </cfRule>
  </conditionalFormatting>
  <conditionalFormatting sqref="E100 E163 E181 E231">
    <cfRule type="expression" priority="93" stopIfTrue="1">
      <formula>E98&lt;&gt;#REF!</formula>
    </cfRule>
  </conditionalFormatting>
  <conditionalFormatting sqref="E250">
    <cfRule type="expression" priority="84" stopIfTrue="1">
      <formula>E244&lt;&gt;#REF!</formula>
    </cfRule>
  </conditionalFormatting>
  <conditionalFormatting sqref="F3">
    <cfRule type="duplicateValues" dxfId="68" priority="3" stopIfTrue="1"/>
  </conditionalFormatting>
  <conditionalFormatting sqref="F4:F44 F47:F78 F80:F169 F171:F252">
    <cfRule type="duplicateValues" dxfId="67" priority="116" stopIfTrue="1"/>
  </conditionalFormatting>
  <conditionalFormatting sqref="F45:F46">
    <cfRule type="duplicateValues" dxfId="66" priority="11" stopIfTrue="1"/>
  </conditionalFormatting>
  <conditionalFormatting sqref="F79">
    <cfRule type="duplicateValues" dxfId="65" priority="9" stopIfTrue="1"/>
  </conditionalFormatting>
  <conditionalFormatting sqref="F170">
    <cfRule type="duplicateValues" dxfId="64" priority="7" stopIfTrue="1"/>
  </conditionalFormatting>
  <dataValidations count="1">
    <dataValidation type="list" allowBlank="1" showInputMessage="1" showErrorMessage="1" sqref="K3:K252" xr:uid="{4754DFA3-C6C8-4688-83B4-9F5C92829C85}">
      <formula1>"G,KG,M,ML,MM,PCS,PLT,RL,SET,T"</formula1>
    </dataValidation>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B4F-64E9-47CC-94CD-7A6AF19D8E1A}">
  <dimension ref="A1:IC240"/>
  <sheetViews>
    <sheetView topLeftCell="L229" zoomScale="68" zoomScaleNormal="100" workbookViewId="0">
      <selection activeCell="X2" sqref="X2:X239"/>
    </sheetView>
  </sheetViews>
  <sheetFormatPr defaultRowHeight="15"/>
  <cols>
    <col min="1" max="1" width="8.7265625" style="597"/>
    <col min="2" max="2" width="11.54296875" style="597" customWidth="1"/>
    <col min="3" max="3" width="14.36328125" style="597" customWidth="1"/>
    <col min="4" max="4" width="22" style="597" customWidth="1"/>
    <col min="5" max="6" width="25.81640625" style="597" hidden="1" customWidth="1"/>
    <col min="7" max="7" width="0" style="597" hidden="1" customWidth="1"/>
    <col min="8" max="8" width="22.90625" style="597" hidden="1" customWidth="1"/>
    <col min="9" max="11" width="0" style="597" hidden="1" customWidth="1"/>
    <col min="12" max="12" width="8.7265625" style="597"/>
    <col min="13" max="13" width="12.7265625" style="597" customWidth="1"/>
    <col min="14" max="15" width="15.08984375" style="624" customWidth="1"/>
    <col min="16" max="16" width="15.08984375" style="624" hidden="1" customWidth="1"/>
    <col min="17" max="17" width="15.08984375" style="624" customWidth="1"/>
    <col min="18" max="18" width="19.453125" style="597" customWidth="1"/>
    <col min="19" max="19" width="41.26953125" style="619" hidden="1" customWidth="1"/>
    <col min="20" max="20" width="17.90625" style="619" customWidth="1"/>
    <col min="21" max="21" width="19.90625" style="606" customWidth="1"/>
    <col min="22" max="22" width="21.6328125" style="606" customWidth="1"/>
    <col min="23" max="23" width="34" style="597" customWidth="1"/>
    <col min="24" max="24" width="11" style="597" customWidth="1"/>
    <col min="25" max="262" width="8.7265625" style="597"/>
    <col min="263" max="263" width="14.36328125" style="597" customWidth="1"/>
    <col min="264" max="264" width="22" style="597" customWidth="1"/>
    <col min="265" max="265" width="0" style="597" hidden="1" customWidth="1"/>
    <col min="266" max="266" width="25.81640625" style="597" customWidth="1"/>
    <col min="267" max="271" width="0" style="597" hidden="1" customWidth="1"/>
    <col min="272" max="272" width="8.7265625" style="597"/>
    <col min="273" max="273" width="19.453125" style="597" customWidth="1"/>
    <col min="274" max="274" width="15.08984375" style="597" customWidth="1"/>
    <col min="275" max="275" width="41.26953125" style="597" customWidth="1"/>
    <col min="276" max="276" width="17.90625" style="597" customWidth="1"/>
    <col min="277" max="277" width="19.90625" style="597" customWidth="1"/>
    <col min="278" max="278" width="21.6328125" style="597" customWidth="1"/>
    <col min="279" max="279" width="34" style="597" customWidth="1"/>
    <col min="280" max="280" width="11" style="597" customWidth="1"/>
    <col min="281" max="518" width="8.7265625" style="597"/>
    <col min="519" max="519" width="14.36328125" style="597" customWidth="1"/>
    <col min="520" max="520" width="22" style="597" customWidth="1"/>
    <col min="521" max="521" width="0" style="597" hidden="1" customWidth="1"/>
    <col min="522" max="522" width="25.81640625" style="597" customWidth="1"/>
    <col min="523" max="527" width="0" style="597" hidden="1" customWidth="1"/>
    <col min="528" max="528" width="8.7265625" style="597"/>
    <col min="529" max="529" width="19.453125" style="597" customWidth="1"/>
    <col min="530" max="530" width="15.08984375" style="597" customWidth="1"/>
    <col min="531" max="531" width="41.26953125" style="597" customWidth="1"/>
    <col min="532" max="532" width="17.90625" style="597" customWidth="1"/>
    <col min="533" max="533" width="19.90625" style="597" customWidth="1"/>
    <col min="534" max="534" width="21.6328125" style="597" customWidth="1"/>
    <col min="535" max="535" width="34" style="597" customWidth="1"/>
    <col min="536" max="536" width="11" style="597" customWidth="1"/>
    <col min="537" max="774" width="8.7265625" style="597"/>
    <col min="775" max="775" width="14.36328125" style="597" customWidth="1"/>
    <col min="776" max="776" width="22" style="597" customWidth="1"/>
    <col min="777" max="777" width="0" style="597" hidden="1" customWidth="1"/>
    <col min="778" max="778" width="25.81640625" style="597" customWidth="1"/>
    <col min="779" max="783" width="0" style="597" hidden="1" customWidth="1"/>
    <col min="784" max="784" width="8.7265625" style="597"/>
    <col min="785" max="785" width="19.453125" style="597" customWidth="1"/>
    <col min="786" max="786" width="15.08984375" style="597" customWidth="1"/>
    <col min="787" max="787" width="41.26953125" style="597" customWidth="1"/>
    <col min="788" max="788" width="17.90625" style="597" customWidth="1"/>
    <col min="789" max="789" width="19.90625" style="597" customWidth="1"/>
    <col min="790" max="790" width="21.6328125" style="597" customWidth="1"/>
    <col min="791" max="791" width="34" style="597" customWidth="1"/>
    <col min="792" max="792" width="11" style="597" customWidth="1"/>
    <col min="793" max="1030" width="8.7265625" style="597"/>
    <col min="1031" max="1031" width="14.36328125" style="597" customWidth="1"/>
    <col min="1032" max="1032" width="22" style="597" customWidth="1"/>
    <col min="1033" max="1033" width="0" style="597" hidden="1" customWidth="1"/>
    <col min="1034" max="1034" width="25.81640625" style="597" customWidth="1"/>
    <col min="1035" max="1039" width="0" style="597" hidden="1" customWidth="1"/>
    <col min="1040" max="1040" width="8.7265625" style="597"/>
    <col min="1041" max="1041" width="19.453125" style="597" customWidth="1"/>
    <col min="1042" max="1042" width="15.08984375" style="597" customWidth="1"/>
    <col min="1043" max="1043" width="41.26953125" style="597" customWidth="1"/>
    <col min="1044" max="1044" width="17.90625" style="597" customWidth="1"/>
    <col min="1045" max="1045" width="19.90625" style="597" customWidth="1"/>
    <col min="1046" max="1046" width="21.6328125" style="597" customWidth="1"/>
    <col min="1047" max="1047" width="34" style="597" customWidth="1"/>
    <col min="1048" max="1048" width="11" style="597" customWidth="1"/>
    <col min="1049" max="1286" width="8.7265625" style="597"/>
    <col min="1287" max="1287" width="14.36328125" style="597" customWidth="1"/>
    <col min="1288" max="1288" width="22" style="597" customWidth="1"/>
    <col min="1289" max="1289" width="0" style="597" hidden="1" customWidth="1"/>
    <col min="1290" max="1290" width="25.81640625" style="597" customWidth="1"/>
    <col min="1291" max="1295" width="0" style="597" hidden="1" customWidth="1"/>
    <col min="1296" max="1296" width="8.7265625" style="597"/>
    <col min="1297" max="1297" width="19.453125" style="597" customWidth="1"/>
    <col min="1298" max="1298" width="15.08984375" style="597" customWidth="1"/>
    <col min="1299" max="1299" width="41.26953125" style="597" customWidth="1"/>
    <col min="1300" max="1300" width="17.90625" style="597" customWidth="1"/>
    <col min="1301" max="1301" width="19.90625" style="597" customWidth="1"/>
    <col min="1302" max="1302" width="21.6328125" style="597" customWidth="1"/>
    <col min="1303" max="1303" width="34" style="597" customWidth="1"/>
    <col min="1304" max="1304" width="11" style="597" customWidth="1"/>
    <col min="1305" max="1542" width="8.7265625" style="597"/>
    <col min="1543" max="1543" width="14.36328125" style="597" customWidth="1"/>
    <col min="1544" max="1544" width="22" style="597" customWidth="1"/>
    <col min="1545" max="1545" width="0" style="597" hidden="1" customWidth="1"/>
    <col min="1546" max="1546" width="25.81640625" style="597" customWidth="1"/>
    <col min="1547" max="1551" width="0" style="597" hidden="1" customWidth="1"/>
    <col min="1552" max="1552" width="8.7265625" style="597"/>
    <col min="1553" max="1553" width="19.453125" style="597" customWidth="1"/>
    <col min="1554" max="1554" width="15.08984375" style="597" customWidth="1"/>
    <col min="1555" max="1555" width="41.26953125" style="597" customWidth="1"/>
    <col min="1556" max="1556" width="17.90625" style="597" customWidth="1"/>
    <col min="1557" max="1557" width="19.90625" style="597" customWidth="1"/>
    <col min="1558" max="1558" width="21.6328125" style="597" customWidth="1"/>
    <col min="1559" max="1559" width="34" style="597" customWidth="1"/>
    <col min="1560" max="1560" width="11" style="597" customWidth="1"/>
    <col min="1561" max="1798" width="8.7265625" style="597"/>
    <col min="1799" max="1799" width="14.36328125" style="597" customWidth="1"/>
    <col min="1800" max="1800" width="22" style="597" customWidth="1"/>
    <col min="1801" max="1801" width="0" style="597" hidden="1" customWidth="1"/>
    <col min="1802" max="1802" width="25.81640625" style="597" customWidth="1"/>
    <col min="1803" max="1807" width="0" style="597" hidden="1" customWidth="1"/>
    <col min="1808" max="1808" width="8.7265625" style="597"/>
    <col min="1809" max="1809" width="19.453125" style="597" customWidth="1"/>
    <col min="1810" max="1810" width="15.08984375" style="597" customWidth="1"/>
    <col min="1811" max="1811" width="41.26953125" style="597" customWidth="1"/>
    <col min="1812" max="1812" width="17.90625" style="597" customWidth="1"/>
    <col min="1813" max="1813" width="19.90625" style="597" customWidth="1"/>
    <col min="1814" max="1814" width="21.6328125" style="597" customWidth="1"/>
    <col min="1815" max="1815" width="34" style="597" customWidth="1"/>
    <col min="1816" max="1816" width="11" style="597" customWidth="1"/>
    <col min="1817" max="2054" width="8.7265625" style="597"/>
    <col min="2055" max="2055" width="14.36328125" style="597" customWidth="1"/>
    <col min="2056" max="2056" width="22" style="597" customWidth="1"/>
    <col min="2057" max="2057" width="0" style="597" hidden="1" customWidth="1"/>
    <col min="2058" max="2058" width="25.81640625" style="597" customWidth="1"/>
    <col min="2059" max="2063" width="0" style="597" hidden="1" customWidth="1"/>
    <col min="2064" max="2064" width="8.7265625" style="597"/>
    <col min="2065" max="2065" width="19.453125" style="597" customWidth="1"/>
    <col min="2066" max="2066" width="15.08984375" style="597" customWidth="1"/>
    <col min="2067" max="2067" width="41.26953125" style="597" customWidth="1"/>
    <col min="2068" max="2068" width="17.90625" style="597" customWidth="1"/>
    <col min="2069" max="2069" width="19.90625" style="597" customWidth="1"/>
    <col min="2070" max="2070" width="21.6328125" style="597" customWidth="1"/>
    <col min="2071" max="2071" width="34" style="597" customWidth="1"/>
    <col min="2072" max="2072" width="11" style="597" customWidth="1"/>
    <col min="2073" max="2310" width="8.7265625" style="597"/>
    <col min="2311" max="2311" width="14.36328125" style="597" customWidth="1"/>
    <col min="2312" max="2312" width="22" style="597" customWidth="1"/>
    <col min="2313" max="2313" width="0" style="597" hidden="1" customWidth="1"/>
    <col min="2314" max="2314" width="25.81640625" style="597" customWidth="1"/>
    <col min="2315" max="2319" width="0" style="597" hidden="1" customWidth="1"/>
    <col min="2320" max="2320" width="8.7265625" style="597"/>
    <col min="2321" max="2321" width="19.453125" style="597" customWidth="1"/>
    <col min="2322" max="2322" width="15.08984375" style="597" customWidth="1"/>
    <col min="2323" max="2323" width="41.26953125" style="597" customWidth="1"/>
    <col min="2324" max="2324" width="17.90625" style="597" customWidth="1"/>
    <col min="2325" max="2325" width="19.90625" style="597" customWidth="1"/>
    <col min="2326" max="2326" width="21.6328125" style="597" customWidth="1"/>
    <col min="2327" max="2327" width="34" style="597" customWidth="1"/>
    <col min="2328" max="2328" width="11" style="597" customWidth="1"/>
    <col min="2329" max="2566" width="8.7265625" style="597"/>
    <col min="2567" max="2567" width="14.36328125" style="597" customWidth="1"/>
    <col min="2568" max="2568" width="22" style="597" customWidth="1"/>
    <col min="2569" max="2569" width="0" style="597" hidden="1" customWidth="1"/>
    <col min="2570" max="2570" width="25.81640625" style="597" customWidth="1"/>
    <col min="2571" max="2575" width="0" style="597" hidden="1" customWidth="1"/>
    <col min="2576" max="2576" width="8.7265625" style="597"/>
    <col min="2577" max="2577" width="19.453125" style="597" customWidth="1"/>
    <col min="2578" max="2578" width="15.08984375" style="597" customWidth="1"/>
    <col min="2579" max="2579" width="41.26953125" style="597" customWidth="1"/>
    <col min="2580" max="2580" width="17.90625" style="597" customWidth="1"/>
    <col min="2581" max="2581" width="19.90625" style="597" customWidth="1"/>
    <col min="2582" max="2582" width="21.6328125" style="597" customWidth="1"/>
    <col min="2583" max="2583" width="34" style="597" customWidth="1"/>
    <col min="2584" max="2584" width="11" style="597" customWidth="1"/>
    <col min="2585" max="2822" width="8.7265625" style="597"/>
    <col min="2823" max="2823" width="14.36328125" style="597" customWidth="1"/>
    <col min="2824" max="2824" width="22" style="597" customWidth="1"/>
    <col min="2825" max="2825" width="0" style="597" hidden="1" customWidth="1"/>
    <col min="2826" max="2826" width="25.81640625" style="597" customWidth="1"/>
    <col min="2827" max="2831" width="0" style="597" hidden="1" customWidth="1"/>
    <col min="2832" max="2832" width="8.7265625" style="597"/>
    <col min="2833" max="2833" width="19.453125" style="597" customWidth="1"/>
    <col min="2834" max="2834" width="15.08984375" style="597" customWidth="1"/>
    <col min="2835" max="2835" width="41.26953125" style="597" customWidth="1"/>
    <col min="2836" max="2836" width="17.90625" style="597" customWidth="1"/>
    <col min="2837" max="2837" width="19.90625" style="597" customWidth="1"/>
    <col min="2838" max="2838" width="21.6328125" style="597" customWidth="1"/>
    <col min="2839" max="2839" width="34" style="597" customWidth="1"/>
    <col min="2840" max="2840" width="11" style="597" customWidth="1"/>
    <col min="2841" max="3078" width="8.7265625" style="597"/>
    <col min="3079" max="3079" width="14.36328125" style="597" customWidth="1"/>
    <col min="3080" max="3080" width="22" style="597" customWidth="1"/>
    <col min="3081" max="3081" width="0" style="597" hidden="1" customWidth="1"/>
    <col min="3082" max="3082" width="25.81640625" style="597" customWidth="1"/>
    <col min="3083" max="3087" width="0" style="597" hidden="1" customWidth="1"/>
    <col min="3088" max="3088" width="8.7265625" style="597"/>
    <col min="3089" max="3089" width="19.453125" style="597" customWidth="1"/>
    <col min="3090" max="3090" width="15.08984375" style="597" customWidth="1"/>
    <col min="3091" max="3091" width="41.26953125" style="597" customWidth="1"/>
    <col min="3092" max="3092" width="17.90625" style="597" customWidth="1"/>
    <col min="3093" max="3093" width="19.90625" style="597" customWidth="1"/>
    <col min="3094" max="3094" width="21.6328125" style="597" customWidth="1"/>
    <col min="3095" max="3095" width="34" style="597" customWidth="1"/>
    <col min="3096" max="3096" width="11" style="597" customWidth="1"/>
    <col min="3097" max="3334" width="8.7265625" style="597"/>
    <col min="3335" max="3335" width="14.36328125" style="597" customWidth="1"/>
    <col min="3336" max="3336" width="22" style="597" customWidth="1"/>
    <col min="3337" max="3337" width="0" style="597" hidden="1" customWidth="1"/>
    <col min="3338" max="3338" width="25.81640625" style="597" customWidth="1"/>
    <col min="3339" max="3343" width="0" style="597" hidden="1" customWidth="1"/>
    <col min="3344" max="3344" width="8.7265625" style="597"/>
    <col min="3345" max="3345" width="19.453125" style="597" customWidth="1"/>
    <col min="3346" max="3346" width="15.08984375" style="597" customWidth="1"/>
    <col min="3347" max="3347" width="41.26953125" style="597" customWidth="1"/>
    <col min="3348" max="3348" width="17.90625" style="597" customWidth="1"/>
    <col min="3349" max="3349" width="19.90625" style="597" customWidth="1"/>
    <col min="3350" max="3350" width="21.6328125" style="597" customWidth="1"/>
    <col min="3351" max="3351" width="34" style="597" customWidth="1"/>
    <col min="3352" max="3352" width="11" style="597" customWidth="1"/>
    <col min="3353" max="3590" width="8.7265625" style="597"/>
    <col min="3591" max="3591" width="14.36328125" style="597" customWidth="1"/>
    <col min="3592" max="3592" width="22" style="597" customWidth="1"/>
    <col min="3593" max="3593" width="0" style="597" hidden="1" customWidth="1"/>
    <col min="3594" max="3594" width="25.81640625" style="597" customWidth="1"/>
    <col min="3595" max="3599" width="0" style="597" hidden="1" customWidth="1"/>
    <col min="3600" max="3600" width="8.7265625" style="597"/>
    <col min="3601" max="3601" width="19.453125" style="597" customWidth="1"/>
    <col min="3602" max="3602" width="15.08984375" style="597" customWidth="1"/>
    <col min="3603" max="3603" width="41.26953125" style="597" customWidth="1"/>
    <col min="3604" max="3604" width="17.90625" style="597" customWidth="1"/>
    <col min="3605" max="3605" width="19.90625" style="597" customWidth="1"/>
    <col min="3606" max="3606" width="21.6328125" style="597" customWidth="1"/>
    <col min="3607" max="3607" width="34" style="597" customWidth="1"/>
    <col min="3608" max="3608" width="11" style="597" customWidth="1"/>
    <col min="3609" max="3846" width="8.7265625" style="597"/>
    <col min="3847" max="3847" width="14.36328125" style="597" customWidth="1"/>
    <col min="3848" max="3848" width="22" style="597" customWidth="1"/>
    <col min="3849" max="3849" width="0" style="597" hidden="1" customWidth="1"/>
    <col min="3850" max="3850" width="25.81640625" style="597" customWidth="1"/>
    <col min="3851" max="3855" width="0" style="597" hidden="1" customWidth="1"/>
    <col min="3856" max="3856" width="8.7265625" style="597"/>
    <col min="3857" max="3857" width="19.453125" style="597" customWidth="1"/>
    <col min="3858" max="3858" width="15.08984375" style="597" customWidth="1"/>
    <col min="3859" max="3859" width="41.26953125" style="597" customWidth="1"/>
    <col min="3860" max="3860" width="17.90625" style="597" customWidth="1"/>
    <col min="3861" max="3861" width="19.90625" style="597" customWidth="1"/>
    <col min="3862" max="3862" width="21.6328125" style="597" customWidth="1"/>
    <col min="3863" max="3863" width="34" style="597" customWidth="1"/>
    <col min="3864" max="3864" width="11" style="597" customWidth="1"/>
    <col min="3865" max="4102" width="8.7265625" style="597"/>
    <col min="4103" max="4103" width="14.36328125" style="597" customWidth="1"/>
    <col min="4104" max="4104" width="22" style="597" customWidth="1"/>
    <col min="4105" max="4105" width="0" style="597" hidden="1" customWidth="1"/>
    <col min="4106" max="4106" width="25.81640625" style="597" customWidth="1"/>
    <col min="4107" max="4111" width="0" style="597" hidden="1" customWidth="1"/>
    <col min="4112" max="4112" width="8.7265625" style="597"/>
    <col min="4113" max="4113" width="19.453125" style="597" customWidth="1"/>
    <col min="4114" max="4114" width="15.08984375" style="597" customWidth="1"/>
    <col min="4115" max="4115" width="41.26953125" style="597" customWidth="1"/>
    <col min="4116" max="4116" width="17.90625" style="597" customWidth="1"/>
    <col min="4117" max="4117" width="19.90625" style="597" customWidth="1"/>
    <col min="4118" max="4118" width="21.6328125" style="597" customWidth="1"/>
    <col min="4119" max="4119" width="34" style="597" customWidth="1"/>
    <col min="4120" max="4120" width="11" style="597" customWidth="1"/>
    <col min="4121" max="4358" width="8.7265625" style="597"/>
    <col min="4359" max="4359" width="14.36328125" style="597" customWidth="1"/>
    <col min="4360" max="4360" width="22" style="597" customWidth="1"/>
    <col min="4361" max="4361" width="0" style="597" hidden="1" customWidth="1"/>
    <col min="4362" max="4362" width="25.81640625" style="597" customWidth="1"/>
    <col min="4363" max="4367" width="0" style="597" hidden="1" customWidth="1"/>
    <col min="4368" max="4368" width="8.7265625" style="597"/>
    <col min="4369" max="4369" width="19.453125" style="597" customWidth="1"/>
    <col min="4370" max="4370" width="15.08984375" style="597" customWidth="1"/>
    <col min="4371" max="4371" width="41.26953125" style="597" customWidth="1"/>
    <col min="4372" max="4372" width="17.90625" style="597" customWidth="1"/>
    <col min="4373" max="4373" width="19.90625" style="597" customWidth="1"/>
    <col min="4374" max="4374" width="21.6328125" style="597" customWidth="1"/>
    <col min="4375" max="4375" width="34" style="597" customWidth="1"/>
    <col min="4376" max="4376" width="11" style="597" customWidth="1"/>
    <col min="4377" max="4614" width="8.7265625" style="597"/>
    <col min="4615" max="4615" width="14.36328125" style="597" customWidth="1"/>
    <col min="4616" max="4616" width="22" style="597" customWidth="1"/>
    <col min="4617" max="4617" width="0" style="597" hidden="1" customWidth="1"/>
    <col min="4618" max="4618" width="25.81640625" style="597" customWidth="1"/>
    <col min="4619" max="4623" width="0" style="597" hidden="1" customWidth="1"/>
    <col min="4624" max="4624" width="8.7265625" style="597"/>
    <col min="4625" max="4625" width="19.453125" style="597" customWidth="1"/>
    <col min="4626" max="4626" width="15.08984375" style="597" customWidth="1"/>
    <col min="4627" max="4627" width="41.26953125" style="597" customWidth="1"/>
    <col min="4628" max="4628" width="17.90625" style="597" customWidth="1"/>
    <col min="4629" max="4629" width="19.90625" style="597" customWidth="1"/>
    <col min="4630" max="4630" width="21.6328125" style="597" customWidth="1"/>
    <col min="4631" max="4631" width="34" style="597" customWidth="1"/>
    <col min="4632" max="4632" width="11" style="597" customWidth="1"/>
    <col min="4633" max="4870" width="8.7265625" style="597"/>
    <col min="4871" max="4871" width="14.36328125" style="597" customWidth="1"/>
    <col min="4872" max="4872" width="22" style="597" customWidth="1"/>
    <col min="4873" max="4873" width="0" style="597" hidden="1" customWidth="1"/>
    <col min="4874" max="4874" width="25.81640625" style="597" customWidth="1"/>
    <col min="4875" max="4879" width="0" style="597" hidden="1" customWidth="1"/>
    <col min="4880" max="4880" width="8.7265625" style="597"/>
    <col min="4881" max="4881" width="19.453125" style="597" customWidth="1"/>
    <col min="4882" max="4882" width="15.08984375" style="597" customWidth="1"/>
    <col min="4883" max="4883" width="41.26953125" style="597" customWidth="1"/>
    <col min="4884" max="4884" width="17.90625" style="597" customWidth="1"/>
    <col min="4885" max="4885" width="19.90625" style="597" customWidth="1"/>
    <col min="4886" max="4886" width="21.6328125" style="597" customWidth="1"/>
    <col min="4887" max="4887" width="34" style="597" customWidth="1"/>
    <col min="4888" max="4888" width="11" style="597" customWidth="1"/>
    <col min="4889" max="5126" width="8.7265625" style="597"/>
    <col min="5127" max="5127" width="14.36328125" style="597" customWidth="1"/>
    <col min="5128" max="5128" width="22" style="597" customWidth="1"/>
    <col min="5129" max="5129" width="0" style="597" hidden="1" customWidth="1"/>
    <col min="5130" max="5130" width="25.81640625" style="597" customWidth="1"/>
    <col min="5131" max="5135" width="0" style="597" hidden="1" customWidth="1"/>
    <col min="5136" max="5136" width="8.7265625" style="597"/>
    <col min="5137" max="5137" width="19.453125" style="597" customWidth="1"/>
    <col min="5138" max="5138" width="15.08984375" style="597" customWidth="1"/>
    <col min="5139" max="5139" width="41.26953125" style="597" customWidth="1"/>
    <col min="5140" max="5140" width="17.90625" style="597" customWidth="1"/>
    <col min="5141" max="5141" width="19.90625" style="597" customWidth="1"/>
    <col min="5142" max="5142" width="21.6328125" style="597" customWidth="1"/>
    <col min="5143" max="5143" width="34" style="597" customWidth="1"/>
    <col min="5144" max="5144" width="11" style="597" customWidth="1"/>
    <col min="5145" max="5382" width="8.7265625" style="597"/>
    <col min="5383" max="5383" width="14.36328125" style="597" customWidth="1"/>
    <col min="5384" max="5384" width="22" style="597" customWidth="1"/>
    <col min="5385" max="5385" width="0" style="597" hidden="1" customWidth="1"/>
    <col min="5386" max="5386" width="25.81640625" style="597" customWidth="1"/>
    <col min="5387" max="5391" width="0" style="597" hidden="1" customWidth="1"/>
    <col min="5392" max="5392" width="8.7265625" style="597"/>
    <col min="5393" max="5393" width="19.453125" style="597" customWidth="1"/>
    <col min="5394" max="5394" width="15.08984375" style="597" customWidth="1"/>
    <col min="5395" max="5395" width="41.26953125" style="597" customWidth="1"/>
    <col min="5396" max="5396" width="17.90625" style="597" customWidth="1"/>
    <col min="5397" max="5397" width="19.90625" style="597" customWidth="1"/>
    <col min="5398" max="5398" width="21.6328125" style="597" customWidth="1"/>
    <col min="5399" max="5399" width="34" style="597" customWidth="1"/>
    <col min="5400" max="5400" width="11" style="597" customWidth="1"/>
    <col min="5401" max="5638" width="8.7265625" style="597"/>
    <col min="5639" max="5639" width="14.36328125" style="597" customWidth="1"/>
    <col min="5640" max="5640" width="22" style="597" customWidth="1"/>
    <col min="5641" max="5641" width="0" style="597" hidden="1" customWidth="1"/>
    <col min="5642" max="5642" width="25.81640625" style="597" customWidth="1"/>
    <col min="5643" max="5647" width="0" style="597" hidden="1" customWidth="1"/>
    <col min="5648" max="5648" width="8.7265625" style="597"/>
    <col min="5649" max="5649" width="19.453125" style="597" customWidth="1"/>
    <col min="5650" max="5650" width="15.08984375" style="597" customWidth="1"/>
    <col min="5651" max="5651" width="41.26953125" style="597" customWidth="1"/>
    <col min="5652" max="5652" width="17.90625" style="597" customWidth="1"/>
    <col min="5653" max="5653" width="19.90625" style="597" customWidth="1"/>
    <col min="5654" max="5654" width="21.6328125" style="597" customWidth="1"/>
    <col min="5655" max="5655" width="34" style="597" customWidth="1"/>
    <col min="5656" max="5656" width="11" style="597" customWidth="1"/>
    <col min="5657" max="5894" width="8.7265625" style="597"/>
    <col min="5895" max="5895" width="14.36328125" style="597" customWidth="1"/>
    <col min="5896" max="5896" width="22" style="597" customWidth="1"/>
    <col min="5897" max="5897" width="0" style="597" hidden="1" customWidth="1"/>
    <col min="5898" max="5898" width="25.81640625" style="597" customWidth="1"/>
    <col min="5899" max="5903" width="0" style="597" hidden="1" customWidth="1"/>
    <col min="5904" max="5904" width="8.7265625" style="597"/>
    <col min="5905" max="5905" width="19.453125" style="597" customWidth="1"/>
    <col min="5906" max="5906" width="15.08984375" style="597" customWidth="1"/>
    <col min="5907" max="5907" width="41.26953125" style="597" customWidth="1"/>
    <col min="5908" max="5908" width="17.90625" style="597" customWidth="1"/>
    <col min="5909" max="5909" width="19.90625" style="597" customWidth="1"/>
    <col min="5910" max="5910" width="21.6328125" style="597" customWidth="1"/>
    <col min="5911" max="5911" width="34" style="597" customWidth="1"/>
    <col min="5912" max="5912" width="11" style="597" customWidth="1"/>
    <col min="5913" max="6150" width="8.7265625" style="597"/>
    <col min="6151" max="6151" width="14.36328125" style="597" customWidth="1"/>
    <col min="6152" max="6152" width="22" style="597" customWidth="1"/>
    <col min="6153" max="6153" width="0" style="597" hidden="1" customWidth="1"/>
    <col min="6154" max="6154" width="25.81640625" style="597" customWidth="1"/>
    <col min="6155" max="6159" width="0" style="597" hidden="1" customWidth="1"/>
    <col min="6160" max="6160" width="8.7265625" style="597"/>
    <col min="6161" max="6161" width="19.453125" style="597" customWidth="1"/>
    <col min="6162" max="6162" width="15.08984375" style="597" customWidth="1"/>
    <col min="6163" max="6163" width="41.26953125" style="597" customWidth="1"/>
    <col min="6164" max="6164" width="17.90625" style="597" customWidth="1"/>
    <col min="6165" max="6165" width="19.90625" style="597" customWidth="1"/>
    <col min="6166" max="6166" width="21.6328125" style="597" customWidth="1"/>
    <col min="6167" max="6167" width="34" style="597" customWidth="1"/>
    <col min="6168" max="6168" width="11" style="597" customWidth="1"/>
    <col min="6169" max="6406" width="8.7265625" style="597"/>
    <col min="6407" max="6407" width="14.36328125" style="597" customWidth="1"/>
    <col min="6408" max="6408" width="22" style="597" customWidth="1"/>
    <col min="6409" max="6409" width="0" style="597" hidden="1" customWidth="1"/>
    <col min="6410" max="6410" width="25.81640625" style="597" customWidth="1"/>
    <col min="6411" max="6415" width="0" style="597" hidden="1" customWidth="1"/>
    <col min="6416" max="6416" width="8.7265625" style="597"/>
    <col min="6417" max="6417" width="19.453125" style="597" customWidth="1"/>
    <col min="6418" max="6418" width="15.08984375" style="597" customWidth="1"/>
    <col min="6419" max="6419" width="41.26953125" style="597" customWidth="1"/>
    <col min="6420" max="6420" width="17.90625" style="597" customWidth="1"/>
    <col min="6421" max="6421" width="19.90625" style="597" customWidth="1"/>
    <col min="6422" max="6422" width="21.6328125" style="597" customWidth="1"/>
    <col min="6423" max="6423" width="34" style="597" customWidth="1"/>
    <col min="6424" max="6424" width="11" style="597" customWidth="1"/>
    <col min="6425" max="6662" width="8.7265625" style="597"/>
    <col min="6663" max="6663" width="14.36328125" style="597" customWidth="1"/>
    <col min="6664" max="6664" width="22" style="597" customWidth="1"/>
    <col min="6665" max="6665" width="0" style="597" hidden="1" customWidth="1"/>
    <col min="6666" max="6666" width="25.81640625" style="597" customWidth="1"/>
    <col min="6667" max="6671" width="0" style="597" hidden="1" customWidth="1"/>
    <col min="6672" max="6672" width="8.7265625" style="597"/>
    <col min="6673" max="6673" width="19.453125" style="597" customWidth="1"/>
    <col min="6674" max="6674" width="15.08984375" style="597" customWidth="1"/>
    <col min="6675" max="6675" width="41.26953125" style="597" customWidth="1"/>
    <col min="6676" max="6676" width="17.90625" style="597" customWidth="1"/>
    <col min="6677" max="6677" width="19.90625" style="597" customWidth="1"/>
    <col min="6678" max="6678" width="21.6328125" style="597" customWidth="1"/>
    <col min="6679" max="6679" width="34" style="597" customWidth="1"/>
    <col min="6680" max="6680" width="11" style="597" customWidth="1"/>
    <col min="6681" max="6918" width="8.7265625" style="597"/>
    <col min="6919" max="6919" width="14.36328125" style="597" customWidth="1"/>
    <col min="6920" max="6920" width="22" style="597" customWidth="1"/>
    <col min="6921" max="6921" width="0" style="597" hidden="1" customWidth="1"/>
    <col min="6922" max="6922" width="25.81640625" style="597" customWidth="1"/>
    <col min="6923" max="6927" width="0" style="597" hidden="1" customWidth="1"/>
    <col min="6928" max="6928" width="8.7265625" style="597"/>
    <col min="6929" max="6929" width="19.453125" style="597" customWidth="1"/>
    <col min="6930" max="6930" width="15.08984375" style="597" customWidth="1"/>
    <col min="6931" max="6931" width="41.26953125" style="597" customWidth="1"/>
    <col min="6932" max="6932" width="17.90625" style="597" customWidth="1"/>
    <col min="6933" max="6933" width="19.90625" style="597" customWidth="1"/>
    <col min="6934" max="6934" width="21.6328125" style="597" customWidth="1"/>
    <col min="6935" max="6935" width="34" style="597" customWidth="1"/>
    <col min="6936" max="6936" width="11" style="597" customWidth="1"/>
    <col min="6937" max="7174" width="8.7265625" style="597"/>
    <col min="7175" max="7175" width="14.36328125" style="597" customWidth="1"/>
    <col min="7176" max="7176" width="22" style="597" customWidth="1"/>
    <col min="7177" max="7177" width="0" style="597" hidden="1" customWidth="1"/>
    <col min="7178" max="7178" width="25.81640625" style="597" customWidth="1"/>
    <col min="7179" max="7183" width="0" style="597" hidden="1" customWidth="1"/>
    <col min="7184" max="7184" width="8.7265625" style="597"/>
    <col min="7185" max="7185" width="19.453125" style="597" customWidth="1"/>
    <col min="7186" max="7186" width="15.08984375" style="597" customWidth="1"/>
    <col min="7187" max="7187" width="41.26953125" style="597" customWidth="1"/>
    <col min="7188" max="7188" width="17.90625" style="597" customWidth="1"/>
    <col min="7189" max="7189" width="19.90625" style="597" customWidth="1"/>
    <col min="7190" max="7190" width="21.6328125" style="597" customWidth="1"/>
    <col min="7191" max="7191" width="34" style="597" customWidth="1"/>
    <col min="7192" max="7192" width="11" style="597" customWidth="1"/>
    <col min="7193" max="7430" width="8.7265625" style="597"/>
    <col min="7431" max="7431" width="14.36328125" style="597" customWidth="1"/>
    <col min="7432" max="7432" width="22" style="597" customWidth="1"/>
    <col min="7433" max="7433" width="0" style="597" hidden="1" customWidth="1"/>
    <col min="7434" max="7434" width="25.81640625" style="597" customWidth="1"/>
    <col min="7435" max="7439" width="0" style="597" hidden="1" customWidth="1"/>
    <col min="7440" max="7440" width="8.7265625" style="597"/>
    <col min="7441" max="7441" width="19.453125" style="597" customWidth="1"/>
    <col min="7442" max="7442" width="15.08984375" style="597" customWidth="1"/>
    <col min="7443" max="7443" width="41.26953125" style="597" customWidth="1"/>
    <col min="7444" max="7444" width="17.90625" style="597" customWidth="1"/>
    <col min="7445" max="7445" width="19.90625" style="597" customWidth="1"/>
    <col min="7446" max="7446" width="21.6328125" style="597" customWidth="1"/>
    <col min="7447" max="7447" width="34" style="597" customWidth="1"/>
    <col min="7448" max="7448" width="11" style="597" customWidth="1"/>
    <col min="7449" max="7686" width="8.7265625" style="597"/>
    <col min="7687" max="7687" width="14.36328125" style="597" customWidth="1"/>
    <col min="7688" max="7688" width="22" style="597" customWidth="1"/>
    <col min="7689" max="7689" width="0" style="597" hidden="1" customWidth="1"/>
    <col min="7690" max="7690" width="25.81640625" style="597" customWidth="1"/>
    <col min="7691" max="7695" width="0" style="597" hidden="1" customWidth="1"/>
    <col min="7696" max="7696" width="8.7265625" style="597"/>
    <col min="7697" max="7697" width="19.453125" style="597" customWidth="1"/>
    <col min="7698" max="7698" width="15.08984375" style="597" customWidth="1"/>
    <col min="7699" max="7699" width="41.26953125" style="597" customWidth="1"/>
    <col min="7700" max="7700" width="17.90625" style="597" customWidth="1"/>
    <col min="7701" max="7701" width="19.90625" style="597" customWidth="1"/>
    <col min="7702" max="7702" width="21.6328125" style="597" customWidth="1"/>
    <col min="7703" max="7703" width="34" style="597" customWidth="1"/>
    <col min="7704" max="7704" width="11" style="597" customWidth="1"/>
    <col min="7705" max="7942" width="8.7265625" style="597"/>
    <col min="7943" max="7943" width="14.36328125" style="597" customWidth="1"/>
    <col min="7944" max="7944" width="22" style="597" customWidth="1"/>
    <col min="7945" max="7945" width="0" style="597" hidden="1" customWidth="1"/>
    <col min="7946" max="7946" width="25.81640625" style="597" customWidth="1"/>
    <col min="7947" max="7951" width="0" style="597" hidden="1" customWidth="1"/>
    <col min="7952" max="7952" width="8.7265625" style="597"/>
    <col min="7953" max="7953" width="19.453125" style="597" customWidth="1"/>
    <col min="7954" max="7954" width="15.08984375" style="597" customWidth="1"/>
    <col min="7955" max="7955" width="41.26953125" style="597" customWidth="1"/>
    <col min="7956" max="7956" width="17.90625" style="597" customWidth="1"/>
    <col min="7957" max="7957" width="19.90625" style="597" customWidth="1"/>
    <col min="7958" max="7958" width="21.6328125" style="597" customWidth="1"/>
    <col min="7959" max="7959" width="34" style="597" customWidth="1"/>
    <col min="7960" max="7960" width="11" style="597" customWidth="1"/>
    <col min="7961" max="8198" width="8.7265625" style="597"/>
    <col min="8199" max="8199" width="14.36328125" style="597" customWidth="1"/>
    <col min="8200" max="8200" width="22" style="597" customWidth="1"/>
    <col min="8201" max="8201" width="0" style="597" hidden="1" customWidth="1"/>
    <col min="8202" max="8202" width="25.81640625" style="597" customWidth="1"/>
    <col min="8203" max="8207" width="0" style="597" hidden="1" customWidth="1"/>
    <col min="8208" max="8208" width="8.7265625" style="597"/>
    <col min="8209" max="8209" width="19.453125" style="597" customWidth="1"/>
    <col min="8210" max="8210" width="15.08984375" style="597" customWidth="1"/>
    <col min="8211" max="8211" width="41.26953125" style="597" customWidth="1"/>
    <col min="8212" max="8212" width="17.90625" style="597" customWidth="1"/>
    <col min="8213" max="8213" width="19.90625" style="597" customWidth="1"/>
    <col min="8214" max="8214" width="21.6328125" style="597" customWidth="1"/>
    <col min="8215" max="8215" width="34" style="597" customWidth="1"/>
    <col min="8216" max="8216" width="11" style="597" customWidth="1"/>
    <col min="8217" max="8454" width="8.7265625" style="597"/>
    <col min="8455" max="8455" width="14.36328125" style="597" customWidth="1"/>
    <col min="8456" max="8456" width="22" style="597" customWidth="1"/>
    <col min="8457" max="8457" width="0" style="597" hidden="1" customWidth="1"/>
    <col min="8458" max="8458" width="25.81640625" style="597" customWidth="1"/>
    <col min="8459" max="8463" width="0" style="597" hidden="1" customWidth="1"/>
    <col min="8464" max="8464" width="8.7265625" style="597"/>
    <col min="8465" max="8465" width="19.453125" style="597" customWidth="1"/>
    <col min="8466" max="8466" width="15.08984375" style="597" customWidth="1"/>
    <col min="8467" max="8467" width="41.26953125" style="597" customWidth="1"/>
    <col min="8468" max="8468" width="17.90625" style="597" customWidth="1"/>
    <col min="8469" max="8469" width="19.90625" style="597" customWidth="1"/>
    <col min="8470" max="8470" width="21.6328125" style="597" customWidth="1"/>
    <col min="8471" max="8471" width="34" style="597" customWidth="1"/>
    <col min="8472" max="8472" width="11" style="597" customWidth="1"/>
    <col min="8473" max="8710" width="8.7265625" style="597"/>
    <col min="8711" max="8711" width="14.36328125" style="597" customWidth="1"/>
    <col min="8712" max="8712" width="22" style="597" customWidth="1"/>
    <col min="8713" max="8713" width="0" style="597" hidden="1" customWidth="1"/>
    <col min="8714" max="8714" width="25.81640625" style="597" customWidth="1"/>
    <col min="8715" max="8719" width="0" style="597" hidden="1" customWidth="1"/>
    <col min="8720" max="8720" width="8.7265625" style="597"/>
    <col min="8721" max="8721" width="19.453125" style="597" customWidth="1"/>
    <col min="8722" max="8722" width="15.08984375" style="597" customWidth="1"/>
    <col min="8723" max="8723" width="41.26953125" style="597" customWidth="1"/>
    <col min="8724" max="8724" width="17.90625" style="597" customWidth="1"/>
    <col min="8725" max="8725" width="19.90625" style="597" customWidth="1"/>
    <col min="8726" max="8726" width="21.6328125" style="597" customWidth="1"/>
    <col min="8727" max="8727" width="34" style="597" customWidth="1"/>
    <col min="8728" max="8728" width="11" style="597" customWidth="1"/>
    <col min="8729" max="8966" width="8.7265625" style="597"/>
    <col min="8967" max="8967" width="14.36328125" style="597" customWidth="1"/>
    <col min="8968" max="8968" width="22" style="597" customWidth="1"/>
    <col min="8969" max="8969" width="0" style="597" hidden="1" customWidth="1"/>
    <col min="8970" max="8970" width="25.81640625" style="597" customWidth="1"/>
    <col min="8971" max="8975" width="0" style="597" hidden="1" customWidth="1"/>
    <col min="8976" max="8976" width="8.7265625" style="597"/>
    <col min="8977" max="8977" width="19.453125" style="597" customWidth="1"/>
    <col min="8978" max="8978" width="15.08984375" style="597" customWidth="1"/>
    <col min="8979" max="8979" width="41.26953125" style="597" customWidth="1"/>
    <col min="8980" max="8980" width="17.90625" style="597" customWidth="1"/>
    <col min="8981" max="8981" width="19.90625" style="597" customWidth="1"/>
    <col min="8982" max="8982" width="21.6328125" style="597" customWidth="1"/>
    <col min="8983" max="8983" width="34" style="597" customWidth="1"/>
    <col min="8984" max="8984" width="11" style="597" customWidth="1"/>
    <col min="8985" max="9222" width="8.7265625" style="597"/>
    <col min="9223" max="9223" width="14.36328125" style="597" customWidth="1"/>
    <col min="9224" max="9224" width="22" style="597" customWidth="1"/>
    <col min="9225" max="9225" width="0" style="597" hidden="1" customWidth="1"/>
    <col min="9226" max="9226" width="25.81640625" style="597" customWidth="1"/>
    <col min="9227" max="9231" width="0" style="597" hidden="1" customWidth="1"/>
    <col min="9232" max="9232" width="8.7265625" style="597"/>
    <col min="9233" max="9233" width="19.453125" style="597" customWidth="1"/>
    <col min="9234" max="9234" width="15.08984375" style="597" customWidth="1"/>
    <col min="9235" max="9235" width="41.26953125" style="597" customWidth="1"/>
    <col min="9236" max="9236" width="17.90625" style="597" customWidth="1"/>
    <col min="9237" max="9237" width="19.90625" style="597" customWidth="1"/>
    <col min="9238" max="9238" width="21.6328125" style="597" customWidth="1"/>
    <col min="9239" max="9239" width="34" style="597" customWidth="1"/>
    <col min="9240" max="9240" width="11" style="597" customWidth="1"/>
    <col min="9241" max="9478" width="8.7265625" style="597"/>
    <col min="9479" max="9479" width="14.36328125" style="597" customWidth="1"/>
    <col min="9480" max="9480" width="22" style="597" customWidth="1"/>
    <col min="9481" max="9481" width="0" style="597" hidden="1" customWidth="1"/>
    <col min="9482" max="9482" width="25.81640625" style="597" customWidth="1"/>
    <col min="9483" max="9487" width="0" style="597" hidden="1" customWidth="1"/>
    <col min="9488" max="9488" width="8.7265625" style="597"/>
    <col min="9489" max="9489" width="19.453125" style="597" customWidth="1"/>
    <col min="9490" max="9490" width="15.08984375" style="597" customWidth="1"/>
    <col min="9491" max="9491" width="41.26953125" style="597" customWidth="1"/>
    <col min="9492" max="9492" width="17.90625" style="597" customWidth="1"/>
    <col min="9493" max="9493" width="19.90625" style="597" customWidth="1"/>
    <col min="9494" max="9494" width="21.6328125" style="597" customWidth="1"/>
    <col min="9495" max="9495" width="34" style="597" customWidth="1"/>
    <col min="9496" max="9496" width="11" style="597" customWidth="1"/>
    <col min="9497" max="9734" width="8.7265625" style="597"/>
    <col min="9735" max="9735" width="14.36328125" style="597" customWidth="1"/>
    <col min="9736" max="9736" width="22" style="597" customWidth="1"/>
    <col min="9737" max="9737" width="0" style="597" hidden="1" customWidth="1"/>
    <col min="9738" max="9738" width="25.81640625" style="597" customWidth="1"/>
    <col min="9739" max="9743" width="0" style="597" hidden="1" customWidth="1"/>
    <col min="9744" max="9744" width="8.7265625" style="597"/>
    <col min="9745" max="9745" width="19.453125" style="597" customWidth="1"/>
    <col min="9746" max="9746" width="15.08984375" style="597" customWidth="1"/>
    <col min="9747" max="9747" width="41.26953125" style="597" customWidth="1"/>
    <col min="9748" max="9748" width="17.90625" style="597" customWidth="1"/>
    <col min="9749" max="9749" width="19.90625" style="597" customWidth="1"/>
    <col min="9750" max="9750" width="21.6328125" style="597" customWidth="1"/>
    <col min="9751" max="9751" width="34" style="597" customWidth="1"/>
    <col min="9752" max="9752" width="11" style="597" customWidth="1"/>
    <col min="9753" max="9990" width="8.7265625" style="597"/>
    <col min="9991" max="9991" width="14.36328125" style="597" customWidth="1"/>
    <col min="9992" max="9992" width="22" style="597" customWidth="1"/>
    <col min="9993" max="9993" width="0" style="597" hidden="1" customWidth="1"/>
    <col min="9994" max="9994" width="25.81640625" style="597" customWidth="1"/>
    <col min="9995" max="9999" width="0" style="597" hidden="1" customWidth="1"/>
    <col min="10000" max="10000" width="8.7265625" style="597"/>
    <col min="10001" max="10001" width="19.453125" style="597" customWidth="1"/>
    <col min="10002" max="10002" width="15.08984375" style="597" customWidth="1"/>
    <col min="10003" max="10003" width="41.26953125" style="597" customWidth="1"/>
    <col min="10004" max="10004" width="17.90625" style="597" customWidth="1"/>
    <col min="10005" max="10005" width="19.90625" style="597" customWidth="1"/>
    <col min="10006" max="10006" width="21.6328125" style="597" customWidth="1"/>
    <col min="10007" max="10007" width="34" style="597" customWidth="1"/>
    <col min="10008" max="10008" width="11" style="597" customWidth="1"/>
    <col min="10009" max="10246" width="8.7265625" style="597"/>
    <col min="10247" max="10247" width="14.36328125" style="597" customWidth="1"/>
    <col min="10248" max="10248" width="22" style="597" customWidth="1"/>
    <col min="10249" max="10249" width="0" style="597" hidden="1" customWidth="1"/>
    <col min="10250" max="10250" width="25.81640625" style="597" customWidth="1"/>
    <col min="10251" max="10255" width="0" style="597" hidden="1" customWidth="1"/>
    <col min="10256" max="10256" width="8.7265625" style="597"/>
    <col min="10257" max="10257" width="19.453125" style="597" customWidth="1"/>
    <col min="10258" max="10258" width="15.08984375" style="597" customWidth="1"/>
    <col min="10259" max="10259" width="41.26953125" style="597" customWidth="1"/>
    <col min="10260" max="10260" width="17.90625" style="597" customWidth="1"/>
    <col min="10261" max="10261" width="19.90625" style="597" customWidth="1"/>
    <col min="10262" max="10262" width="21.6328125" style="597" customWidth="1"/>
    <col min="10263" max="10263" width="34" style="597" customWidth="1"/>
    <col min="10264" max="10264" width="11" style="597" customWidth="1"/>
    <col min="10265" max="10502" width="8.7265625" style="597"/>
    <col min="10503" max="10503" width="14.36328125" style="597" customWidth="1"/>
    <col min="10504" max="10504" width="22" style="597" customWidth="1"/>
    <col min="10505" max="10505" width="0" style="597" hidden="1" customWidth="1"/>
    <col min="10506" max="10506" width="25.81640625" style="597" customWidth="1"/>
    <col min="10507" max="10511" width="0" style="597" hidden="1" customWidth="1"/>
    <col min="10512" max="10512" width="8.7265625" style="597"/>
    <col min="10513" max="10513" width="19.453125" style="597" customWidth="1"/>
    <col min="10514" max="10514" width="15.08984375" style="597" customWidth="1"/>
    <col min="10515" max="10515" width="41.26953125" style="597" customWidth="1"/>
    <col min="10516" max="10516" width="17.90625" style="597" customWidth="1"/>
    <col min="10517" max="10517" width="19.90625" style="597" customWidth="1"/>
    <col min="10518" max="10518" width="21.6328125" style="597" customWidth="1"/>
    <col min="10519" max="10519" width="34" style="597" customWidth="1"/>
    <col min="10520" max="10520" width="11" style="597" customWidth="1"/>
    <col min="10521" max="10758" width="8.7265625" style="597"/>
    <col min="10759" max="10759" width="14.36328125" style="597" customWidth="1"/>
    <col min="10760" max="10760" width="22" style="597" customWidth="1"/>
    <col min="10761" max="10761" width="0" style="597" hidden="1" customWidth="1"/>
    <col min="10762" max="10762" width="25.81640625" style="597" customWidth="1"/>
    <col min="10763" max="10767" width="0" style="597" hidden="1" customWidth="1"/>
    <col min="10768" max="10768" width="8.7265625" style="597"/>
    <col min="10769" max="10769" width="19.453125" style="597" customWidth="1"/>
    <col min="10770" max="10770" width="15.08984375" style="597" customWidth="1"/>
    <col min="10771" max="10771" width="41.26953125" style="597" customWidth="1"/>
    <col min="10772" max="10772" width="17.90625" style="597" customWidth="1"/>
    <col min="10773" max="10773" width="19.90625" style="597" customWidth="1"/>
    <col min="10774" max="10774" width="21.6328125" style="597" customWidth="1"/>
    <col min="10775" max="10775" width="34" style="597" customWidth="1"/>
    <col min="10776" max="10776" width="11" style="597" customWidth="1"/>
    <col min="10777" max="11014" width="8.7265625" style="597"/>
    <col min="11015" max="11015" width="14.36328125" style="597" customWidth="1"/>
    <col min="11016" max="11016" width="22" style="597" customWidth="1"/>
    <col min="11017" max="11017" width="0" style="597" hidden="1" customWidth="1"/>
    <col min="11018" max="11018" width="25.81640625" style="597" customWidth="1"/>
    <col min="11019" max="11023" width="0" style="597" hidden="1" customWidth="1"/>
    <col min="11024" max="11024" width="8.7265625" style="597"/>
    <col min="11025" max="11025" width="19.453125" style="597" customWidth="1"/>
    <col min="11026" max="11026" width="15.08984375" style="597" customWidth="1"/>
    <col min="11027" max="11027" width="41.26953125" style="597" customWidth="1"/>
    <col min="11028" max="11028" width="17.90625" style="597" customWidth="1"/>
    <col min="11029" max="11029" width="19.90625" style="597" customWidth="1"/>
    <col min="11030" max="11030" width="21.6328125" style="597" customWidth="1"/>
    <col min="11031" max="11031" width="34" style="597" customWidth="1"/>
    <col min="11032" max="11032" width="11" style="597" customWidth="1"/>
    <col min="11033" max="11270" width="8.7265625" style="597"/>
    <col min="11271" max="11271" width="14.36328125" style="597" customWidth="1"/>
    <col min="11272" max="11272" width="22" style="597" customWidth="1"/>
    <col min="11273" max="11273" width="0" style="597" hidden="1" customWidth="1"/>
    <col min="11274" max="11274" width="25.81640625" style="597" customWidth="1"/>
    <col min="11275" max="11279" width="0" style="597" hidden="1" customWidth="1"/>
    <col min="11280" max="11280" width="8.7265625" style="597"/>
    <col min="11281" max="11281" width="19.453125" style="597" customWidth="1"/>
    <col min="11282" max="11282" width="15.08984375" style="597" customWidth="1"/>
    <col min="11283" max="11283" width="41.26953125" style="597" customWidth="1"/>
    <col min="11284" max="11284" width="17.90625" style="597" customWidth="1"/>
    <col min="11285" max="11285" width="19.90625" style="597" customWidth="1"/>
    <col min="11286" max="11286" width="21.6328125" style="597" customWidth="1"/>
    <col min="11287" max="11287" width="34" style="597" customWidth="1"/>
    <col min="11288" max="11288" width="11" style="597" customWidth="1"/>
    <col min="11289" max="11526" width="8.7265625" style="597"/>
    <col min="11527" max="11527" width="14.36328125" style="597" customWidth="1"/>
    <col min="11528" max="11528" width="22" style="597" customWidth="1"/>
    <col min="11529" max="11529" width="0" style="597" hidden="1" customWidth="1"/>
    <col min="11530" max="11530" width="25.81640625" style="597" customWidth="1"/>
    <col min="11531" max="11535" width="0" style="597" hidden="1" customWidth="1"/>
    <col min="11536" max="11536" width="8.7265625" style="597"/>
    <col min="11537" max="11537" width="19.453125" style="597" customWidth="1"/>
    <col min="11538" max="11538" width="15.08984375" style="597" customWidth="1"/>
    <col min="11539" max="11539" width="41.26953125" style="597" customWidth="1"/>
    <col min="11540" max="11540" width="17.90625" style="597" customWidth="1"/>
    <col min="11541" max="11541" width="19.90625" style="597" customWidth="1"/>
    <col min="11542" max="11542" width="21.6328125" style="597" customWidth="1"/>
    <col min="11543" max="11543" width="34" style="597" customWidth="1"/>
    <col min="11544" max="11544" width="11" style="597" customWidth="1"/>
    <col min="11545" max="11782" width="8.7265625" style="597"/>
    <col min="11783" max="11783" width="14.36328125" style="597" customWidth="1"/>
    <col min="11784" max="11784" width="22" style="597" customWidth="1"/>
    <col min="11785" max="11785" width="0" style="597" hidden="1" customWidth="1"/>
    <col min="11786" max="11786" width="25.81640625" style="597" customWidth="1"/>
    <col min="11787" max="11791" width="0" style="597" hidden="1" customWidth="1"/>
    <col min="11792" max="11792" width="8.7265625" style="597"/>
    <col min="11793" max="11793" width="19.453125" style="597" customWidth="1"/>
    <col min="11794" max="11794" width="15.08984375" style="597" customWidth="1"/>
    <col min="11795" max="11795" width="41.26953125" style="597" customWidth="1"/>
    <col min="11796" max="11796" width="17.90625" style="597" customWidth="1"/>
    <col min="11797" max="11797" width="19.90625" style="597" customWidth="1"/>
    <col min="11798" max="11798" width="21.6328125" style="597" customWidth="1"/>
    <col min="11799" max="11799" width="34" style="597" customWidth="1"/>
    <col min="11800" max="11800" width="11" style="597" customWidth="1"/>
    <col min="11801" max="12038" width="8.7265625" style="597"/>
    <col min="12039" max="12039" width="14.36328125" style="597" customWidth="1"/>
    <col min="12040" max="12040" width="22" style="597" customWidth="1"/>
    <col min="12041" max="12041" width="0" style="597" hidden="1" customWidth="1"/>
    <col min="12042" max="12042" width="25.81640625" style="597" customWidth="1"/>
    <col min="12043" max="12047" width="0" style="597" hidden="1" customWidth="1"/>
    <col min="12048" max="12048" width="8.7265625" style="597"/>
    <col min="12049" max="12049" width="19.453125" style="597" customWidth="1"/>
    <col min="12050" max="12050" width="15.08984375" style="597" customWidth="1"/>
    <col min="12051" max="12051" width="41.26953125" style="597" customWidth="1"/>
    <col min="12052" max="12052" width="17.90625" style="597" customWidth="1"/>
    <col min="12053" max="12053" width="19.90625" style="597" customWidth="1"/>
    <col min="12054" max="12054" width="21.6328125" style="597" customWidth="1"/>
    <col min="12055" max="12055" width="34" style="597" customWidth="1"/>
    <col min="12056" max="12056" width="11" style="597" customWidth="1"/>
    <col min="12057" max="12294" width="8.7265625" style="597"/>
    <col min="12295" max="12295" width="14.36328125" style="597" customWidth="1"/>
    <col min="12296" max="12296" width="22" style="597" customWidth="1"/>
    <col min="12297" max="12297" width="0" style="597" hidden="1" customWidth="1"/>
    <col min="12298" max="12298" width="25.81640625" style="597" customWidth="1"/>
    <col min="12299" max="12303" width="0" style="597" hidden="1" customWidth="1"/>
    <col min="12304" max="12304" width="8.7265625" style="597"/>
    <col min="12305" max="12305" width="19.453125" style="597" customWidth="1"/>
    <col min="12306" max="12306" width="15.08984375" style="597" customWidth="1"/>
    <col min="12307" max="12307" width="41.26953125" style="597" customWidth="1"/>
    <col min="12308" max="12308" width="17.90625" style="597" customWidth="1"/>
    <col min="12309" max="12309" width="19.90625" style="597" customWidth="1"/>
    <col min="12310" max="12310" width="21.6328125" style="597" customWidth="1"/>
    <col min="12311" max="12311" width="34" style="597" customWidth="1"/>
    <col min="12312" max="12312" width="11" style="597" customWidth="1"/>
    <col min="12313" max="12550" width="8.7265625" style="597"/>
    <col min="12551" max="12551" width="14.36328125" style="597" customWidth="1"/>
    <col min="12552" max="12552" width="22" style="597" customWidth="1"/>
    <col min="12553" max="12553" width="0" style="597" hidden="1" customWidth="1"/>
    <col min="12554" max="12554" width="25.81640625" style="597" customWidth="1"/>
    <col min="12555" max="12559" width="0" style="597" hidden="1" customWidth="1"/>
    <col min="12560" max="12560" width="8.7265625" style="597"/>
    <col min="12561" max="12561" width="19.453125" style="597" customWidth="1"/>
    <col min="12562" max="12562" width="15.08984375" style="597" customWidth="1"/>
    <col min="12563" max="12563" width="41.26953125" style="597" customWidth="1"/>
    <col min="12564" max="12564" width="17.90625" style="597" customWidth="1"/>
    <col min="12565" max="12565" width="19.90625" style="597" customWidth="1"/>
    <col min="12566" max="12566" width="21.6328125" style="597" customWidth="1"/>
    <col min="12567" max="12567" width="34" style="597" customWidth="1"/>
    <col min="12568" max="12568" width="11" style="597" customWidth="1"/>
    <col min="12569" max="12806" width="8.7265625" style="597"/>
    <col min="12807" max="12807" width="14.36328125" style="597" customWidth="1"/>
    <col min="12808" max="12808" width="22" style="597" customWidth="1"/>
    <col min="12809" max="12809" width="0" style="597" hidden="1" customWidth="1"/>
    <col min="12810" max="12810" width="25.81640625" style="597" customWidth="1"/>
    <col min="12811" max="12815" width="0" style="597" hidden="1" customWidth="1"/>
    <col min="12816" max="12816" width="8.7265625" style="597"/>
    <col min="12817" max="12817" width="19.453125" style="597" customWidth="1"/>
    <col min="12818" max="12818" width="15.08984375" style="597" customWidth="1"/>
    <col min="12819" max="12819" width="41.26953125" style="597" customWidth="1"/>
    <col min="12820" max="12820" width="17.90625" style="597" customWidth="1"/>
    <col min="12821" max="12821" width="19.90625" style="597" customWidth="1"/>
    <col min="12822" max="12822" width="21.6328125" style="597" customWidth="1"/>
    <col min="12823" max="12823" width="34" style="597" customWidth="1"/>
    <col min="12824" max="12824" width="11" style="597" customWidth="1"/>
    <col min="12825" max="13062" width="8.7265625" style="597"/>
    <col min="13063" max="13063" width="14.36328125" style="597" customWidth="1"/>
    <col min="13064" max="13064" width="22" style="597" customWidth="1"/>
    <col min="13065" max="13065" width="0" style="597" hidden="1" customWidth="1"/>
    <col min="13066" max="13066" width="25.81640625" style="597" customWidth="1"/>
    <col min="13067" max="13071" width="0" style="597" hidden="1" customWidth="1"/>
    <col min="13072" max="13072" width="8.7265625" style="597"/>
    <col min="13073" max="13073" width="19.453125" style="597" customWidth="1"/>
    <col min="13074" max="13074" width="15.08984375" style="597" customWidth="1"/>
    <col min="13075" max="13075" width="41.26953125" style="597" customWidth="1"/>
    <col min="13076" max="13076" width="17.90625" style="597" customWidth="1"/>
    <col min="13077" max="13077" width="19.90625" style="597" customWidth="1"/>
    <col min="13078" max="13078" width="21.6328125" style="597" customWidth="1"/>
    <col min="13079" max="13079" width="34" style="597" customWidth="1"/>
    <col min="13080" max="13080" width="11" style="597" customWidth="1"/>
    <col min="13081" max="13318" width="8.7265625" style="597"/>
    <col min="13319" max="13319" width="14.36328125" style="597" customWidth="1"/>
    <col min="13320" max="13320" width="22" style="597" customWidth="1"/>
    <col min="13321" max="13321" width="0" style="597" hidden="1" customWidth="1"/>
    <col min="13322" max="13322" width="25.81640625" style="597" customWidth="1"/>
    <col min="13323" max="13327" width="0" style="597" hidden="1" customWidth="1"/>
    <col min="13328" max="13328" width="8.7265625" style="597"/>
    <col min="13329" max="13329" width="19.453125" style="597" customWidth="1"/>
    <col min="13330" max="13330" width="15.08984375" style="597" customWidth="1"/>
    <col min="13331" max="13331" width="41.26953125" style="597" customWidth="1"/>
    <col min="13332" max="13332" width="17.90625" style="597" customWidth="1"/>
    <col min="13333" max="13333" width="19.90625" style="597" customWidth="1"/>
    <col min="13334" max="13334" width="21.6328125" style="597" customWidth="1"/>
    <col min="13335" max="13335" width="34" style="597" customWidth="1"/>
    <col min="13336" max="13336" width="11" style="597" customWidth="1"/>
    <col min="13337" max="13574" width="8.7265625" style="597"/>
    <col min="13575" max="13575" width="14.36328125" style="597" customWidth="1"/>
    <col min="13576" max="13576" width="22" style="597" customWidth="1"/>
    <col min="13577" max="13577" width="0" style="597" hidden="1" customWidth="1"/>
    <col min="13578" max="13578" width="25.81640625" style="597" customWidth="1"/>
    <col min="13579" max="13583" width="0" style="597" hidden="1" customWidth="1"/>
    <col min="13584" max="13584" width="8.7265625" style="597"/>
    <col min="13585" max="13585" width="19.453125" style="597" customWidth="1"/>
    <col min="13586" max="13586" width="15.08984375" style="597" customWidth="1"/>
    <col min="13587" max="13587" width="41.26953125" style="597" customWidth="1"/>
    <col min="13588" max="13588" width="17.90625" style="597" customWidth="1"/>
    <col min="13589" max="13589" width="19.90625" style="597" customWidth="1"/>
    <col min="13590" max="13590" width="21.6328125" style="597" customWidth="1"/>
    <col min="13591" max="13591" width="34" style="597" customWidth="1"/>
    <col min="13592" max="13592" width="11" style="597" customWidth="1"/>
    <col min="13593" max="13830" width="8.7265625" style="597"/>
    <col min="13831" max="13831" width="14.36328125" style="597" customWidth="1"/>
    <col min="13832" max="13832" width="22" style="597" customWidth="1"/>
    <col min="13833" max="13833" width="0" style="597" hidden="1" customWidth="1"/>
    <col min="13834" max="13834" width="25.81640625" style="597" customWidth="1"/>
    <col min="13835" max="13839" width="0" style="597" hidden="1" customWidth="1"/>
    <col min="13840" max="13840" width="8.7265625" style="597"/>
    <col min="13841" max="13841" width="19.453125" style="597" customWidth="1"/>
    <col min="13842" max="13842" width="15.08984375" style="597" customWidth="1"/>
    <col min="13843" max="13843" width="41.26953125" style="597" customWidth="1"/>
    <col min="13844" max="13844" width="17.90625" style="597" customWidth="1"/>
    <col min="13845" max="13845" width="19.90625" style="597" customWidth="1"/>
    <col min="13846" max="13846" width="21.6328125" style="597" customWidth="1"/>
    <col min="13847" max="13847" width="34" style="597" customWidth="1"/>
    <col min="13848" max="13848" width="11" style="597" customWidth="1"/>
    <col min="13849" max="14086" width="8.7265625" style="597"/>
    <col min="14087" max="14087" width="14.36328125" style="597" customWidth="1"/>
    <col min="14088" max="14088" width="22" style="597" customWidth="1"/>
    <col min="14089" max="14089" width="0" style="597" hidden="1" customWidth="1"/>
    <col min="14090" max="14090" width="25.81640625" style="597" customWidth="1"/>
    <col min="14091" max="14095" width="0" style="597" hidden="1" customWidth="1"/>
    <col min="14096" max="14096" width="8.7265625" style="597"/>
    <col min="14097" max="14097" width="19.453125" style="597" customWidth="1"/>
    <col min="14098" max="14098" width="15.08984375" style="597" customWidth="1"/>
    <col min="14099" max="14099" width="41.26953125" style="597" customWidth="1"/>
    <col min="14100" max="14100" width="17.90625" style="597" customWidth="1"/>
    <col min="14101" max="14101" width="19.90625" style="597" customWidth="1"/>
    <col min="14102" max="14102" width="21.6328125" style="597" customWidth="1"/>
    <col min="14103" max="14103" width="34" style="597" customWidth="1"/>
    <col min="14104" max="14104" width="11" style="597" customWidth="1"/>
    <col min="14105" max="14342" width="8.7265625" style="597"/>
    <col min="14343" max="14343" width="14.36328125" style="597" customWidth="1"/>
    <col min="14344" max="14344" width="22" style="597" customWidth="1"/>
    <col min="14345" max="14345" width="0" style="597" hidden="1" customWidth="1"/>
    <col min="14346" max="14346" width="25.81640625" style="597" customWidth="1"/>
    <col min="14347" max="14351" width="0" style="597" hidden="1" customWidth="1"/>
    <col min="14352" max="14352" width="8.7265625" style="597"/>
    <col min="14353" max="14353" width="19.453125" style="597" customWidth="1"/>
    <col min="14354" max="14354" width="15.08984375" style="597" customWidth="1"/>
    <col min="14355" max="14355" width="41.26953125" style="597" customWidth="1"/>
    <col min="14356" max="14356" width="17.90625" style="597" customWidth="1"/>
    <col min="14357" max="14357" width="19.90625" style="597" customWidth="1"/>
    <col min="14358" max="14358" width="21.6328125" style="597" customWidth="1"/>
    <col min="14359" max="14359" width="34" style="597" customWidth="1"/>
    <col min="14360" max="14360" width="11" style="597" customWidth="1"/>
    <col min="14361" max="14598" width="8.7265625" style="597"/>
    <col min="14599" max="14599" width="14.36328125" style="597" customWidth="1"/>
    <col min="14600" max="14600" width="22" style="597" customWidth="1"/>
    <col min="14601" max="14601" width="0" style="597" hidden="1" customWidth="1"/>
    <col min="14602" max="14602" width="25.81640625" style="597" customWidth="1"/>
    <col min="14603" max="14607" width="0" style="597" hidden="1" customWidth="1"/>
    <col min="14608" max="14608" width="8.7265625" style="597"/>
    <col min="14609" max="14609" width="19.453125" style="597" customWidth="1"/>
    <col min="14610" max="14610" width="15.08984375" style="597" customWidth="1"/>
    <col min="14611" max="14611" width="41.26953125" style="597" customWidth="1"/>
    <col min="14612" max="14612" width="17.90625" style="597" customWidth="1"/>
    <col min="14613" max="14613" width="19.90625" style="597" customWidth="1"/>
    <col min="14614" max="14614" width="21.6328125" style="597" customWidth="1"/>
    <col min="14615" max="14615" width="34" style="597" customWidth="1"/>
    <col min="14616" max="14616" width="11" style="597" customWidth="1"/>
    <col min="14617" max="14854" width="8.7265625" style="597"/>
    <col min="14855" max="14855" width="14.36328125" style="597" customWidth="1"/>
    <col min="14856" max="14856" width="22" style="597" customWidth="1"/>
    <col min="14857" max="14857" width="0" style="597" hidden="1" customWidth="1"/>
    <col min="14858" max="14858" width="25.81640625" style="597" customWidth="1"/>
    <col min="14859" max="14863" width="0" style="597" hidden="1" customWidth="1"/>
    <col min="14864" max="14864" width="8.7265625" style="597"/>
    <col min="14865" max="14865" width="19.453125" style="597" customWidth="1"/>
    <col min="14866" max="14866" width="15.08984375" style="597" customWidth="1"/>
    <col min="14867" max="14867" width="41.26953125" style="597" customWidth="1"/>
    <col min="14868" max="14868" width="17.90625" style="597" customWidth="1"/>
    <col min="14869" max="14869" width="19.90625" style="597" customWidth="1"/>
    <col min="14870" max="14870" width="21.6328125" style="597" customWidth="1"/>
    <col min="14871" max="14871" width="34" style="597" customWidth="1"/>
    <col min="14872" max="14872" width="11" style="597" customWidth="1"/>
    <col min="14873" max="15110" width="8.7265625" style="597"/>
    <col min="15111" max="15111" width="14.36328125" style="597" customWidth="1"/>
    <col min="15112" max="15112" width="22" style="597" customWidth="1"/>
    <col min="15113" max="15113" width="0" style="597" hidden="1" customWidth="1"/>
    <col min="15114" max="15114" width="25.81640625" style="597" customWidth="1"/>
    <col min="15115" max="15119" width="0" style="597" hidden="1" customWidth="1"/>
    <col min="15120" max="15120" width="8.7265625" style="597"/>
    <col min="15121" max="15121" width="19.453125" style="597" customWidth="1"/>
    <col min="15122" max="15122" width="15.08984375" style="597" customWidth="1"/>
    <col min="15123" max="15123" width="41.26953125" style="597" customWidth="1"/>
    <col min="15124" max="15124" width="17.90625" style="597" customWidth="1"/>
    <col min="15125" max="15125" width="19.90625" style="597" customWidth="1"/>
    <col min="15126" max="15126" width="21.6328125" style="597" customWidth="1"/>
    <col min="15127" max="15127" width="34" style="597" customWidth="1"/>
    <col min="15128" max="15128" width="11" style="597" customWidth="1"/>
    <col min="15129" max="15366" width="8.7265625" style="597"/>
    <col min="15367" max="15367" width="14.36328125" style="597" customWidth="1"/>
    <col min="15368" max="15368" width="22" style="597" customWidth="1"/>
    <col min="15369" max="15369" width="0" style="597" hidden="1" customWidth="1"/>
    <col min="15370" max="15370" width="25.81640625" style="597" customWidth="1"/>
    <col min="15371" max="15375" width="0" style="597" hidden="1" customWidth="1"/>
    <col min="15376" max="15376" width="8.7265625" style="597"/>
    <col min="15377" max="15377" width="19.453125" style="597" customWidth="1"/>
    <col min="15378" max="15378" width="15.08984375" style="597" customWidth="1"/>
    <col min="15379" max="15379" width="41.26953125" style="597" customWidth="1"/>
    <col min="15380" max="15380" width="17.90625" style="597" customWidth="1"/>
    <col min="15381" max="15381" width="19.90625" style="597" customWidth="1"/>
    <col min="15382" max="15382" width="21.6328125" style="597" customWidth="1"/>
    <col min="15383" max="15383" width="34" style="597" customWidth="1"/>
    <col min="15384" max="15384" width="11" style="597" customWidth="1"/>
    <col min="15385" max="15622" width="8.7265625" style="597"/>
    <col min="15623" max="15623" width="14.36328125" style="597" customWidth="1"/>
    <col min="15624" max="15624" width="22" style="597" customWidth="1"/>
    <col min="15625" max="15625" width="0" style="597" hidden="1" customWidth="1"/>
    <col min="15626" max="15626" width="25.81640625" style="597" customWidth="1"/>
    <col min="15627" max="15631" width="0" style="597" hidden="1" customWidth="1"/>
    <col min="15632" max="15632" width="8.7265625" style="597"/>
    <col min="15633" max="15633" width="19.453125" style="597" customWidth="1"/>
    <col min="15634" max="15634" width="15.08984375" style="597" customWidth="1"/>
    <col min="15635" max="15635" width="41.26953125" style="597" customWidth="1"/>
    <col min="15636" max="15636" width="17.90625" style="597" customWidth="1"/>
    <col min="15637" max="15637" width="19.90625" style="597" customWidth="1"/>
    <col min="15638" max="15638" width="21.6328125" style="597" customWidth="1"/>
    <col min="15639" max="15639" width="34" style="597" customWidth="1"/>
    <col min="15640" max="15640" width="11" style="597" customWidth="1"/>
    <col min="15641" max="15878" width="8.7265625" style="597"/>
    <col min="15879" max="15879" width="14.36328125" style="597" customWidth="1"/>
    <col min="15880" max="15880" width="22" style="597" customWidth="1"/>
    <col min="15881" max="15881" width="0" style="597" hidden="1" customWidth="1"/>
    <col min="15882" max="15882" width="25.81640625" style="597" customWidth="1"/>
    <col min="15883" max="15887" width="0" style="597" hidden="1" customWidth="1"/>
    <col min="15888" max="15888" width="8.7265625" style="597"/>
    <col min="15889" max="15889" width="19.453125" style="597" customWidth="1"/>
    <col min="15890" max="15890" width="15.08984375" style="597" customWidth="1"/>
    <col min="15891" max="15891" width="41.26953125" style="597" customWidth="1"/>
    <col min="15892" max="15892" width="17.90625" style="597" customWidth="1"/>
    <col min="15893" max="15893" width="19.90625" style="597" customWidth="1"/>
    <col min="15894" max="15894" width="21.6328125" style="597" customWidth="1"/>
    <col min="15895" max="15895" width="34" style="597" customWidth="1"/>
    <col min="15896" max="15896" width="11" style="597" customWidth="1"/>
    <col min="15897" max="16134" width="8.7265625" style="597"/>
    <col min="16135" max="16135" width="14.36328125" style="597" customWidth="1"/>
    <col min="16136" max="16136" width="22" style="597" customWidth="1"/>
    <col min="16137" max="16137" width="0" style="597" hidden="1" customWidth="1"/>
    <col min="16138" max="16138" width="25.81640625" style="597" customWidth="1"/>
    <col min="16139" max="16143" width="0" style="597" hidden="1" customWidth="1"/>
    <col min="16144" max="16144" width="8.7265625" style="597"/>
    <col min="16145" max="16145" width="19.453125" style="597" customWidth="1"/>
    <col min="16146" max="16146" width="15.08984375" style="597" customWidth="1"/>
    <col min="16147" max="16147" width="41.26953125" style="597" customWidth="1"/>
    <col min="16148" max="16148" width="17.90625" style="597" customWidth="1"/>
    <col min="16149" max="16149" width="19.90625" style="597" customWidth="1"/>
    <col min="16150" max="16150" width="21.6328125" style="597" customWidth="1"/>
    <col min="16151" max="16151" width="34" style="597" customWidth="1"/>
    <col min="16152" max="16152" width="11" style="597" customWidth="1"/>
    <col min="16153" max="16384" width="8.7265625" style="597"/>
  </cols>
  <sheetData>
    <row r="1" spans="1:237">
      <c r="A1" s="595" t="s">
        <v>218</v>
      </c>
      <c r="B1" s="595" t="s">
        <v>219</v>
      </c>
      <c r="C1" s="595" t="s">
        <v>220</v>
      </c>
      <c r="D1" s="595" t="s">
        <v>1062</v>
      </c>
      <c r="E1" s="595" t="s">
        <v>1063</v>
      </c>
      <c r="F1" s="595" t="s">
        <v>1064</v>
      </c>
      <c r="G1" s="595" t="s">
        <v>1065</v>
      </c>
      <c r="H1" s="595" t="s">
        <v>222</v>
      </c>
      <c r="I1" s="595" t="s">
        <v>1066</v>
      </c>
      <c r="J1" s="595" t="s">
        <v>1067</v>
      </c>
      <c r="K1" s="595" t="s">
        <v>223</v>
      </c>
      <c r="L1" s="595" t="s">
        <v>224</v>
      </c>
      <c r="M1" s="595" t="s">
        <v>1411</v>
      </c>
      <c r="N1" s="616" t="s">
        <v>1412</v>
      </c>
      <c r="O1" s="616" t="s">
        <v>1413</v>
      </c>
      <c r="P1" s="616"/>
      <c r="Q1" s="616" t="s">
        <v>1414</v>
      </c>
      <c r="R1" s="595" t="s">
        <v>231</v>
      </c>
      <c r="S1" s="616" t="s">
        <v>1068</v>
      </c>
      <c r="T1" s="617" t="s">
        <v>63</v>
      </c>
      <c r="U1" s="596" t="s">
        <v>1069</v>
      </c>
      <c r="V1" s="596" t="s">
        <v>1070</v>
      </c>
      <c r="W1" s="595"/>
      <c r="X1" s="595" t="s">
        <v>232</v>
      </c>
      <c r="Y1" s="595"/>
      <c r="Z1" s="595"/>
      <c r="AA1" s="595"/>
      <c r="AB1" s="595" t="s">
        <v>231</v>
      </c>
      <c r="AC1" s="595" t="s">
        <v>232</v>
      </c>
      <c r="AD1" s="595" t="s">
        <v>218</v>
      </c>
      <c r="AE1" s="595" t="s">
        <v>219</v>
      </c>
      <c r="AF1" s="595" t="s">
        <v>220</v>
      </c>
      <c r="AG1" s="595" t="s">
        <v>221</v>
      </c>
      <c r="AH1" s="595" t="s">
        <v>1065</v>
      </c>
      <c r="AI1" s="595" t="s">
        <v>1071</v>
      </c>
      <c r="AJ1" s="595" t="s">
        <v>222</v>
      </c>
      <c r="AK1" s="595" t="s">
        <v>1066</v>
      </c>
      <c r="AL1" s="595" t="s">
        <v>1067</v>
      </c>
      <c r="AM1" s="595" t="s">
        <v>223</v>
      </c>
      <c r="AN1" s="595" t="s">
        <v>224</v>
      </c>
      <c r="AO1" s="595"/>
      <c r="AP1" s="595"/>
      <c r="AQ1" s="595"/>
      <c r="AR1" s="595" t="s">
        <v>231</v>
      </c>
      <c r="AS1" s="595" t="s">
        <v>232</v>
      </c>
      <c r="AT1" s="595" t="s">
        <v>218</v>
      </c>
      <c r="AU1" s="595" t="s">
        <v>219</v>
      </c>
      <c r="AV1" s="595" t="s">
        <v>220</v>
      </c>
      <c r="AW1" s="595" t="s">
        <v>221</v>
      </c>
      <c r="AX1" s="595" t="s">
        <v>1065</v>
      </c>
      <c r="AY1" s="595" t="s">
        <v>1071</v>
      </c>
      <c r="AZ1" s="595" t="s">
        <v>222</v>
      </c>
      <c r="BA1" s="595" t="s">
        <v>1066</v>
      </c>
      <c r="BB1" s="595" t="s">
        <v>1067</v>
      </c>
      <c r="BC1" s="595" t="s">
        <v>223</v>
      </c>
      <c r="BD1" s="595" t="s">
        <v>224</v>
      </c>
      <c r="BE1" s="595"/>
      <c r="BF1" s="595"/>
      <c r="BG1" s="595"/>
      <c r="BH1" s="595" t="s">
        <v>231</v>
      </c>
      <c r="BI1" s="595" t="s">
        <v>232</v>
      </c>
      <c r="BJ1" s="595" t="s">
        <v>218</v>
      </c>
      <c r="BK1" s="595" t="s">
        <v>219</v>
      </c>
      <c r="BL1" s="595" t="s">
        <v>220</v>
      </c>
      <c r="BM1" s="595" t="s">
        <v>221</v>
      </c>
      <c r="BN1" s="595" t="s">
        <v>1065</v>
      </c>
      <c r="BO1" s="595" t="s">
        <v>1071</v>
      </c>
      <c r="BP1" s="595" t="s">
        <v>222</v>
      </c>
      <c r="BQ1" s="595" t="s">
        <v>1066</v>
      </c>
      <c r="BR1" s="595" t="s">
        <v>1067</v>
      </c>
      <c r="BS1" s="595" t="s">
        <v>223</v>
      </c>
      <c r="BT1" s="595" t="s">
        <v>224</v>
      </c>
      <c r="BU1" s="595"/>
      <c r="BV1" s="595"/>
      <c r="BW1" s="595"/>
      <c r="BX1" s="595" t="s">
        <v>231</v>
      </c>
      <c r="BY1" s="595" t="s">
        <v>232</v>
      </c>
      <c r="BZ1" s="595" t="s">
        <v>218</v>
      </c>
      <c r="CA1" s="595" t="s">
        <v>219</v>
      </c>
      <c r="CB1" s="595" t="s">
        <v>220</v>
      </c>
      <c r="CC1" s="595" t="s">
        <v>221</v>
      </c>
      <c r="CD1" s="595" t="s">
        <v>1065</v>
      </c>
      <c r="CE1" s="595" t="s">
        <v>1071</v>
      </c>
      <c r="CF1" s="595" t="s">
        <v>222</v>
      </c>
      <c r="CG1" s="595" t="s">
        <v>1066</v>
      </c>
      <c r="CH1" s="595" t="s">
        <v>1067</v>
      </c>
      <c r="CI1" s="595" t="s">
        <v>223</v>
      </c>
      <c r="CJ1" s="595" t="s">
        <v>224</v>
      </c>
      <c r="CK1" s="595"/>
      <c r="CL1" s="595"/>
      <c r="CM1" s="595"/>
      <c r="CN1" s="595" t="s">
        <v>231</v>
      </c>
      <c r="CO1" s="595" t="s">
        <v>232</v>
      </c>
      <c r="CP1" s="595" t="s">
        <v>218</v>
      </c>
      <c r="CQ1" s="595" t="s">
        <v>219</v>
      </c>
      <c r="CR1" s="595" t="s">
        <v>220</v>
      </c>
      <c r="CS1" s="595" t="s">
        <v>221</v>
      </c>
      <c r="CT1" s="595" t="s">
        <v>1065</v>
      </c>
      <c r="CU1" s="595" t="s">
        <v>1071</v>
      </c>
      <c r="CV1" s="595" t="s">
        <v>222</v>
      </c>
      <c r="CW1" s="595" t="s">
        <v>1066</v>
      </c>
      <c r="CX1" s="595" t="s">
        <v>1067</v>
      </c>
      <c r="CY1" s="595" t="s">
        <v>223</v>
      </c>
      <c r="CZ1" s="595" t="s">
        <v>224</v>
      </c>
      <c r="DA1" s="595"/>
      <c r="DB1" s="595"/>
      <c r="DC1" s="595"/>
      <c r="DD1" s="595" t="s">
        <v>231</v>
      </c>
      <c r="DE1" s="595" t="s">
        <v>232</v>
      </c>
      <c r="DF1" s="595" t="s">
        <v>218</v>
      </c>
      <c r="DG1" s="595" t="s">
        <v>219</v>
      </c>
      <c r="DH1" s="595" t="s">
        <v>220</v>
      </c>
      <c r="DI1" s="595" t="s">
        <v>221</v>
      </c>
      <c r="DJ1" s="595" t="s">
        <v>1065</v>
      </c>
      <c r="DK1" s="595" t="s">
        <v>1071</v>
      </c>
      <c r="DL1" s="595" t="s">
        <v>222</v>
      </c>
      <c r="DM1" s="595" t="s">
        <v>1066</v>
      </c>
      <c r="DN1" s="595" t="s">
        <v>1067</v>
      </c>
      <c r="DO1" s="595" t="s">
        <v>223</v>
      </c>
      <c r="DP1" s="595" t="s">
        <v>224</v>
      </c>
      <c r="DQ1" s="595"/>
      <c r="DR1" s="595"/>
      <c r="DS1" s="595"/>
      <c r="DT1" s="595" t="s">
        <v>231</v>
      </c>
      <c r="DU1" s="595" t="s">
        <v>232</v>
      </c>
      <c r="DV1" s="595" t="s">
        <v>218</v>
      </c>
      <c r="DW1" s="595" t="s">
        <v>219</v>
      </c>
      <c r="DX1" s="595" t="s">
        <v>220</v>
      </c>
      <c r="DY1" s="595" t="s">
        <v>221</v>
      </c>
      <c r="DZ1" s="595" t="s">
        <v>1065</v>
      </c>
      <c r="EA1" s="595" t="s">
        <v>1071</v>
      </c>
      <c r="EB1" s="595" t="s">
        <v>222</v>
      </c>
      <c r="EC1" s="595" t="s">
        <v>1066</v>
      </c>
      <c r="ED1" s="595" t="s">
        <v>1067</v>
      </c>
      <c r="EE1" s="595" t="s">
        <v>223</v>
      </c>
      <c r="EF1" s="595" t="s">
        <v>224</v>
      </c>
      <c r="EG1" s="595"/>
      <c r="EH1" s="595"/>
      <c r="EI1" s="595"/>
      <c r="EJ1" s="595" t="s">
        <v>231</v>
      </c>
      <c r="EK1" s="595" t="s">
        <v>232</v>
      </c>
      <c r="EL1" s="595" t="s">
        <v>218</v>
      </c>
      <c r="EM1" s="595" t="s">
        <v>219</v>
      </c>
      <c r="EN1" s="595" t="s">
        <v>220</v>
      </c>
      <c r="EO1" s="595" t="s">
        <v>221</v>
      </c>
      <c r="EP1" s="595" t="s">
        <v>1065</v>
      </c>
      <c r="EQ1" s="595" t="s">
        <v>1071</v>
      </c>
      <c r="ER1" s="595" t="s">
        <v>222</v>
      </c>
      <c r="ES1" s="595" t="s">
        <v>1066</v>
      </c>
      <c r="ET1" s="595" t="s">
        <v>1067</v>
      </c>
      <c r="EU1" s="595" t="s">
        <v>223</v>
      </c>
      <c r="EV1" s="595" t="s">
        <v>224</v>
      </c>
      <c r="EW1" s="595"/>
      <c r="EX1" s="595"/>
      <c r="EY1" s="595"/>
      <c r="EZ1" s="595" t="s">
        <v>231</v>
      </c>
      <c r="FA1" s="595" t="s">
        <v>232</v>
      </c>
      <c r="FB1" s="595" t="s">
        <v>218</v>
      </c>
      <c r="FC1" s="595" t="s">
        <v>219</v>
      </c>
      <c r="FD1" s="595" t="s">
        <v>220</v>
      </c>
      <c r="FE1" s="595" t="s">
        <v>221</v>
      </c>
      <c r="FF1" s="595" t="s">
        <v>1065</v>
      </c>
      <c r="FG1" s="595" t="s">
        <v>1071</v>
      </c>
      <c r="FH1" s="595" t="s">
        <v>222</v>
      </c>
      <c r="FI1" s="595" t="s">
        <v>1066</v>
      </c>
      <c r="FJ1" s="595" t="s">
        <v>1067</v>
      </c>
      <c r="FK1" s="595" t="s">
        <v>223</v>
      </c>
      <c r="FL1" s="595" t="s">
        <v>224</v>
      </c>
      <c r="FM1" s="595"/>
      <c r="FN1" s="595"/>
      <c r="FO1" s="595"/>
      <c r="FP1" s="595" t="s">
        <v>231</v>
      </c>
      <c r="FQ1" s="595" t="s">
        <v>232</v>
      </c>
      <c r="FR1" s="595" t="s">
        <v>218</v>
      </c>
      <c r="FS1" s="595" t="s">
        <v>219</v>
      </c>
      <c r="FT1" s="595" t="s">
        <v>220</v>
      </c>
      <c r="FU1" s="595" t="s">
        <v>221</v>
      </c>
      <c r="FV1" s="595" t="s">
        <v>1065</v>
      </c>
      <c r="FW1" s="595" t="s">
        <v>1071</v>
      </c>
      <c r="FX1" s="595" t="s">
        <v>222</v>
      </c>
      <c r="FY1" s="595" t="s">
        <v>1066</v>
      </c>
      <c r="FZ1" s="595" t="s">
        <v>1067</v>
      </c>
      <c r="GA1" s="595" t="s">
        <v>223</v>
      </c>
      <c r="GB1" s="595" t="s">
        <v>224</v>
      </c>
      <c r="GC1" s="595"/>
      <c r="GD1" s="595"/>
      <c r="GE1" s="595"/>
      <c r="GF1" s="595" t="s">
        <v>231</v>
      </c>
      <c r="GG1" s="595" t="s">
        <v>232</v>
      </c>
      <c r="GH1" s="595" t="s">
        <v>218</v>
      </c>
      <c r="GI1" s="595" t="s">
        <v>219</v>
      </c>
      <c r="GJ1" s="595" t="s">
        <v>220</v>
      </c>
      <c r="GK1" s="595" t="s">
        <v>221</v>
      </c>
      <c r="GL1" s="595" t="s">
        <v>1065</v>
      </c>
      <c r="GM1" s="595" t="s">
        <v>1071</v>
      </c>
      <c r="GN1" s="595" t="s">
        <v>222</v>
      </c>
      <c r="GO1" s="595" t="s">
        <v>1066</v>
      </c>
      <c r="GP1" s="595" t="s">
        <v>1067</v>
      </c>
      <c r="GQ1" s="595" t="s">
        <v>223</v>
      </c>
      <c r="GR1" s="595" t="s">
        <v>224</v>
      </c>
      <c r="GS1" s="595"/>
      <c r="GT1" s="595"/>
      <c r="GU1" s="595"/>
      <c r="GV1" s="595" t="s">
        <v>231</v>
      </c>
      <c r="GW1" s="595" t="s">
        <v>232</v>
      </c>
      <c r="GX1" s="595" t="s">
        <v>218</v>
      </c>
      <c r="GY1" s="595" t="s">
        <v>219</v>
      </c>
      <c r="GZ1" s="595" t="s">
        <v>220</v>
      </c>
      <c r="HA1" s="595" t="s">
        <v>221</v>
      </c>
      <c r="HB1" s="595" t="s">
        <v>1065</v>
      </c>
      <c r="HC1" s="595" t="s">
        <v>1071</v>
      </c>
      <c r="HD1" s="595" t="s">
        <v>222</v>
      </c>
      <c r="HE1" s="595" t="s">
        <v>1066</v>
      </c>
      <c r="HF1" s="595" t="s">
        <v>1067</v>
      </c>
      <c r="HG1" s="595" t="s">
        <v>223</v>
      </c>
      <c r="HH1" s="595" t="s">
        <v>224</v>
      </c>
      <c r="HI1" s="595"/>
      <c r="HJ1" s="595"/>
      <c r="HK1" s="595"/>
      <c r="HL1" s="595" t="s">
        <v>231</v>
      </c>
      <c r="HM1" s="595" t="s">
        <v>232</v>
      </c>
      <c r="HN1" s="595" t="s">
        <v>218</v>
      </c>
      <c r="HO1" s="595" t="s">
        <v>219</v>
      </c>
      <c r="HP1" s="595" t="s">
        <v>220</v>
      </c>
      <c r="HQ1" s="595" t="s">
        <v>221</v>
      </c>
      <c r="HR1" s="595" t="s">
        <v>1065</v>
      </c>
      <c r="HS1" s="595" t="s">
        <v>1071</v>
      </c>
      <c r="HT1" s="595" t="s">
        <v>222</v>
      </c>
      <c r="HU1" s="595" t="s">
        <v>1066</v>
      </c>
      <c r="HV1" s="595" t="s">
        <v>1067</v>
      </c>
      <c r="HW1" s="595" t="s">
        <v>223</v>
      </c>
      <c r="HX1" s="595" t="s">
        <v>224</v>
      </c>
      <c r="HY1" s="595"/>
      <c r="HZ1" s="595"/>
      <c r="IA1" s="595"/>
      <c r="IB1" s="595" t="s">
        <v>231</v>
      </c>
      <c r="IC1" s="595" t="s">
        <v>232</v>
      </c>
    </row>
    <row r="2" spans="1:237" ht="16.5" customHeight="1">
      <c r="A2" s="595">
        <v>2</v>
      </c>
      <c r="B2" s="596" t="s">
        <v>344</v>
      </c>
      <c r="C2" s="596" t="s">
        <v>338</v>
      </c>
      <c r="D2" s="596" t="s">
        <v>345</v>
      </c>
      <c r="E2" s="596" t="str">
        <f>VLOOKUP(D2,[8]Sheet1!$D$2:$D$239,1,0)</f>
        <v>AC0603KRX7R0BB103</v>
      </c>
      <c r="F2" s="596" t="str">
        <f>VLOOKUP(E2,'[9]EEBOM 512 '!$D$3:$D$169,1,0)</f>
        <v>AC0603KRX7R0BB103</v>
      </c>
      <c r="G2" s="598" t="s">
        <v>1072</v>
      </c>
      <c r="H2" s="596" t="s">
        <v>340</v>
      </c>
      <c r="I2" s="595" t="s">
        <v>1073</v>
      </c>
      <c r="J2" s="598" t="s">
        <v>1074</v>
      </c>
      <c r="K2" s="595" t="s">
        <v>28</v>
      </c>
      <c r="L2" s="595">
        <v>7</v>
      </c>
      <c r="M2" s="595"/>
      <c r="N2" s="616">
        <v>2.9199999999999999E-3</v>
      </c>
      <c r="O2" s="616">
        <f t="shared" ref="O2:O65" si="0">N2*1.035</f>
        <v>3.0221999999999996E-3</v>
      </c>
      <c r="P2" s="616">
        <f>O2-_xlfn.MINIFS(O:O,C:C,C2)</f>
        <v>1.1695499999999999E-3</v>
      </c>
      <c r="Q2" s="616"/>
      <c r="R2" s="596" t="s">
        <v>1075</v>
      </c>
      <c r="S2" s="618" t="s">
        <v>1076</v>
      </c>
      <c r="T2" s="618"/>
      <c r="U2" s="596"/>
      <c r="V2" s="596"/>
      <c r="W2" s="596"/>
      <c r="X2" s="596" t="s">
        <v>1077</v>
      </c>
    </row>
    <row r="3" spans="1:237">
      <c r="A3" s="595">
        <v>2</v>
      </c>
      <c r="B3" s="596" t="s">
        <v>337</v>
      </c>
      <c r="C3" s="596" t="s">
        <v>338</v>
      </c>
      <c r="D3" s="596" t="s">
        <v>339</v>
      </c>
      <c r="E3" s="596" t="str">
        <f>VLOOKUP(D3,[8]Sheet1!$D$2:$D$239,1,0)</f>
        <v>CL10B103KC8WPNC</v>
      </c>
      <c r="F3" s="596" t="str">
        <f>VLOOKUP(E3,'[9]EEBOM 512 '!$D$3:$D$169,1,0)</f>
        <v>CL10B103KC8WPNC</v>
      </c>
      <c r="G3" s="598" t="s">
        <v>1072</v>
      </c>
      <c r="H3" s="596" t="s">
        <v>340</v>
      </c>
      <c r="I3" s="595" t="s">
        <v>1073</v>
      </c>
      <c r="J3" s="598" t="s">
        <v>1074</v>
      </c>
      <c r="K3" s="595" t="s">
        <v>28</v>
      </c>
      <c r="L3" s="595"/>
      <c r="M3" s="595">
        <v>7</v>
      </c>
      <c r="N3" s="616">
        <v>1.7899999999999999E-3</v>
      </c>
      <c r="O3" s="616">
        <f t="shared" si="0"/>
        <v>1.8526499999999997E-3</v>
      </c>
      <c r="P3" s="616">
        <f t="shared" ref="P3:P66" si="1">O3-_xlfn.MINIFS(O:O,C:C,C3)</f>
        <v>0</v>
      </c>
      <c r="Q3" s="616">
        <f>O3*M3</f>
        <v>1.2968549999999999E-2</v>
      </c>
      <c r="R3" s="596" t="s">
        <v>260</v>
      </c>
      <c r="S3" s="618" t="s">
        <v>1078</v>
      </c>
      <c r="T3" s="618"/>
      <c r="U3" s="596"/>
      <c r="V3" s="596"/>
      <c r="W3" s="596"/>
      <c r="X3" s="596"/>
    </row>
    <row r="4" spans="1:237">
      <c r="A4" s="595">
        <v>2</v>
      </c>
      <c r="B4" s="596" t="s">
        <v>348</v>
      </c>
      <c r="C4" s="596" t="s">
        <v>338</v>
      </c>
      <c r="D4" s="596" t="s">
        <v>349</v>
      </c>
      <c r="E4" s="596" t="str">
        <f>VLOOKUP(D4,[8]Sheet1!$D$2:$D$239,1,0)</f>
        <v>GCM188R72A103KA37D</v>
      </c>
      <c r="F4" s="596" t="str">
        <f>VLOOKUP(E4,'[9]EEBOM 512 '!$D$3:$D$169,1,0)</f>
        <v>GCM188R72A103KA37D</v>
      </c>
      <c r="G4" s="598" t="s">
        <v>1072</v>
      </c>
      <c r="H4" s="596" t="s">
        <v>340</v>
      </c>
      <c r="I4" s="595" t="s">
        <v>1073</v>
      </c>
      <c r="J4" s="598" t="s">
        <v>1074</v>
      </c>
      <c r="K4" s="595" t="s">
        <v>28</v>
      </c>
      <c r="L4" s="595"/>
      <c r="M4" s="595"/>
      <c r="N4" s="616">
        <v>2.7000000000000001E-3</v>
      </c>
      <c r="O4" s="616">
        <f t="shared" si="0"/>
        <v>2.7945000000000001E-3</v>
      </c>
      <c r="P4" s="616">
        <f t="shared" si="1"/>
        <v>9.4185000000000037E-4</v>
      </c>
      <c r="Q4" s="616"/>
      <c r="R4" s="596" t="s">
        <v>237</v>
      </c>
      <c r="S4" s="618" t="s">
        <v>237</v>
      </c>
      <c r="T4" s="618"/>
      <c r="U4" s="596">
        <v>10000</v>
      </c>
      <c r="V4" s="596">
        <v>12</v>
      </c>
      <c r="W4" s="596"/>
      <c r="X4" s="596"/>
    </row>
    <row r="5" spans="1:237" s="601" customFormat="1">
      <c r="A5" s="595">
        <v>2</v>
      </c>
      <c r="B5" s="596" t="s">
        <v>342</v>
      </c>
      <c r="C5" s="596" t="s">
        <v>338</v>
      </c>
      <c r="D5" s="596" t="s">
        <v>343</v>
      </c>
      <c r="E5" s="596" t="str">
        <f>VLOOKUP(D5,[8]Sheet1!$D$2:$D$239,1,0)</f>
        <v>HMK107B7103KAHT</v>
      </c>
      <c r="F5" s="596" t="str">
        <f>VLOOKUP(E5,'[9]EEBOM 512 '!$D$3:$D$169,1,0)</f>
        <v>HMK107B7103KAHT</v>
      </c>
      <c r="G5" s="598" t="s">
        <v>1072</v>
      </c>
      <c r="H5" s="596" t="s">
        <v>340</v>
      </c>
      <c r="I5" s="595" t="s">
        <v>1073</v>
      </c>
      <c r="J5" s="598" t="s">
        <v>1074</v>
      </c>
      <c r="K5" s="595" t="s">
        <v>28</v>
      </c>
      <c r="L5" s="595"/>
      <c r="M5" s="595"/>
      <c r="N5" s="616">
        <v>3.0000000000000001E-3</v>
      </c>
      <c r="O5" s="616">
        <f t="shared" si="0"/>
        <v>3.1049999999999997E-3</v>
      </c>
      <c r="P5" s="616">
        <f t="shared" si="1"/>
        <v>1.2523499999999999E-3</v>
      </c>
      <c r="Q5" s="616"/>
      <c r="R5" s="596" t="s">
        <v>257</v>
      </c>
      <c r="S5" s="618" t="s">
        <v>1079</v>
      </c>
      <c r="T5" s="618"/>
      <c r="U5" s="596"/>
      <c r="V5" s="596"/>
      <c r="W5" s="596"/>
      <c r="X5" s="600"/>
    </row>
    <row r="6" spans="1:237" s="601" customFormat="1">
      <c r="A6" s="595">
        <v>2</v>
      </c>
      <c r="B6" s="596" t="s">
        <v>350</v>
      </c>
      <c r="C6" s="596" t="s">
        <v>338</v>
      </c>
      <c r="D6" s="596" t="s">
        <v>350</v>
      </c>
      <c r="E6" s="596" t="str">
        <f>VLOOKUP(D6,[8]Sheet1!$D$2:$D$239,1,0)</f>
        <v>MCASH168SB7103KTNA01</v>
      </c>
      <c r="F6" s="596" t="str">
        <f>VLOOKUP(E6,'[9]EEBOM 512 '!$D$3:$D$169,1,0)</f>
        <v>MCASH168SB7103KTNA01</v>
      </c>
      <c r="G6" s="598" t="s">
        <v>1072</v>
      </c>
      <c r="H6" s="596" t="s">
        <v>340</v>
      </c>
      <c r="I6" s="595" t="s">
        <v>1073</v>
      </c>
      <c r="J6" s="598" t="s">
        <v>1074</v>
      </c>
      <c r="K6" s="595" t="s">
        <v>28</v>
      </c>
      <c r="L6" s="595"/>
      <c r="M6" s="595"/>
      <c r="N6" s="616">
        <v>2.3800000000000002E-3</v>
      </c>
      <c r="O6" s="616">
        <f t="shared" si="0"/>
        <v>2.4632999999999999E-3</v>
      </c>
      <c r="P6" s="616">
        <f t="shared" si="1"/>
        <v>6.1065000000000012E-4</v>
      </c>
      <c r="Q6" s="616"/>
      <c r="R6" s="596" t="s">
        <v>257</v>
      </c>
      <c r="S6" s="618" t="s">
        <v>1080</v>
      </c>
      <c r="T6" s="618"/>
      <c r="U6" s="596"/>
      <c r="V6" s="596"/>
      <c r="W6" s="596"/>
      <c r="X6" s="600"/>
    </row>
    <row r="7" spans="1:237" s="601" customFormat="1">
      <c r="A7" s="595">
        <v>2</v>
      </c>
      <c r="B7" s="596" t="s">
        <v>351</v>
      </c>
      <c r="C7" s="596" t="s">
        <v>338</v>
      </c>
      <c r="D7" s="596" t="s">
        <v>351</v>
      </c>
      <c r="E7" s="596" t="str">
        <f>VLOOKUP(D7,[8]Sheet1!$D$2:$D$239,1,0)</f>
        <v>MAASH168SB7103KTCA01</v>
      </c>
      <c r="F7" s="596" t="str">
        <f>VLOOKUP(E7,'[9]EEBOM 512 '!$D$3:$D$169,1,0)</f>
        <v>MAASH168SB7103KTCA01</v>
      </c>
      <c r="G7" s="598" t="s">
        <v>1072</v>
      </c>
      <c r="H7" s="596" t="s">
        <v>340</v>
      </c>
      <c r="I7" s="595" t="s">
        <v>1073</v>
      </c>
      <c r="J7" s="598" t="s">
        <v>1074</v>
      </c>
      <c r="K7" s="595" t="s">
        <v>28</v>
      </c>
      <c r="L7" s="595"/>
      <c r="M7" s="595"/>
      <c r="N7" s="616">
        <v>2.3800000000000002E-3</v>
      </c>
      <c r="O7" s="616">
        <f t="shared" si="0"/>
        <v>2.4632999999999999E-3</v>
      </c>
      <c r="P7" s="616">
        <f t="shared" si="1"/>
        <v>6.1065000000000012E-4</v>
      </c>
      <c r="Q7" s="616"/>
      <c r="R7" s="596" t="s">
        <v>257</v>
      </c>
      <c r="S7" s="618" t="s">
        <v>1081</v>
      </c>
      <c r="T7" s="618"/>
      <c r="U7" s="596"/>
      <c r="V7" s="596"/>
      <c r="W7" s="596"/>
      <c r="X7" s="600"/>
    </row>
    <row r="8" spans="1:237" ht="15.75" customHeight="1">
      <c r="A8" s="595">
        <v>2</v>
      </c>
      <c r="B8" s="596" t="s">
        <v>346</v>
      </c>
      <c r="C8" s="596" t="s">
        <v>338</v>
      </c>
      <c r="D8" s="596" t="s">
        <v>347</v>
      </c>
      <c r="E8" s="596" t="str">
        <f>VLOOKUP(D8,[8]Sheet1!$D$2:$D$239,1,0)</f>
        <v>CGA3E2X7R2A103K080AA</v>
      </c>
      <c r="F8" s="596" t="str">
        <f>VLOOKUP(E8,'[9]EEBOM 512 '!$D$3:$D$169,1,0)</f>
        <v>CGA3E2X7R2A103K080AA</v>
      </c>
      <c r="G8" s="598" t="s">
        <v>1072</v>
      </c>
      <c r="H8" s="596" t="s">
        <v>340</v>
      </c>
      <c r="I8" s="595" t="s">
        <v>1073</v>
      </c>
      <c r="J8" s="598" t="s">
        <v>1074</v>
      </c>
      <c r="K8" s="595" t="s">
        <v>28</v>
      </c>
      <c r="L8" s="595"/>
      <c r="M8" s="595"/>
      <c r="N8" s="616">
        <v>4.64E-3</v>
      </c>
      <c r="O8" s="616">
        <f t="shared" si="0"/>
        <v>4.8024000000000001E-3</v>
      </c>
      <c r="P8" s="616">
        <f t="shared" si="1"/>
        <v>2.9497500000000001E-3</v>
      </c>
      <c r="Q8" s="616"/>
      <c r="R8" s="596" t="s">
        <v>240</v>
      </c>
      <c r="S8" s="618" t="s">
        <v>1082</v>
      </c>
      <c r="T8" s="618"/>
      <c r="U8" s="596"/>
      <c r="V8" s="596"/>
      <c r="W8" s="596"/>
      <c r="X8" s="600"/>
    </row>
    <row r="9" spans="1:237" ht="15.75" customHeight="1">
      <c r="A9" s="595">
        <v>2</v>
      </c>
      <c r="B9" s="596" t="s">
        <v>281</v>
      </c>
      <c r="C9" s="596" t="s">
        <v>272</v>
      </c>
      <c r="D9" s="596" t="s">
        <v>282</v>
      </c>
      <c r="E9" s="596" t="str">
        <f>VLOOKUP(D9,[8]Sheet1!$D$2:$D$239,1,0)</f>
        <v>GCM155R71H104KE02D</v>
      </c>
      <c r="F9" s="596" t="str">
        <f>VLOOKUP(E9,'[9]EEBOM 512 '!$D$3:$D$169,1,0)</f>
        <v>GCM155R71H104KE02D</v>
      </c>
      <c r="G9" s="598" t="s">
        <v>1072</v>
      </c>
      <c r="H9" s="596" t="s">
        <v>274</v>
      </c>
      <c r="I9" s="595" t="s">
        <v>1073</v>
      </c>
      <c r="J9" s="598" t="s">
        <v>1074</v>
      </c>
      <c r="K9" s="595" t="s">
        <v>28</v>
      </c>
      <c r="L9" s="595">
        <v>9</v>
      </c>
      <c r="M9" s="595"/>
      <c r="N9" s="616">
        <v>2.5000000000000001E-3</v>
      </c>
      <c r="O9" s="616">
        <f t="shared" si="0"/>
        <v>2.5875E-3</v>
      </c>
      <c r="P9" s="616">
        <f t="shared" si="1"/>
        <v>9.9360000000000008E-4</v>
      </c>
      <c r="Q9" s="616"/>
      <c r="R9" s="596" t="s">
        <v>237</v>
      </c>
      <c r="S9" s="618" t="s">
        <v>237</v>
      </c>
      <c r="T9" s="618"/>
      <c r="U9" s="596">
        <v>10000</v>
      </c>
      <c r="V9" s="596">
        <v>12</v>
      </c>
      <c r="W9" s="596"/>
      <c r="X9" s="600" t="s">
        <v>1083</v>
      </c>
    </row>
    <row r="10" spans="1:237" ht="15.75" customHeight="1">
      <c r="A10" s="595">
        <v>2</v>
      </c>
      <c r="B10" s="596" t="s">
        <v>271</v>
      </c>
      <c r="C10" s="596" t="s">
        <v>272</v>
      </c>
      <c r="D10" s="596" t="s">
        <v>1084</v>
      </c>
      <c r="E10" s="596" t="str">
        <f>VLOOKUP(D10,[8]Sheet1!$D$2:$D$239,1,0)</f>
        <v>CL05B104KB54PNC</v>
      </c>
      <c r="F10" s="596" t="e">
        <f>VLOOKUP(E10,'[9]EEBOM 512 '!$D$3:$D$169,1,0)</f>
        <v>#N/A</v>
      </c>
      <c r="G10" s="598" t="s">
        <v>1072</v>
      </c>
      <c r="H10" s="596" t="s">
        <v>274</v>
      </c>
      <c r="I10" s="595" t="s">
        <v>1073</v>
      </c>
      <c r="J10" s="598" t="s">
        <v>1074</v>
      </c>
      <c r="K10" s="595" t="s">
        <v>28</v>
      </c>
      <c r="L10" s="595"/>
      <c r="M10" s="595">
        <v>9</v>
      </c>
      <c r="N10" s="616">
        <v>1.5399999999999999E-3</v>
      </c>
      <c r="O10" s="616">
        <f t="shared" si="0"/>
        <v>1.5938999999999999E-3</v>
      </c>
      <c r="P10" s="616">
        <f t="shared" si="1"/>
        <v>0</v>
      </c>
      <c r="Q10" s="616">
        <f>O10*M10</f>
        <v>1.43451E-2</v>
      </c>
      <c r="R10" s="596" t="s">
        <v>275</v>
      </c>
      <c r="S10" s="618" t="s">
        <v>1085</v>
      </c>
      <c r="T10" s="618"/>
      <c r="U10" s="596"/>
      <c r="V10" s="596"/>
      <c r="W10" s="596"/>
      <c r="X10" s="600"/>
    </row>
    <row r="11" spans="1:237" ht="15.75" customHeight="1">
      <c r="A11" s="595">
        <v>2</v>
      </c>
      <c r="B11" s="596" t="s">
        <v>277</v>
      </c>
      <c r="C11" s="596" t="s">
        <v>272</v>
      </c>
      <c r="D11" s="596" t="s">
        <v>278</v>
      </c>
      <c r="E11" s="596" t="str">
        <f>VLOOKUP(D11,[8]Sheet1!$D$2:$D$239,1,0)</f>
        <v>GCM155R71H104KE02J</v>
      </c>
      <c r="F11" s="596" t="str">
        <f>VLOOKUP(E11,'[9]EEBOM 512 '!$D$3:$D$169,1,0)</f>
        <v>GCM155R71H104KE02J</v>
      </c>
      <c r="G11" s="598" t="s">
        <v>1072</v>
      </c>
      <c r="H11" s="596" t="s">
        <v>274</v>
      </c>
      <c r="I11" s="595" t="s">
        <v>1073</v>
      </c>
      <c r="J11" s="598" t="s">
        <v>1074</v>
      </c>
      <c r="K11" s="595" t="s">
        <v>28</v>
      </c>
      <c r="L11" s="595"/>
      <c r="M11" s="595"/>
      <c r="N11" s="616">
        <v>1.9E-3</v>
      </c>
      <c r="O11" s="616">
        <f t="shared" si="0"/>
        <v>1.9664999999999999E-3</v>
      </c>
      <c r="P11" s="616">
        <f t="shared" si="1"/>
        <v>3.7260000000000006E-4</v>
      </c>
      <c r="Q11" s="616"/>
      <c r="R11" s="596" t="s">
        <v>237</v>
      </c>
      <c r="S11" s="618" t="s">
        <v>1086</v>
      </c>
      <c r="T11" s="618"/>
      <c r="U11" s="596">
        <v>10000</v>
      </c>
      <c r="V11" s="596">
        <v>12</v>
      </c>
      <c r="W11" s="596"/>
      <c r="X11" s="600"/>
    </row>
    <row r="12" spans="1:237" ht="15.75" customHeight="1">
      <c r="A12" s="595">
        <v>2</v>
      </c>
      <c r="B12" s="596" t="s">
        <v>283</v>
      </c>
      <c r="C12" s="596" t="s">
        <v>272</v>
      </c>
      <c r="D12" s="596" t="s">
        <v>283</v>
      </c>
      <c r="E12" s="596" t="str">
        <f>VLOOKUP(D12,[8]Sheet1!$D$2:$D$239,1,0)</f>
        <v>MCASU105SB7104KFNA01</v>
      </c>
      <c r="F12" s="596" t="str">
        <f>VLOOKUP(E12,'[9]EEBOM 512 '!$D$3:$D$169,1,0)</f>
        <v>MCASU105SB7104KFNA01</v>
      </c>
      <c r="G12" s="598" t="s">
        <v>1072</v>
      </c>
      <c r="H12" s="596" t="s">
        <v>274</v>
      </c>
      <c r="I12" s="595" t="s">
        <v>1073</v>
      </c>
      <c r="J12" s="598" t="s">
        <v>1074</v>
      </c>
      <c r="K12" s="595" t="s">
        <v>28</v>
      </c>
      <c r="L12" s="595"/>
      <c r="M12" s="595"/>
      <c r="N12" s="616">
        <v>2.6199999999999999E-3</v>
      </c>
      <c r="O12" s="616">
        <f t="shared" si="0"/>
        <v>2.7116999999999996E-3</v>
      </c>
      <c r="P12" s="616">
        <f t="shared" si="1"/>
        <v>1.1177999999999997E-3</v>
      </c>
      <c r="Q12" s="616"/>
      <c r="R12" s="596" t="s">
        <v>257</v>
      </c>
      <c r="S12" s="618" t="s">
        <v>1087</v>
      </c>
      <c r="T12" s="618"/>
      <c r="U12" s="596"/>
      <c r="V12" s="596"/>
      <c r="W12" s="596"/>
      <c r="X12" s="600"/>
    </row>
    <row r="13" spans="1:237" ht="15.75" customHeight="1">
      <c r="A13" s="595">
        <v>2</v>
      </c>
      <c r="B13" s="596" t="s">
        <v>279</v>
      </c>
      <c r="C13" s="596" t="s">
        <v>272</v>
      </c>
      <c r="D13" s="596" t="s">
        <v>280</v>
      </c>
      <c r="E13" s="596" t="str">
        <f>VLOOKUP(D13,[8]Sheet1!$D$2:$D$239,1,0)</f>
        <v>CGA2B3X7R1H104K050BB</v>
      </c>
      <c r="F13" s="596" t="str">
        <f>VLOOKUP(E13,'[9]EEBOM 512 '!$D$3:$D$169,1,0)</f>
        <v>CGA2B3X7R1H104K050BB</v>
      </c>
      <c r="G13" s="598" t="s">
        <v>1072</v>
      </c>
      <c r="H13" s="596" t="s">
        <v>274</v>
      </c>
      <c r="I13" s="595" t="s">
        <v>1073</v>
      </c>
      <c r="J13" s="598" t="s">
        <v>1074</v>
      </c>
      <c r="K13" s="595" t="s">
        <v>28</v>
      </c>
      <c r="L13" s="595"/>
      <c r="M13" s="595"/>
      <c r="N13" s="616">
        <v>2.2699999999999999E-3</v>
      </c>
      <c r="O13" s="616">
        <f t="shared" si="0"/>
        <v>2.3494499999999999E-3</v>
      </c>
      <c r="P13" s="616">
        <f t="shared" si="1"/>
        <v>7.5555000000000001E-4</v>
      </c>
      <c r="Q13" s="616"/>
      <c r="R13" s="596" t="s">
        <v>240</v>
      </c>
      <c r="S13" s="618" t="s">
        <v>1088</v>
      </c>
      <c r="T13" s="618"/>
      <c r="U13" s="596"/>
      <c r="V13" s="596"/>
      <c r="W13" s="596"/>
      <c r="X13" s="600"/>
    </row>
    <row r="14" spans="1:237">
      <c r="A14" s="595">
        <v>2</v>
      </c>
      <c r="B14" s="596" t="s">
        <v>514</v>
      </c>
      <c r="C14" s="596" t="s">
        <v>515</v>
      </c>
      <c r="D14" s="596" t="s">
        <v>516</v>
      </c>
      <c r="E14" s="596" t="str">
        <f>VLOOKUP(D14,[8]Sheet1!$D$2:$D$239,1,0)</f>
        <v>GCM033R71A103KA03D</v>
      </c>
      <c r="F14" s="596" t="str">
        <f>VLOOKUP(E14,'[9]EEBOM 512 '!$D$3:$D$169,1,0)</f>
        <v>GCM033R71A103KA03D</v>
      </c>
      <c r="G14" s="598" t="s">
        <v>1072</v>
      </c>
      <c r="H14" s="596" t="s">
        <v>517</v>
      </c>
      <c r="I14" s="595" t="s">
        <v>1073</v>
      </c>
      <c r="J14" s="598" t="s">
        <v>1074</v>
      </c>
      <c r="K14" s="595" t="s">
        <v>28</v>
      </c>
      <c r="L14" s="595">
        <v>16</v>
      </c>
      <c r="M14" s="595">
        <v>16</v>
      </c>
      <c r="N14" s="616">
        <v>1.5299999999999999E-3</v>
      </c>
      <c r="O14" s="616">
        <f t="shared" si="0"/>
        <v>1.5835499999999998E-3</v>
      </c>
      <c r="P14" s="616">
        <f t="shared" si="1"/>
        <v>0</v>
      </c>
      <c r="Q14" s="616">
        <f>O14*M14</f>
        <v>2.5336799999999996E-2</v>
      </c>
      <c r="R14" s="596" t="s">
        <v>237</v>
      </c>
      <c r="S14" s="618" t="s">
        <v>1089</v>
      </c>
      <c r="T14" s="618"/>
      <c r="U14" s="596">
        <v>10000</v>
      </c>
      <c r="V14" s="596" t="s">
        <v>1090</v>
      </c>
      <c r="W14" s="596"/>
      <c r="X14" s="600" t="s">
        <v>1091</v>
      </c>
    </row>
    <row r="15" spans="1:237">
      <c r="A15" s="595">
        <v>2</v>
      </c>
      <c r="B15" s="596" t="s">
        <v>519</v>
      </c>
      <c r="C15" s="596" t="s">
        <v>515</v>
      </c>
      <c r="D15" s="596" t="s">
        <v>520</v>
      </c>
      <c r="E15" s="596" t="str">
        <f>VLOOKUP(D15,[8]Sheet1!$D$2:$D$239,1,0)</f>
        <v>GCM033R71A103KA03J</v>
      </c>
      <c r="F15" s="596" t="str">
        <f>VLOOKUP(E15,'[9]EEBOM 512 '!$D$3:$D$169,1,0)</f>
        <v>GCM033R71A103KA03J</v>
      </c>
      <c r="G15" s="598" t="s">
        <v>1072</v>
      </c>
      <c r="H15" s="596" t="s">
        <v>517</v>
      </c>
      <c r="I15" s="595" t="s">
        <v>1073</v>
      </c>
      <c r="J15" s="598" t="s">
        <v>1074</v>
      </c>
      <c r="K15" s="595" t="s">
        <v>28</v>
      </c>
      <c r="L15" s="595"/>
      <c r="M15" s="595"/>
      <c r="N15" s="616">
        <v>1.5299999999999999E-3</v>
      </c>
      <c r="O15" s="616">
        <f t="shared" si="0"/>
        <v>1.5835499999999998E-3</v>
      </c>
      <c r="P15" s="616">
        <f t="shared" si="1"/>
        <v>0</v>
      </c>
      <c r="Q15" s="616"/>
      <c r="R15" s="596" t="s">
        <v>237</v>
      </c>
      <c r="S15" s="618" t="s">
        <v>1089</v>
      </c>
      <c r="T15" s="618"/>
      <c r="U15" s="596">
        <v>10000</v>
      </c>
      <c r="V15" s="596" t="s">
        <v>1090</v>
      </c>
      <c r="W15" s="596"/>
      <c r="X15" s="600"/>
    </row>
    <row r="16" spans="1:237">
      <c r="A16" s="595">
        <v>2</v>
      </c>
      <c r="B16" s="596" t="s">
        <v>521</v>
      </c>
      <c r="C16" s="596" t="s">
        <v>515</v>
      </c>
      <c r="D16" s="596" t="s">
        <v>522</v>
      </c>
      <c r="E16" s="596" t="str">
        <f>VLOOKUP(D16,[8]Sheet1!$D$2:$D$239,1,0)</f>
        <v>CGA1A2X7R1A103K030BA</v>
      </c>
      <c r="F16" s="596" t="str">
        <f>VLOOKUP(E16,'[9]EEBOM 512 '!$D$3:$D$169,1,0)</f>
        <v>CGA1A2X7R1A103K030BA</v>
      </c>
      <c r="G16" s="598" t="s">
        <v>1072</v>
      </c>
      <c r="H16" s="596" t="s">
        <v>517</v>
      </c>
      <c r="I16" s="595" t="s">
        <v>1073</v>
      </c>
      <c r="J16" s="598" t="s">
        <v>1074</v>
      </c>
      <c r="K16" s="595" t="s">
        <v>28</v>
      </c>
      <c r="L16" s="595"/>
      <c r="M16" s="595"/>
      <c r="N16" s="616">
        <v>2.0500000000000002E-3</v>
      </c>
      <c r="O16" s="616">
        <f t="shared" si="0"/>
        <v>2.1217499999999999E-3</v>
      </c>
      <c r="P16" s="616">
        <f t="shared" si="1"/>
        <v>5.3820000000000018E-4</v>
      </c>
      <c r="Q16" s="616"/>
      <c r="R16" s="596" t="s">
        <v>240</v>
      </c>
      <c r="S16" s="618" t="s">
        <v>1092</v>
      </c>
      <c r="T16" s="618"/>
      <c r="U16" s="596">
        <v>1000</v>
      </c>
      <c r="V16" s="596">
        <v>24</v>
      </c>
      <c r="W16" s="596"/>
      <c r="X16" s="596"/>
    </row>
    <row r="17" spans="1:24" ht="15.75" customHeight="1">
      <c r="A17" s="595">
        <v>2</v>
      </c>
      <c r="B17" s="596" t="s">
        <v>399</v>
      </c>
      <c r="C17" s="596" t="s">
        <v>396</v>
      </c>
      <c r="D17" s="596" t="s">
        <v>399</v>
      </c>
      <c r="E17" s="596" t="str">
        <f>VLOOKUP(D17,[8]Sheet1!$D$2:$D$239,1,0)</f>
        <v>HMJ107BB7104KAHT</v>
      </c>
      <c r="F17" s="596" t="str">
        <f>VLOOKUP(E17,'[9]EEBOM 512 '!$D$3:$D$169,1,0)</f>
        <v>HMJ107BB7104KAHT</v>
      </c>
      <c r="G17" s="598" t="s">
        <v>1072</v>
      </c>
      <c r="H17" s="596" t="s">
        <v>1093</v>
      </c>
      <c r="I17" s="595" t="s">
        <v>1073</v>
      </c>
      <c r="J17" s="598" t="s">
        <v>1074</v>
      </c>
      <c r="K17" s="595" t="s">
        <v>28</v>
      </c>
      <c r="L17" s="595">
        <v>10</v>
      </c>
      <c r="M17" s="595"/>
      <c r="N17" s="616">
        <v>3.73E-2</v>
      </c>
      <c r="O17" s="616">
        <f t="shared" si="0"/>
        <v>3.8605499999999994E-2</v>
      </c>
      <c r="P17" s="616">
        <f t="shared" si="1"/>
        <v>3.1360499999999993E-2</v>
      </c>
      <c r="Q17" s="616"/>
      <c r="R17" s="596" t="s">
        <v>257</v>
      </c>
      <c r="S17" s="618" t="s">
        <v>1094</v>
      </c>
      <c r="T17" s="618"/>
      <c r="U17" s="596"/>
      <c r="V17" s="596"/>
      <c r="W17" s="596"/>
      <c r="X17" s="596" t="s">
        <v>1095</v>
      </c>
    </row>
    <row r="18" spans="1:24" ht="15.75" customHeight="1">
      <c r="A18" s="595">
        <v>2</v>
      </c>
      <c r="B18" s="596" t="s">
        <v>400</v>
      </c>
      <c r="C18" s="596" t="s">
        <v>396</v>
      </c>
      <c r="D18" s="596" t="s">
        <v>400</v>
      </c>
      <c r="E18" s="596" t="str">
        <f>VLOOKUP(D18,[8]Sheet1!$D$2:$D$239,1,0)</f>
        <v>MCJCH168BB7104KTPA01</v>
      </c>
      <c r="F18" s="596" t="str">
        <f>VLOOKUP(E18,'[9]EEBOM 512 '!$D$3:$D$169,1,0)</f>
        <v>MCJCH168BB7104KTPA01</v>
      </c>
      <c r="G18" s="598" t="s">
        <v>1072</v>
      </c>
      <c r="H18" s="596" t="s">
        <v>1093</v>
      </c>
      <c r="I18" s="595" t="s">
        <v>1073</v>
      </c>
      <c r="J18" s="598" t="s">
        <v>1074</v>
      </c>
      <c r="K18" s="595" t="s">
        <v>28</v>
      </c>
      <c r="L18" s="595"/>
      <c r="M18" s="595"/>
      <c r="N18" s="616">
        <v>3.8800000000000001E-2</v>
      </c>
      <c r="O18" s="616">
        <f t="shared" si="0"/>
        <v>4.0157999999999999E-2</v>
      </c>
      <c r="P18" s="616">
        <f t="shared" si="1"/>
        <v>3.2912999999999998E-2</v>
      </c>
      <c r="Q18" s="616"/>
      <c r="R18" s="596" t="s">
        <v>257</v>
      </c>
      <c r="S18" s="618" t="s">
        <v>1094</v>
      </c>
      <c r="T18" s="618"/>
      <c r="U18" s="596"/>
      <c r="V18" s="596"/>
      <c r="W18" s="596"/>
      <c r="X18" s="596"/>
    </row>
    <row r="19" spans="1:24" ht="15.75" customHeight="1">
      <c r="A19" s="595">
        <v>2</v>
      </c>
      <c r="B19" s="596" t="s">
        <v>395</v>
      </c>
      <c r="C19" s="596" t="s">
        <v>396</v>
      </c>
      <c r="D19" s="596" t="s">
        <v>395</v>
      </c>
      <c r="E19" s="596" t="str">
        <f>VLOOKUP(D19,[8]Sheet1!$D$2:$D$239,1,0)</f>
        <v>GCJ188R72A104KA01D</v>
      </c>
      <c r="F19" s="596" t="str">
        <f>VLOOKUP(E19,'[9]EEBOM 512 '!$D$3:$D$169,1,0)</f>
        <v>GCJ188R72A104KA01D</v>
      </c>
      <c r="G19" s="598" t="s">
        <v>1072</v>
      </c>
      <c r="H19" s="596" t="s">
        <v>1093</v>
      </c>
      <c r="I19" s="595" t="s">
        <v>1073</v>
      </c>
      <c r="J19" s="598" t="s">
        <v>1074</v>
      </c>
      <c r="K19" s="595" t="s">
        <v>28</v>
      </c>
      <c r="L19" s="595"/>
      <c r="M19" s="595">
        <v>10</v>
      </c>
      <c r="N19" s="616">
        <v>7.0000000000000001E-3</v>
      </c>
      <c r="O19" s="616">
        <f t="shared" si="0"/>
        <v>7.2449999999999997E-3</v>
      </c>
      <c r="P19" s="616">
        <f t="shared" si="1"/>
        <v>0</v>
      </c>
      <c r="Q19" s="616">
        <f>O19*M19</f>
        <v>7.2450000000000001E-2</v>
      </c>
      <c r="R19" s="596" t="s">
        <v>237</v>
      </c>
      <c r="S19" s="618" t="s">
        <v>1089</v>
      </c>
      <c r="T19" s="618"/>
      <c r="U19" s="596">
        <v>10000</v>
      </c>
      <c r="V19" s="596" t="s">
        <v>1090</v>
      </c>
      <c r="W19" s="596"/>
      <c r="X19" s="596"/>
    </row>
    <row r="20" spans="1:24" ht="15.75" customHeight="1">
      <c r="A20" s="595">
        <v>2</v>
      </c>
      <c r="B20" s="596" t="s">
        <v>477</v>
      </c>
      <c r="C20" s="596" t="s">
        <v>478</v>
      </c>
      <c r="D20" s="596" t="s">
        <v>477</v>
      </c>
      <c r="E20" s="596" t="str">
        <f>VLOOKUP(D20,[8]Sheet1!$D$2:$D$239,1,0)</f>
        <v>GCM033C71A104KE02D</v>
      </c>
      <c r="F20" s="596" t="str">
        <f>VLOOKUP(E20,'[9]EEBOM 512 '!$D$3:$D$169,1,0)</f>
        <v>GCM033C71A104KE02D</v>
      </c>
      <c r="G20" s="598" t="s">
        <v>1072</v>
      </c>
      <c r="H20" s="596" t="s">
        <v>479</v>
      </c>
      <c r="I20" s="595" t="s">
        <v>1073</v>
      </c>
      <c r="J20" s="598" t="s">
        <v>1074</v>
      </c>
      <c r="K20" s="595" t="s">
        <v>28</v>
      </c>
      <c r="L20" s="595">
        <v>28</v>
      </c>
      <c r="M20" s="595">
        <v>28</v>
      </c>
      <c r="N20" s="616">
        <v>4.0499999999999998E-3</v>
      </c>
      <c r="O20" s="616">
        <f t="shared" si="0"/>
        <v>4.1917499999999993E-3</v>
      </c>
      <c r="P20" s="616">
        <f t="shared" si="1"/>
        <v>0</v>
      </c>
      <c r="Q20" s="616">
        <f>O20*M20</f>
        <v>0.11736899999999997</v>
      </c>
      <c r="R20" s="596" t="s">
        <v>237</v>
      </c>
      <c r="S20" s="618" t="s">
        <v>1089</v>
      </c>
      <c r="T20" s="618"/>
      <c r="U20" s="596">
        <v>10000</v>
      </c>
      <c r="V20" s="596" t="s">
        <v>1090</v>
      </c>
      <c r="W20" s="596"/>
      <c r="X20" s="596" t="s">
        <v>1096</v>
      </c>
    </row>
    <row r="21" spans="1:24" ht="15.75" customHeight="1">
      <c r="A21" s="595">
        <v>2</v>
      </c>
      <c r="B21" s="596" t="s">
        <v>481</v>
      </c>
      <c r="C21" s="596" t="s">
        <v>478</v>
      </c>
      <c r="D21" s="596" t="s">
        <v>481</v>
      </c>
      <c r="E21" s="596" t="str">
        <f>VLOOKUP(D21,[8]Sheet1!$D$2:$D$239,1,0)</f>
        <v>GCM033C71A104KE02J</v>
      </c>
      <c r="F21" s="596" t="str">
        <f>VLOOKUP(E21,'[9]EEBOM 512 '!$D$3:$D$169,1,0)</f>
        <v>GCM033C71A104KE02J</v>
      </c>
      <c r="G21" s="598" t="s">
        <v>1072</v>
      </c>
      <c r="H21" s="596" t="s">
        <v>479</v>
      </c>
      <c r="I21" s="595" t="s">
        <v>1073</v>
      </c>
      <c r="J21" s="598" t="s">
        <v>1074</v>
      </c>
      <c r="K21" s="595" t="s">
        <v>28</v>
      </c>
      <c r="L21" s="595"/>
      <c r="M21" s="595"/>
      <c r="N21" s="616">
        <v>4.0499999999999998E-3</v>
      </c>
      <c r="O21" s="616">
        <f t="shared" si="0"/>
        <v>4.1917499999999993E-3</v>
      </c>
      <c r="P21" s="616">
        <f t="shared" si="1"/>
        <v>0</v>
      </c>
      <c r="Q21" s="616"/>
      <c r="R21" s="596" t="s">
        <v>237</v>
      </c>
      <c r="S21" s="618" t="s">
        <v>1089</v>
      </c>
      <c r="T21" s="618"/>
      <c r="U21" s="596">
        <v>10000</v>
      </c>
      <c r="V21" s="596" t="s">
        <v>1090</v>
      </c>
      <c r="W21" s="596"/>
      <c r="X21" s="596"/>
    </row>
    <row r="22" spans="1:24" ht="15.75" customHeight="1">
      <c r="A22" s="595">
        <v>2</v>
      </c>
      <c r="B22" s="596" t="s">
        <v>234</v>
      </c>
      <c r="C22" s="596" t="s">
        <v>235</v>
      </c>
      <c r="D22" s="596" t="s">
        <v>234</v>
      </c>
      <c r="E22" s="596" t="str">
        <f>VLOOKUP(D22,[8]Sheet1!$D$2:$D$239,1,0)</f>
        <v>GCM21BR71E225KA73L</v>
      </c>
      <c r="F22" s="596" t="str">
        <f>VLOOKUP(E22,'[9]EEBOM 512 '!$D$3:$D$169,1,0)</f>
        <v>GCM21BR71E225KA73L</v>
      </c>
      <c r="G22" s="598" t="s">
        <v>1072</v>
      </c>
      <c r="H22" s="596" t="s">
        <v>1097</v>
      </c>
      <c r="I22" s="595" t="s">
        <v>1073</v>
      </c>
      <c r="J22" s="598" t="s">
        <v>1074</v>
      </c>
      <c r="K22" s="595" t="s">
        <v>28</v>
      </c>
      <c r="L22" s="595">
        <v>7</v>
      </c>
      <c r="M22" s="595">
        <v>7</v>
      </c>
      <c r="N22" s="616">
        <v>1.7999999999999999E-2</v>
      </c>
      <c r="O22" s="616">
        <f t="shared" si="0"/>
        <v>1.8629999999999997E-2</v>
      </c>
      <c r="P22" s="616">
        <f t="shared" si="1"/>
        <v>0</v>
      </c>
      <c r="Q22" s="616">
        <f>O22*M22</f>
        <v>0.13040999999999997</v>
      </c>
      <c r="R22" s="596" t="s">
        <v>237</v>
      </c>
      <c r="S22" s="618" t="s">
        <v>1098</v>
      </c>
      <c r="T22" s="618"/>
      <c r="U22" s="596"/>
      <c r="V22" s="596"/>
      <c r="W22" s="596"/>
      <c r="X22" s="596" t="s">
        <v>1099</v>
      </c>
    </row>
    <row r="23" spans="1:24" ht="15.75" customHeight="1">
      <c r="A23" s="595">
        <v>2</v>
      </c>
      <c r="B23" s="596" t="s">
        <v>239</v>
      </c>
      <c r="C23" s="596" t="s">
        <v>235</v>
      </c>
      <c r="D23" s="596" t="s">
        <v>239</v>
      </c>
      <c r="E23" s="596" t="str">
        <f>VLOOKUP(D23,[8]Sheet1!$D$2:$D$239,1,0)</f>
        <v>CGA4J3X7R1E225K125AB</v>
      </c>
      <c r="F23" s="596" t="str">
        <f>VLOOKUP(E23,'[9]EEBOM 512 '!$D$3:$D$169,1,0)</f>
        <v>CGA4J3X7R1E225K125AB</v>
      </c>
      <c r="G23" s="598" t="s">
        <v>1072</v>
      </c>
      <c r="H23" s="596" t="s">
        <v>1097</v>
      </c>
      <c r="I23" s="595" t="s">
        <v>1073</v>
      </c>
      <c r="J23" s="598" t="s">
        <v>1074</v>
      </c>
      <c r="K23" s="595" t="s">
        <v>28</v>
      </c>
      <c r="L23" s="595"/>
      <c r="M23" s="595"/>
      <c r="N23" s="616">
        <v>3.2219999999999999E-2</v>
      </c>
      <c r="O23" s="616">
        <f t="shared" si="0"/>
        <v>3.3347699999999994E-2</v>
      </c>
      <c r="P23" s="616">
        <f t="shared" si="1"/>
        <v>1.4717699999999997E-2</v>
      </c>
      <c r="Q23" s="616"/>
      <c r="R23" s="596" t="s">
        <v>240</v>
      </c>
      <c r="S23" s="618" t="s">
        <v>1092</v>
      </c>
      <c r="T23" s="618"/>
      <c r="U23" s="596">
        <v>4000</v>
      </c>
      <c r="V23" s="596">
        <v>24</v>
      </c>
      <c r="W23" s="596"/>
      <c r="X23" s="596"/>
    </row>
    <row r="24" spans="1:24" ht="15.75" customHeight="1">
      <c r="A24" s="595">
        <v>2</v>
      </c>
      <c r="B24" s="596" t="s">
        <v>1100</v>
      </c>
      <c r="C24" s="596" t="s">
        <v>1101</v>
      </c>
      <c r="D24" s="596" t="s">
        <v>1100</v>
      </c>
      <c r="E24" s="596" t="str">
        <f>VLOOKUP(D24,[8]Sheet1!$D$2:$D$239,1,0)</f>
        <v>MCASJ21GAB7106KTNA01</v>
      </c>
      <c r="F24" s="596" t="e">
        <f>VLOOKUP(E24,'[9]EEBOM 512 '!$D$3:$D$169,1,0)</f>
        <v>#N/A</v>
      </c>
      <c r="G24" s="598" t="s">
        <v>1072</v>
      </c>
      <c r="H24" s="596" t="s">
        <v>1102</v>
      </c>
      <c r="I24" s="595" t="s">
        <v>1073</v>
      </c>
      <c r="J24" s="598" t="s">
        <v>1074</v>
      </c>
      <c r="K24" s="595" t="s">
        <v>28</v>
      </c>
      <c r="L24" s="595">
        <v>3</v>
      </c>
      <c r="M24" s="595">
        <v>3</v>
      </c>
      <c r="N24" s="616">
        <v>1.14E-2</v>
      </c>
      <c r="O24" s="616">
        <f t="shared" si="0"/>
        <v>1.1798999999999999E-2</v>
      </c>
      <c r="P24" s="616">
        <f t="shared" si="1"/>
        <v>0</v>
      </c>
      <c r="Q24" s="616">
        <f>O24*M24</f>
        <v>3.5396999999999998E-2</v>
      </c>
      <c r="R24" s="596" t="s">
        <v>257</v>
      </c>
      <c r="S24" s="618" t="s">
        <v>1103</v>
      </c>
      <c r="T24" s="618"/>
      <c r="U24" s="596"/>
      <c r="V24" s="596"/>
      <c r="W24" s="596"/>
      <c r="X24" s="596" t="s">
        <v>1104</v>
      </c>
    </row>
    <row r="25" spans="1:24" ht="15.75" customHeight="1">
      <c r="A25" s="595">
        <v>2</v>
      </c>
      <c r="B25" s="596" t="s">
        <v>1105</v>
      </c>
      <c r="C25" s="596" t="s">
        <v>1101</v>
      </c>
      <c r="D25" s="596" t="s">
        <v>1106</v>
      </c>
      <c r="E25" s="596" t="str">
        <f>VLOOKUP(D25,[8]Sheet1!$D$2:$D$239,1,0)</f>
        <v>GCM21BR70J106KE22L</v>
      </c>
      <c r="F25" s="596" t="e">
        <f>VLOOKUP(E25,'[9]EEBOM 512 '!$D$3:$D$169,1,0)</f>
        <v>#N/A</v>
      </c>
      <c r="G25" s="598" t="s">
        <v>1072</v>
      </c>
      <c r="H25" s="596" t="s">
        <v>1102</v>
      </c>
      <c r="I25" s="595" t="s">
        <v>1073</v>
      </c>
      <c r="J25" s="598" t="s">
        <v>1074</v>
      </c>
      <c r="K25" s="595" t="s">
        <v>28</v>
      </c>
      <c r="L25" s="595"/>
      <c r="M25" s="595"/>
      <c r="N25" s="616">
        <v>2.0250000000000001E-2</v>
      </c>
      <c r="O25" s="616">
        <f t="shared" si="0"/>
        <v>2.0958749999999998E-2</v>
      </c>
      <c r="P25" s="616">
        <f t="shared" si="1"/>
        <v>9.1597499999999995E-3</v>
      </c>
      <c r="Q25" s="616"/>
      <c r="R25" s="596" t="s">
        <v>237</v>
      </c>
      <c r="S25" s="618" t="s">
        <v>1089</v>
      </c>
      <c r="T25" s="618"/>
      <c r="U25" s="596">
        <v>10000</v>
      </c>
      <c r="V25" s="596" t="s">
        <v>1090</v>
      </c>
      <c r="W25" s="596"/>
      <c r="X25" s="596"/>
    </row>
    <row r="26" spans="1:24" ht="15.75" customHeight="1">
      <c r="A26" s="595">
        <v>2</v>
      </c>
      <c r="B26" s="596" t="s">
        <v>1107</v>
      </c>
      <c r="C26" s="596" t="s">
        <v>1101</v>
      </c>
      <c r="D26" s="596" t="s">
        <v>1107</v>
      </c>
      <c r="E26" s="596" t="str">
        <f>VLOOKUP(D26,[8]Sheet1!$D$2:$D$239,1,0)</f>
        <v>CGA4J1X7R0J106K125AC</v>
      </c>
      <c r="F26" s="596" t="e">
        <f>VLOOKUP(E26,'[9]EEBOM 512 '!$D$3:$D$169,1,0)</f>
        <v>#N/A</v>
      </c>
      <c r="G26" s="598" t="s">
        <v>1072</v>
      </c>
      <c r="H26" s="596" t="s">
        <v>1102</v>
      </c>
      <c r="I26" s="595" t="s">
        <v>1073</v>
      </c>
      <c r="J26" s="598" t="s">
        <v>1074</v>
      </c>
      <c r="K26" s="595" t="s">
        <v>28</v>
      </c>
      <c r="L26" s="595"/>
      <c r="M26" s="595"/>
      <c r="N26" s="616">
        <v>2.4750000000000001E-2</v>
      </c>
      <c r="O26" s="616">
        <f t="shared" si="0"/>
        <v>2.561625E-2</v>
      </c>
      <c r="P26" s="616">
        <f t="shared" si="1"/>
        <v>1.3817250000000001E-2</v>
      </c>
      <c r="Q26" s="616"/>
      <c r="R26" s="596" t="s">
        <v>240</v>
      </c>
      <c r="S26" s="618" t="s">
        <v>1108</v>
      </c>
      <c r="T26" s="618"/>
      <c r="U26" s="596">
        <v>2000</v>
      </c>
      <c r="V26" s="596">
        <v>16</v>
      </c>
      <c r="W26" s="596"/>
      <c r="X26" s="596"/>
    </row>
    <row r="27" spans="1:24" ht="15.75" customHeight="1">
      <c r="A27" s="595">
        <v>2</v>
      </c>
      <c r="B27" s="596" t="s">
        <v>1109</v>
      </c>
      <c r="C27" s="596" t="s">
        <v>1101</v>
      </c>
      <c r="D27" s="596" t="s">
        <v>1109</v>
      </c>
      <c r="E27" s="596" t="str">
        <f>VLOOKUP(D27,[8]Sheet1!$D$2:$D$239,1,0)</f>
        <v>C0805C106K9RACAUTO</v>
      </c>
      <c r="F27" s="596" t="e">
        <f>VLOOKUP(E27,'[9]EEBOM 512 '!$D$3:$D$169,1,0)</f>
        <v>#N/A</v>
      </c>
      <c r="G27" s="598" t="s">
        <v>1072</v>
      </c>
      <c r="H27" s="596" t="s">
        <v>1102</v>
      </c>
      <c r="I27" s="595" t="s">
        <v>1073</v>
      </c>
      <c r="J27" s="598" t="s">
        <v>1074</v>
      </c>
      <c r="K27" s="595" t="s">
        <v>28</v>
      </c>
      <c r="L27" s="595"/>
      <c r="M27" s="595"/>
      <c r="N27" s="616">
        <v>4.1500000000000002E-2</v>
      </c>
      <c r="O27" s="616">
        <f t="shared" si="0"/>
        <v>4.2952499999999998E-2</v>
      </c>
      <c r="P27" s="616">
        <f t="shared" si="1"/>
        <v>3.1153500000000001E-2</v>
      </c>
      <c r="Q27" s="616"/>
      <c r="R27" s="596" t="s">
        <v>254</v>
      </c>
      <c r="S27" s="618" t="s">
        <v>1081</v>
      </c>
      <c r="T27" s="618"/>
      <c r="U27" s="596"/>
      <c r="V27" s="596"/>
      <c r="W27" s="596"/>
      <c r="X27" s="596"/>
    </row>
    <row r="28" spans="1:24" ht="15.75" customHeight="1">
      <c r="A28" s="595">
        <v>2</v>
      </c>
      <c r="B28" s="596" t="s">
        <v>580</v>
      </c>
      <c r="C28" s="596" t="s">
        <v>581</v>
      </c>
      <c r="D28" s="596" t="s">
        <v>580</v>
      </c>
      <c r="E28" s="596" t="str">
        <f>VLOOKUP(D28,[8]Sheet1!$D$2:$D$239,1,0)</f>
        <v>CL31B106KAHVPNE</v>
      </c>
      <c r="F28" s="596" t="str">
        <f>VLOOKUP(E28,'[9]EEBOM 512 '!$D$3:$D$169,1,0)</f>
        <v>CL31B106KAHVPNE</v>
      </c>
      <c r="G28" s="598" t="s">
        <v>1072</v>
      </c>
      <c r="H28" s="596" t="s">
        <v>582</v>
      </c>
      <c r="I28" s="595" t="s">
        <v>1073</v>
      </c>
      <c r="J28" s="598" t="s">
        <v>1074</v>
      </c>
      <c r="K28" s="595" t="s">
        <v>28</v>
      </c>
      <c r="L28" s="595">
        <v>5</v>
      </c>
      <c r="M28" s="595">
        <v>5</v>
      </c>
      <c r="N28" s="616">
        <v>2.5760000000000002E-2</v>
      </c>
      <c r="O28" s="616">
        <f t="shared" si="0"/>
        <v>2.6661600000000001E-2</v>
      </c>
      <c r="P28" s="616">
        <f t="shared" si="1"/>
        <v>0</v>
      </c>
      <c r="Q28" s="616">
        <f>O28*M28</f>
        <v>0.13330800000000001</v>
      </c>
      <c r="R28" s="596" t="s">
        <v>275</v>
      </c>
      <c r="S28" s="618" t="s">
        <v>1092</v>
      </c>
      <c r="T28" s="618"/>
      <c r="U28" s="596">
        <v>2000</v>
      </c>
      <c r="V28" s="596">
        <v>20</v>
      </c>
      <c r="W28" s="596"/>
      <c r="X28" s="596" t="s">
        <v>1110</v>
      </c>
    </row>
    <row r="29" spans="1:24" ht="15.75" customHeight="1">
      <c r="A29" s="595">
        <v>2</v>
      </c>
      <c r="B29" s="596" t="s">
        <v>584</v>
      </c>
      <c r="C29" s="596" t="s">
        <v>581</v>
      </c>
      <c r="D29" s="596" t="s">
        <v>585</v>
      </c>
      <c r="E29" s="596" t="str">
        <f>VLOOKUP(D29,[8]Sheet1!$D$2:$D$239,1,0)</f>
        <v>CGA5L1X7R1E106K160AC</v>
      </c>
      <c r="F29" s="596" t="str">
        <f>VLOOKUP(E29,'[9]EEBOM 512 '!$D$3:$D$169,1,0)</f>
        <v>CGA5L1X7R1E106K160AC</v>
      </c>
      <c r="G29" s="598" t="s">
        <v>1072</v>
      </c>
      <c r="H29" s="596" t="s">
        <v>582</v>
      </c>
      <c r="I29" s="595" t="s">
        <v>1073</v>
      </c>
      <c r="J29" s="598" t="s">
        <v>1074</v>
      </c>
      <c r="K29" s="595" t="s">
        <v>28</v>
      </c>
      <c r="L29" s="595"/>
      <c r="M29" s="595"/>
      <c r="N29" s="616">
        <v>3.5060000000000001E-2</v>
      </c>
      <c r="O29" s="616">
        <f t="shared" si="0"/>
        <v>3.6287099999999996E-2</v>
      </c>
      <c r="P29" s="616">
        <f t="shared" si="1"/>
        <v>9.6254999999999952E-3</v>
      </c>
      <c r="Q29" s="616"/>
      <c r="R29" s="596" t="s">
        <v>240</v>
      </c>
      <c r="S29" s="618" t="s">
        <v>1108</v>
      </c>
      <c r="T29" s="618"/>
      <c r="U29" s="596">
        <v>2000</v>
      </c>
      <c r="V29" s="596">
        <v>16</v>
      </c>
      <c r="W29" s="596"/>
      <c r="X29" s="596"/>
    </row>
    <row r="30" spans="1:24" ht="15.75" customHeight="1">
      <c r="A30" s="595">
        <v>2</v>
      </c>
      <c r="B30" s="596" t="s">
        <v>1111</v>
      </c>
      <c r="C30" s="596" t="s">
        <v>1112</v>
      </c>
      <c r="D30" s="596" t="s">
        <v>1111</v>
      </c>
      <c r="E30" s="596" t="str">
        <f>VLOOKUP(D30,[8]Sheet1!$D$2:$D$239,1,0)</f>
        <v>CGA2B3X7S2A103K050BB</v>
      </c>
      <c r="F30" s="596" t="e">
        <f>VLOOKUP(E30,'[9]EEBOM 512 '!$D$3:$D$169,1,0)</f>
        <v>#N/A</v>
      </c>
      <c r="G30" s="598" t="s">
        <v>1072</v>
      </c>
      <c r="H30" s="596" t="s">
        <v>1113</v>
      </c>
      <c r="I30" s="595" t="s">
        <v>1073</v>
      </c>
      <c r="J30" s="598" t="s">
        <v>1074</v>
      </c>
      <c r="K30" s="595" t="s">
        <v>28</v>
      </c>
      <c r="L30" s="595">
        <v>4</v>
      </c>
      <c r="M30" s="595">
        <v>4</v>
      </c>
      <c r="N30" s="616">
        <v>5.9800000000000001E-3</v>
      </c>
      <c r="O30" s="616">
        <f t="shared" si="0"/>
        <v>6.1893E-3</v>
      </c>
      <c r="P30" s="616">
        <f t="shared" si="1"/>
        <v>0</v>
      </c>
      <c r="Q30" s="616">
        <f>O30*M30</f>
        <v>2.47572E-2</v>
      </c>
      <c r="R30" s="596" t="s">
        <v>240</v>
      </c>
      <c r="S30" s="618" t="s">
        <v>1088</v>
      </c>
      <c r="T30" s="618"/>
      <c r="U30" s="596"/>
      <c r="V30" s="596"/>
      <c r="W30" s="596"/>
      <c r="X30" s="596" t="s">
        <v>1114</v>
      </c>
    </row>
    <row r="31" spans="1:24" ht="15.75" customHeight="1">
      <c r="A31" s="595">
        <v>2</v>
      </c>
      <c r="B31" s="596" t="s">
        <v>503</v>
      </c>
      <c r="C31" s="596" t="s">
        <v>504</v>
      </c>
      <c r="D31" s="596" t="s">
        <v>503</v>
      </c>
      <c r="E31" s="596" t="str">
        <f>VLOOKUP(D31,[8]Sheet1!$D$2:$D$239,1,0)</f>
        <v>GCM1885C2A221JA16D</v>
      </c>
      <c r="F31" s="596" t="str">
        <f>VLOOKUP(E31,'[9]EEBOM 512 '!$D$3:$D$169,1,0)</f>
        <v>GCM1885C2A221JA16D</v>
      </c>
      <c r="G31" s="598" t="s">
        <v>1072</v>
      </c>
      <c r="H31" s="596" t="s">
        <v>1115</v>
      </c>
      <c r="I31" s="595" t="s">
        <v>1073</v>
      </c>
      <c r="J31" s="598" t="s">
        <v>1074</v>
      </c>
      <c r="K31" s="595" t="s">
        <v>28</v>
      </c>
      <c r="L31" s="595">
        <v>1</v>
      </c>
      <c r="M31" s="595">
        <v>1</v>
      </c>
      <c r="N31" s="616">
        <v>4.7999999999999996E-3</v>
      </c>
      <c r="O31" s="616">
        <f t="shared" si="0"/>
        <v>4.9679999999999993E-3</v>
      </c>
      <c r="P31" s="616">
        <f t="shared" si="1"/>
        <v>0</v>
      </c>
      <c r="Q31" s="616">
        <f>O31*M31</f>
        <v>4.9679999999999993E-3</v>
      </c>
      <c r="R31" s="596" t="s">
        <v>237</v>
      </c>
      <c r="S31" s="618" t="s">
        <v>1086</v>
      </c>
      <c r="T31" s="618"/>
      <c r="U31" s="596">
        <v>10000</v>
      </c>
      <c r="V31" s="596">
        <v>12</v>
      </c>
      <c r="W31" s="596"/>
      <c r="X31" s="596" t="s">
        <v>506</v>
      </c>
    </row>
    <row r="32" spans="1:24" ht="15.75" customHeight="1">
      <c r="A32" s="595">
        <v>2</v>
      </c>
      <c r="B32" s="596" t="s">
        <v>311</v>
      </c>
      <c r="C32" s="596" t="s">
        <v>307</v>
      </c>
      <c r="D32" s="596" t="s">
        <v>311</v>
      </c>
      <c r="E32" s="596" t="str">
        <f>VLOOKUP(D32,[8]Sheet1!$D$2:$D$239,1,0)</f>
        <v>CL10B105KA8VPNC</v>
      </c>
      <c r="F32" s="596" t="str">
        <f>VLOOKUP(E32,'[9]EEBOM 512 '!$D$3:$D$169,1,0)</f>
        <v>CL10B105KA8VPNC</v>
      </c>
      <c r="G32" s="598" t="s">
        <v>1072</v>
      </c>
      <c r="H32" s="596" t="s">
        <v>1116</v>
      </c>
      <c r="I32" s="595" t="s">
        <v>1073</v>
      </c>
      <c r="J32" s="598" t="s">
        <v>1074</v>
      </c>
      <c r="K32" s="595" t="s">
        <v>28</v>
      </c>
      <c r="L32" s="595">
        <v>5</v>
      </c>
      <c r="M32" s="595">
        <v>5</v>
      </c>
      <c r="N32" s="616">
        <v>4.8999999999999998E-3</v>
      </c>
      <c r="O32" s="616">
        <f t="shared" si="0"/>
        <v>5.0714999999999996E-3</v>
      </c>
      <c r="P32" s="616">
        <f t="shared" si="1"/>
        <v>0</v>
      </c>
      <c r="Q32" s="616">
        <f>O32*M32</f>
        <v>2.5357499999999998E-2</v>
      </c>
      <c r="R32" s="596" t="s">
        <v>275</v>
      </c>
      <c r="S32" s="618" t="s">
        <v>1078</v>
      </c>
      <c r="T32" s="618"/>
      <c r="U32" s="596"/>
      <c r="V32" s="596"/>
      <c r="W32" s="596"/>
      <c r="X32" s="596" t="s">
        <v>1117</v>
      </c>
    </row>
    <row r="33" spans="1:24" ht="15.75" customHeight="1">
      <c r="A33" s="595">
        <v>2</v>
      </c>
      <c r="B33" s="596" t="s">
        <v>310</v>
      </c>
      <c r="C33" s="596" t="s">
        <v>307</v>
      </c>
      <c r="D33" s="596" t="s">
        <v>310</v>
      </c>
      <c r="E33" s="596" t="str">
        <f>VLOOKUP(D33,[8]Sheet1!$D$2:$D$239,1,0)</f>
        <v>GCM188R71E105KA64D</v>
      </c>
      <c r="F33" s="596" t="str">
        <f>VLOOKUP(E33,'[9]EEBOM 512 '!$D$3:$D$169,1,0)</f>
        <v>GCM188R71E105KA64D</v>
      </c>
      <c r="G33" s="598" t="s">
        <v>1072</v>
      </c>
      <c r="H33" s="596" t="s">
        <v>1116</v>
      </c>
      <c r="I33" s="595" t="s">
        <v>1073</v>
      </c>
      <c r="J33" s="598" t="s">
        <v>1074</v>
      </c>
      <c r="K33" s="595" t="s">
        <v>28</v>
      </c>
      <c r="L33" s="595"/>
      <c r="M33" s="595"/>
      <c r="N33" s="616">
        <v>5.0000000000000001E-3</v>
      </c>
      <c r="O33" s="616">
        <f t="shared" si="0"/>
        <v>5.1749999999999999E-3</v>
      </c>
      <c r="P33" s="616">
        <f t="shared" si="1"/>
        <v>1.0350000000000029E-4</v>
      </c>
      <c r="Q33" s="616"/>
      <c r="R33" s="596" t="s">
        <v>237</v>
      </c>
      <c r="S33" s="618" t="s">
        <v>1086</v>
      </c>
      <c r="T33" s="618"/>
      <c r="U33" s="596">
        <v>10000</v>
      </c>
      <c r="V33" s="596">
        <v>12</v>
      </c>
      <c r="W33" s="596"/>
      <c r="X33" s="596"/>
    </row>
    <row r="34" spans="1:24" ht="15.75" customHeight="1">
      <c r="A34" s="595">
        <v>2</v>
      </c>
      <c r="B34" s="596" t="s">
        <v>306</v>
      </c>
      <c r="C34" s="596" t="s">
        <v>307</v>
      </c>
      <c r="D34" s="596" t="s">
        <v>306</v>
      </c>
      <c r="E34" s="596" t="str">
        <f>VLOOKUP(D34,[8]Sheet1!$D$2:$D$239,1,0)</f>
        <v>CGA3E1X7R1E105K080AC</v>
      </c>
      <c r="F34" s="596" t="str">
        <f>VLOOKUP(E34,'[9]EEBOM 512 '!$D$3:$D$169,1,0)</f>
        <v>CGA3E1X7R1E105K080AC</v>
      </c>
      <c r="G34" s="598" t="s">
        <v>1072</v>
      </c>
      <c r="H34" s="596" t="s">
        <v>1116</v>
      </c>
      <c r="I34" s="595" t="s">
        <v>1073</v>
      </c>
      <c r="J34" s="598" t="s">
        <v>1074</v>
      </c>
      <c r="K34" s="595" t="s">
        <v>28</v>
      </c>
      <c r="L34" s="595"/>
      <c r="M34" s="595"/>
      <c r="N34" s="616">
        <v>6.4250000000000002E-3</v>
      </c>
      <c r="O34" s="616">
        <f t="shared" si="0"/>
        <v>6.6498749999999995E-3</v>
      </c>
      <c r="P34" s="616">
        <f t="shared" si="1"/>
        <v>1.5783749999999999E-3</v>
      </c>
      <c r="Q34" s="616"/>
      <c r="R34" s="596" t="s">
        <v>240</v>
      </c>
      <c r="S34" s="618" t="s">
        <v>1092</v>
      </c>
      <c r="T34" s="618"/>
      <c r="U34" s="596">
        <v>4000</v>
      </c>
      <c r="V34" s="596">
        <v>20</v>
      </c>
      <c r="W34" s="596"/>
      <c r="X34" s="596"/>
    </row>
    <row r="35" spans="1:24" ht="15.75" customHeight="1">
      <c r="A35" s="595">
        <v>2</v>
      </c>
      <c r="B35" s="596" t="s">
        <v>430</v>
      </c>
      <c r="C35" s="596" t="s">
        <v>427</v>
      </c>
      <c r="D35" s="596" t="s">
        <v>431</v>
      </c>
      <c r="E35" s="596" t="str">
        <f>VLOOKUP(D35,[8]Sheet1!$D$2:$D$239,1,0)</f>
        <v>GCJ188C70J475KE02D</v>
      </c>
      <c r="F35" s="596" t="str">
        <f>VLOOKUP(E35,'[9]EEBOM 512 '!$D$3:$D$169,1,0)</f>
        <v>GCJ188C70J475KE02D</v>
      </c>
      <c r="G35" s="598" t="s">
        <v>1072</v>
      </c>
      <c r="H35" s="596" t="s">
        <v>428</v>
      </c>
      <c r="I35" s="595" t="s">
        <v>1073</v>
      </c>
      <c r="J35" s="598" t="s">
        <v>1074</v>
      </c>
      <c r="K35" s="595" t="s">
        <v>28</v>
      </c>
      <c r="L35" s="595">
        <v>4</v>
      </c>
      <c r="M35" s="595">
        <v>4</v>
      </c>
      <c r="N35" s="616">
        <v>2.9000000000000001E-2</v>
      </c>
      <c r="O35" s="616">
        <f t="shared" si="0"/>
        <v>3.0015E-2</v>
      </c>
      <c r="P35" s="616">
        <f t="shared" si="1"/>
        <v>0</v>
      </c>
      <c r="Q35" s="616">
        <f>O35*M35</f>
        <v>0.12006</v>
      </c>
      <c r="R35" s="596" t="s">
        <v>237</v>
      </c>
      <c r="S35" s="618" t="s">
        <v>1086</v>
      </c>
      <c r="T35" s="618"/>
      <c r="U35" s="596">
        <v>10000</v>
      </c>
      <c r="V35" s="596">
        <v>12</v>
      </c>
      <c r="W35" s="596"/>
      <c r="X35" s="596" t="s">
        <v>1118</v>
      </c>
    </row>
    <row r="36" spans="1:24" ht="15.75" customHeight="1">
      <c r="A36" s="595">
        <v>2</v>
      </c>
      <c r="B36" s="596" t="s">
        <v>426</v>
      </c>
      <c r="C36" s="596" t="s">
        <v>427</v>
      </c>
      <c r="D36" s="596" t="s">
        <v>426</v>
      </c>
      <c r="E36" s="596" t="str">
        <f>VLOOKUP(D36,[8]Sheet1!$D$2:$D$239,1,0)</f>
        <v>GCJ188C70J475KE02J</v>
      </c>
      <c r="F36" s="596" t="str">
        <f>VLOOKUP(E36,'[9]EEBOM 512 '!$D$3:$D$169,1,0)</f>
        <v>GCJ188C70J475KE02J</v>
      </c>
      <c r="G36" s="598" t="s">
        <v>1072</v>
      </c>
      <c r="H36" s="596" t="s">
        <v>428</v>
      </c>
      <c r="I36" s="595" t="s">
        <v>1073</v>
      </c>
      <c r="J36" s="598" t="s">
        <v>1074</v>
      </c>
      <c r="K36" s="595" t="s">
        <v>28</v>
      </c>
      <c r="L36" s="595"/>
      <c r="M36" s="595"/>
      <c r="N36" s="616">
        <v>2.9000000000000001E-2</v>
      </c>
      <c r="O36" s="616">
        <f t="shared" si="0"/>
        <v>3.0015E-2</v>
      </c>
      <c r="P36" s="616">
        <f t="shared" si="1"/>
        <v>0</v>
      </c>
      <c r="Q36" s="616"/>
      <c r="R36" s="596" t="s">
        <v>237</v>
      </c>
      <c r="S36" s="618" t="s">
        <v>1086</v>
      </c>
      <c r="T36" s="618"/>
      <c r="U36" s="596">
        <v>10000</v>
      </c>
      <c r="V36" s="596">
        <v>12</v>
      </c>
      <c r="W36" s="596"/>
      <c r="X36" s="596"/>
    </row>
    <row r="37" spans="1:24" ht="15.75" customHeight="1">
      <c r="A37" s="595">
        <v>2</v>
      </c>
      <c r="B37" s="596" t="s">
        <v>552</v>
      </c>
      <c r="C37" s="596" t="s">
        <v>551</v>
      </c>
      <c r="D37" s="596" t="s">
        <v>552</v>
      </c>
      <c r="E37" s="596" t="str">
        <f>VLOOKUP(D37,[8]Sheet1!$D$2:$D$239,1,0)</f>
        <v>KAM05CR71A105KH</v>
      </c>
      <c r="F37" s="596" t="str">
        <f>VLOOKUP(E37,'[9]EEBOM 512 '!$D$3:$D$169,1,0)</f>
        <v>KAM05CR71A105KH</v>
      </c>
      <c r="G37" s="598" t="s">
        <v>1072</v>
      </c>
      <c r="H37" s="596" t="s">
        <v>553</v>
      </c>
      <c r="I37" s="595" t="s">
        <v>1073</v>
      </c>
      <c r="J37" s="598" t="s">
        <v>1074</v>
      </c>
      <c r="K37" s="595" t="s">
        <v>28</v>
      </c>
      <c r="L37" s="595">
        <v>7</v>
      </c>
      <c r="M37" s="595">
        <v>7</v>
      </c>
      <c r="N37" s="616">
        <v>8.2500000000000004E-3</v>
      </c>
      <c r="O37" s="616">
        <f t="shared" si="0"/>
        <v>8.5387499999999995E-3</v>
      </c>
      <c r="P37" s="616">
        <f t="shared" si="1"/>
        <v>0</v>
      </c>
      <c r="Q37" s="616">
        <f>O37*M37</f>
        <v>5.9771249999999998E-2</v>
      </c>
      <c r="R37" s="596" t="s">
        <v>554</v>
      </c>
      <c r="S37" s="618" t="s">
        <v>1119</v>
      </c>
      <c r="T37" s="618"/>
      <c r="U37" s="596"/>
      <c r="V37" s="596"/>
      <c r="W37" s="596"/>
      <c r="X37" s="596" t="s">
        <v>1120</v>
      </c>
    </row>
    <row r="38" spans="1:24" ht="15.75" customHeight="1">
      <c r="A38" s="595">
        <v>2</v>
      </c>
      <c r="B38" s="596" t="s">
        <v>609</v>
      </c>
      <c r="C38" s="596" t="s">
        <v>605</v>
      </c>
      <c r="D38" s="596" t="s">
        <v>1121</v>
      </c>
      <c r="E38" s="596" t="str">
        <f>VLOOKUP(D38,[8]Sheet1!$D$2:$D$239,1,0)</f>
        <v>MCASU063SCG180JFNA01</v>
      </c>
      <c r="F38" s="596" t="str">
        <f>VLOOKUP(E38,'[9]EEBOM 512 '!$D$3:$D$169,1,0)</f>
        <v>MCASU063SCG180JFNA01</v>
      </c>
      <c r="G38" s="598" t="s">
        <v>1072</v>
      </c>
      <c r="H38" s="596" t="s">
        <v>607</v>
      </c>
      <c r="I38" s="595" t="s">
        <v>1073</v>
      </c>
      <c r="J38" s="598" t="s">
        <v>1074</v>
      </c>
      <c r="K38" s="595" t="s">
        <v>28</v>
      </c>
      <c r="L38" s="595">
        <v>2</v>
      </c>
      <c r="M38" s="595"/>
      <c r="N38" s="621">
        <v>1.7700000000000001E-3</v>
      </c>
      <c r="O38" s="616">
        <f t="shared" si="0"/>
        <v>1.8319499999999999E-3</v>
      </c>
      <c r="P38" s="616">
        <f t="shared" si="1"/>
        <v>7.2450000000000162E-5</v>
      </c>
      <c r="Q38" s="621"/>
      <c r="R38" s="596" t="s">
        <v>257</v>
      </c>
      <c r="S38" s="618" t="s">
        <v>1122</v>
      </c>
      <c r="T38" s="618"/>
      <c r="U38" s="602">
        <v>150000</v>
      </c>
      <c r="V38" s="602">
        <v>12</v>
      </c>
    </row>
    <row r="39" spans="1:24" ht="15.75" customHeight="1">
      <c r="A39" s="595">
        <v>2</v>
      </c>
      <c r="B39" s="596" t="s">
        <v>610</v>
      </c>
      <c r="C39" s="596" t="s">
        <v>605</v>
      </c>
      <c r="D39" s="596" t="s">
        <v>610</v>
      </c>
      <c r="E39" s="596" t="str">
        <f>VLOOKUP(D39,[8]Sheet1!$D$2:$D$239,1,0)</f>
        <v>GCM0335C1H180JA16D</v>
      </c>
      <c r="F39" s="596" t="str">
        <f>VLOOKUP(E39,'[9]EEBOM 512 '!$D$3:$D$169,1,0)</f>
        <v>GCM0335C1H180JA16D</v>
      </c>
      <c r="G39" s="598" t="s">
        <v>1072</v>
      </c>
      <c r="H39" s="596" t="s">
        <v>607</v>
      </c>
      <c r="I39" s="595" t="s">
        <v>1073</v>
      </c>
      <c r="J39" s="598" t="s">
        <v>1074</v>
      </c>
      <c r="K39" s="595" t="s">
        <v>28</v>
      </c>
      <c r="L39" s="595"/>
      <c r="M39" s="595">
        <v>2</v>
      </c>
      <c r="N39" s="616">
        <v>1.6999999999999999E-3</v>
      </c>
      <c r="O39" s="616">
        <f t="shared" si="0"/>
        <v>1.7594999999999998E-3</v>
      </c>
      <c r="P39" s="616">
        <f t="shared" si="1"/>
        <v>0</v>
      </c>
      <c r="Q39" s="616">
        <f>O39*M39</f>
        <v>3.5189999999999996E-3</v>
      </c>
      <c r="R39" s="596" t="s">
        <v>237</v>
      </c>
      <c r="S39" s="618" t="s">
        <v>1089</v>
      </c>
      <c r="T39" s="618"/>
      <c r="U39" s="596"/>
      <c r="V39" s="596"/>
      <c r="W39" s="596"/>
      <c r="X39" s="596"/>
    </row>
    <row r="40" spans="1:24" ht="15.75" customHeight="1">
      <c r="A40" s="595">
        <v>2</v>
      </c>
      <c r="B40" s="596" t="s">
        <v>611</v>
      </c>
      <c r="C40" s="596" t="s">
        <v>605</v>
      </c>
      <c r="D40" s="596" t="s">
        <v>611</v>
      </c>
      <c r="E40" s="596" t="str">
        <f>VLOOKUP(D40,[8]Sheet1!$D$2:$D$239,1,0)</f>
        <v>GCM0335C1H180JA16J</v>
      </c>
      <c r="F40" s="596" t="str">
        <f>VLOOKUP(E40,'[9]EEBOM 512 '!$D$3:$D$169,1,0)</f>
        <v>GCM0335C1H180JA16J</v>
      </c>
      <c r="G40" s="598" t="s">
        <v>1072</v>
      </c>
      <c r="H40" s="596" t="s">
        <v>607</v>
      </c>
      <c r="I40" s="595" t="s">
        <v>1073</v>
      </c>
      <c r="J40" s="598" t="s">
        <v>1074</v>
      </c>
      <c r="K40" s="595" t="s">
        <v>28</v>
      </c>
      <c r="L40" s="595"/>
      <c r="M40" s="595"/>
      <c r="N40" s="616">
        <v>1.6999999999999999E-3</v>
      </c>
      <c r="O40" s="616">
        <f t="shared" si="0"/>
        <v>1.7594999999999998E-3</v>
      </c>
      <c r="P40" s="616">
        <f t="shared" si="1"/>
        <v>0</v>
      </c>
      <c r="Q40" s="616"/>
      <c r="R40" s="596" t="s">
        <v>237</v>
      </c>
      <c r="S40" s="618" t="s">
        <v>1089</v>
      </c>
      <c r="T40" s="618"/>
      <c r="U40" s="596"/>
      <c r="V40" s="596"/>
      <c r="W40" s="596"/>
      <c r="X40" s="596"/>
    </row>
    <row r="41" spans="1:24" ht="15.75" customHeight="1">
      <c r="A41" s="595">
        <v>2</v>
      </c>
      <c r="B41" s="596" t="s">
        <v>604</v>
      </c>
      <c r="C41" s="596" t="s">
        <v>605</v>
      </c>
      <c r="D41" s="596" t="s">
        <v>606</v>
      </c>
      <c r="E41" s="596" t="str">
        <f>VLOOKUP(D41,[8]Sheet1!$D$2:$D$239,1,0)</f>
        <v>CGA1A2C0G1H180J030BA</v>
      </c>
      <c r="F41" s="596" t="str">
        <f>VLOOKUP(E41,'[9]EEBOM 512 '!$D$3:$D$169,1,0)</f>
        <v>CGA1A2C0G1H180J030BA</v>
      </c>
      <c r="G41" s="598" t="s">
        <v>1072</v>
      </c>
      <c r="H41" s="596" t="s">
        <v>607</v>
      </c>
      <c r="I41" s="595" t="s">
        <v>1073</v>
      </c>
      <c r="J41" s="598" t="s">
        <v>1074</v>
      </c>
      <c r="K41" s="595" t="s">
        <v>28</v>
      </c>
      <c r="L41" s="595"/>
      <c r="M41" s="595"/>
      <c r="N41" s="616">
        <v>3.1080000000000001E-3</v>
      </c>
      <c r="O41" s="616">
        <f t="shared" si="0"/>
        <v>3.2167799999999998E-3</v>
      </c>
      <c r="P41" s="616">
        <f t="shared" si="1"/>
        <v>1.45728E-3</v>
      </c>
      <c r="Q41" s="616"/>
      <c r="R41" s="596" t="s">
        <v>240</v>
      </c>
      <c r="S41" s="618" t="s">
        <v>1092</v>
      </c>
      <c r="T41" s="618"/>
      <c r="U41" s="596"/>
      <c r="V41" s="596"/>
      <c r="W41" s="596"/>
      <c r="X41" s="596"/>
    </row>
    <row r="42" spans="1:24" ht="15.75" customHeight="1">
      <c r="A42" s="595">
        <v>2</v>
      </c>
      <c r="B42" s="596" t="s">
        <v>356</v>
      </c>
      <c r="C42" s="596" t="s">
        <v>352</v>
      </c>
      <c r="D42" s="596" t="s">
        <v>356</v>
      </c>
      <c r="E42" s="596" t="str">
        <f>VLOOKUP(D42,[8]Sheet1!$D$2:$D$239,1,0)</f>
        <v>CL32Y106KCV6PNE</v>
      </c>
      <c r="F42" s="596" t="str">
        <f>VLOOKUP(E42,'[9]EEBOM 512 '!$D$3:$D$169,1,0)</f>
        <v>CL32Y106KCV6PNE</v>
      </c>
      <c r="G42" s="598" t="s">
        <v>1072</v>
      </c>
      <c r="H42" s="596" t="s">
        <v>354</v>
      </c>
      <c r="I42" s="595" t="s">
        <v>1073</v>
      </c>
      <c r="J42" s="598" t="s">
        <v>1074</v>
      </c>
      <c r="K42" s="595" t="s">
        <v>28</v>
      </c>
      <c r="L42" s="595">
        <v>9</v>
      </c>
      <c r="M42" s="595">
        <v>9</v>
      </c>
      <c r="N42" s="616">
        <v>0.153333</v>
      </c>
      <c r="O42" s="616">
        <f t="shared" si="0"/>
        <v>0.158699655</v>
      </c>
      <c r="P42" s="616">
        <f t="shared" si="1"/>
        <v>0</v>
      </c>
      <c r="Q42" s="616">
        <f>O42*M42</f>
        <v>1.4282968949999999</v>
      </c>
      <c r="R42" s="596" t="s">
        <v>275</v>
      </c>
      <c r="S42" s="618" t="s">
        <v>1092</v>
      </c>
      <c r="T42" s="618"/>
      <c r="U42" s="596"/>
      <c r="V42" s="596"/>
      <c r="W42" s="596"/>
      <c r="X42" s="596" t="s">
        <v>1123</v>
      </c>
    </row>
    <row r="43" spans="1:24" ht="15.75" customHeight="1">
      <c r="A43" s="595">
        <v>2</v>
      </c>
      <c r="B43" s="596" t="s">
        <v>353</v>
      </c>
      <c r="C43" s="596" t="s">
        <v>352</v>
      </c>
      <c r="D43" s="596" t="s">
        <v>353</v>
      </c>
      <c r="E43" s="596" t="str">
        <f>VLOOKUP(D43,[8]Sheet1!$D$2:$D$239,1,0)</f>
        <v>GCM32EC72A106KEC2L</v>
      </c>
      <c r="F43" s="596" t="str">
        <f>VLOOKUP(E43,'[9]EEBOM 512 '!$D$3:$D$169,1,0)</f>
        <v>GCM32EC72A106KEC2L</v>
      </c>
      <c r="G43" s="598" t="s">
        <v>1072</v>
      </c>
      <c r="H43" s="596" t="s">
        <v>354</v>
      </c>
      <c r="I43" s="595" t="s">
        <v>1073</v>
      </c>
      <c r="J43" s="598" t="s">
        <v>1074</v>
      </c>
      <c r="K43" s="595" t="s">
        <v>28</v>
      </c>
      <c r="L43" s="595"/>
      <c r="M43" s="595"/>
      <c r="N43" s="616">
        <v>0.19800000000000001</v>
      </c>
      <c r="O43" s="616">
        <f t="shared" si="0"/>
        <v>0.20493</v>
      </c>
      <c r="P43" s="616">
        <f t="shared" si="1"/>
        <v>4.6230345000000006E-2</v>
      </c>
      <c r="Q43" s="616"/>
      <c r="R43" s="596" t="s">
        <v>237</v>
      </c>
      <c r="S43" s="618" t="s">
        <v>237</v>
      </c>
      <c r="T43" s="618"/>
      <c r="U43" s="596">
        <v>10000</v>
      </c>
      <c r="V43" s="596">
        <v>12</v>
      </c>
      <c r="W43" s="596"/>
      <c r="X43" s="596"/>
    </row>
    <row r="44" spans="1:24" ht="15.75" customHeight="1">
      <c r="A44" s="595">
        <v>2</v>
      </c>
      <c r="B44" s="596" t="s">
        <v>256</v>
      </c>
      <c r="C44" s="596" t="s">
        <v>249</v>
      </c>
      <c r="D44" s="596" t="s">
        <v>256</v>
      </c>
      <c r="E44" s="596" t="str">
        <f>VLOOKUP(D44,[8]Sheet1!$D$2:$D$239,1,0)</f>
        <v>HMK107B7472KAHT</v>
      </c>
      <c r="F44" s="596" t="str">
        <f>VLOOKUP(E44,'[9]EEBOM 512 '!$D$3:$D$169,1,0)</f>
        <v>HMK107B7472KAHT</v>
      </c>
      <c r="G44" s="598" t="s">
        <v>1072</v>
      </c>
      <c r="H44" s="596" t="s">
        <v>1124</v>
      </c>
      <c r="I44" s="595" t="s">
        <v>1073</v>
      </c>
      <c r="J44" s="598" t="s">
        <v>1074</v>
      </c>
      <c r="K44" s="595" t="s">
        <v>28</v>
      </c>
      <c r="L44" s="595">
        <v>2</v>
      </c>
      <c r="M44" s="595"/>
      <c r="N44" s="622">
        <v>6.3E-3</v>
      </c>
      <c r="O44" s="616">
        <f t="shared" si="0"/>
        <v>6.5204999999999994E-3</v>
      </c>
      <c r="P44" s="616">
        <f t="shared" si="1"/>
        <v>3.7259999999999993E-3</v>
      </c>
      <c r="Q44" s="622"/>
      <c r="R44" s="596" t="s">
        <v>257</v>
      </c>
      <c r="S44" s="618" t="s">
        <v>1122</v>
      </c>
      <c r="T44" s="618"/>
      <c r="U44" s="602">
        <v>40000</v>
      </c>
      <c r="V44" s="602">
        <v>12</v>
      </c>
      <c r="X44" s="603" t="s">
        <v>1125</v>
      </c>
    </row>
    <row r="45" spans="1:24" ht="15.75" customHeight="1">
      <c r="A45" s="595">
        <v>2</v>
      </c>
      <c r="B45" s="596" t="s">
        <v>258</v>
      </c>
      <c r="C45" s="596" t="s">
        <v>249</v>
      </c>
      <c r="D45" s="596" t="s">
        <v>258</v>
      </c>
      <c r="E45" s="596" t="str">
        <f>VLOOKUP(D45,[8]Sheet1!$D$2:$D$239,1,0)</f>
        <v>MCASH168SB7472KTNA01</v>
      </c>
      <c r="F45" s="596" t="str">
        <f>VLOOKUP(E45,'[9]EEBOM 512 '!$D$3:$D$169,1,0)</f>
        <v>MCASH168SB7472KTNA01</v>
      </c>
      <c r="G45" s="598" t="s">
        <v>1072</v>
      </c>
      <c r="H45" s="596" t="s">
        <v>1124</v>
      </c>
      <c r="I45" s="595" t="s">
        <v>1073</v>
      </c>
      <c r="J45" s="598" t="s">
        <v>1074</v>
      </c>
      <c r="K45" s="595" t="s">
        <v>28</v>
      </c>
      <c r="L45" s="595"/>
      <c r="M45" s="595"/>
      <c r="N45" s="622">
        <v>6.3E-3</v>
      </c>
      <c r="O45" s="616">
        <f t="shared" si="0"/>
        <v>6.5204999999999994E-3</v>
      </c>
      <c r="P45" s="616">
        <f t="shared" si="1"/>
        <v>3.7259999999999993E-3</v>
      </c>
      <c r="Q45" s="622"/>
      <c r="R45" s="596" t="s">
        <v>257</v>
      </c>
      <c r="S45" s="618" t="s">
        <v>1122</v>
      </c>
      <c r="T45" s="618"/>
      <c r="U45" s="602">
        <v>40000</v>
      </c>
      <c r="V45" s="602">
        <v>12</v>
      </c>
      <c r="X45" s="603" t="s">
        <v>1126</v>
      </c>
    </row>
    <row r="46" spans="1:24" ht="15.75" customHeight="1">
      <c r="A46" s="595">
        <v>2</v>
      </c>
      <c r="B46" s="596" t="s">
        <v>253</v>
      </c>
      <c r="C46" s="596" t="s">
        <v>249</v>
      </c>
      <c r="D46" s="596" t="s">
        <v>253</v>
      </c>
      <c r="E46" s="596" t="str">
        <f>VLOOKUP(D46,[8]Sheet1!$D$2:$D$239,1,0)</f>
        <v>C0603C472K1RACAUTO</v>
      </c>
      <c r="F46" s="596" t="str">
        <f>VLOOKUP(E46,'[9]EEBOM 512 '!$D$3:$D$169,1,0)</f>
        <v>C0603C472K1RACAUTO</v>
      </c>
      <c r="G46" s="598" t="s">
        <v>1072</v>
      </c>
      <c r="H46" s="596" t="s">
        <v>1124</v>
      </c>
      <c r="I46" s="595" t="s">
        <v>1073</v>
      </c>
      <c r="J46" s="598" t="s">
        <v>1074</v>
      </c>
      <c r="K46" s="595" t="s">
        <v>28</v>
      </c>
      <c r="L46" s="595"/>
      <c r="M46" s="595"/>
      <c r="N46" s="616">
        <v>0.09</v>
      </c>
      <c r="O46" s="616">
        <f t="shared" si="0"/>
        <v>9.3149999999999983E-2</v>
      </c>
      <c r="P46" s="616">
        <f t="shared" si="1"/>
        <v>9.0355499999999978E-2</v>
      </c>
      <c r="Q46" s="616"/>
      <c r="R46" s="596" t="s">
        <v>254</v>
      </c>
      <c r="S46" s="618" t="s">
        <v>1127</v>
      </c>
      <c r="T46" s="618"/>
      <c r="U46" s="596"/>
      <c r="V46" s="596"/>
      <c r="W46" s="596"/>
      <c r="X46" s="596"/>
    </row>
    <row r="47" spans="1:24" ht="15.75" customHeight="1">
      <c r="A47" s="595">
        <v>2</v>
      </c>
      <c r="B47" s="596" t="s">
        <v>255</v>
      </c>
      <c r="C47" s="596" t="s">
        <v>249</v>
      </c>
      <c r="D47" s="596" t="s">
        <v>255</v>
      </c>
      <c r="E47" s="596" t="str">
        <f>VLOOKUP(D47,[8]Sheet1!$D$2:$D$239,1,0)</f>
        <v>GCM188R72A472KA37D</v>
      </c>
      <c r="F47" s="596" t="str">
        <f>VLOOKUP(E47,'[9]EEBOM 512 '!$D$3:$D$169,1,0)</f>
        <v>GCM188R72A472KA37D</v>
      </c>
      <c r="G47" s="598" t="s">
        <v>1072</v>
      </c>
      <c r="H47" s="596" t="s">
        <v>1124</v>
      </c>
      <c r="I47" s="595" t="s">
        <v>1073</v>
      </c>
      <c r="J47" s="598" t="s">
        <v>1074</v>
      </c>
      <c r="K47" s="595" t="s">
        <v>28</v>
      </c>
      <c r="L47" s="595"/>
      <c r="M47" s="595">
        <v>2</v>
      </c>
      <c r="N47" s="616">
        <v>2.7000000000000001E-3</v>
      </c>
      <c r="O47" s="616">
        <f t="shared" si="0"/>
        <v>2.7945000000000001E-3</v>
      </c>
      <c r="P47" s="616">
        <f t="shared" si="1"/>
        <v>0</v>
      </c>
      <c r="Q47" s="616">
        <f>O47*M47</f>
        <v>5.5890000000000002E-3</v>
      </c>
      <c r="R47" s="596" t="s">
        <v>237</v>
      </c>
      <c r="S47" s="618" t="s">
        <v>1086</v>
      </c>
      <c r="T47" s="618"/>
      <c r="U47" s="596">
        <v>10000</v>
      </c>
      <c r="V47" s="596">
        <v>12</v>
      </c>
      <c r="W47" s="596"/>
      <c r="X47" s="596"/>
    </row>
    <row r="48" spans="1:24" ht="15.75" customHeight="1">
      <c r="A48" s="595">
        <v>2</v>
      </c>
      <c r="B48" s="596" t="s">
        <v>250</v>
      </c>
      <c r="C48" s="596" t="s">
        <v>249</v>
      </c>
      <c r="D48" s="596" t="s">
        <v>250</v>
      </c>
      <c r="E48" s="596" t="str">
        <f>VLOOKUP(D48,[8]Sheet1!$D$2:$D$239,1,0)</f>
        <v>CGA3E2X7R2A472K080AA</v>
      </c>
      <c r="F48" s="596" t="str">
        <f>VLOOKUP(E48,'[9]EEBOM 512 '!$D$3:$D$169,1,0)</f>
        <v>CGA3E2X7R2A472K080AA</v>
      </c>
      <c r="G48" s="598" t="s">
        <v>1072</v>
      </c>
      <c r="H48" s="596" t="s">
        <v>1124</v>
      </c>
      <c r="I48" s="595" t="s">
        <v>1073</v>
      </c>
      <c r="J48" s="598" t="s">
        <v>1074</v>
      </c>
      <c r="K48" s="595" t="s">
        <v>28</v>
      </c>
      <c r="L48" s="595"/>
      <c r="M48" s="595"/>
      <c r="N48" s="616">
        <v>3.0000000000000001E-3</v>
      </c>
      <c r="O48" s="616">
        <f t="shared" si="0"/>
        <v>3.1049999999999997E-3</v>
      </c>
      <c r="P48" s="616">
        <f t="shared" si="1"/>
        <v>3.1049999999999958E-4</v>
      </c>
      <c r="Q48" s="616"/>
      <c r="R48" s="596" t="s">
        <v>240</v>
      </c>
      <c r="S48" s="618" t="s">
        <v>1108</v>
      </c>
      <c r="T48" s="618"/>
      <c r="U48" s="596"/>
      <c r="V48" s="596"/>
      <c r="W48" s="596"/>
      <c r="X48" s="596"/>
    </row>
    <row r="49" spans="1:24" ht="15.75" customHeight="1">
      <c r="A49" s="595">
        <v>2</v>
      </c>
      <c r="B49" s="596" t="s">
        <v>259</v>
      </c>
      <c r="C49" s="596" t="s">
        <v>249</v>
      </c>
      <c r="D49" s="596" t="s">
        <v>259</v>
      </c>
      <c r="E49" s="596" t="str">
        <f>VLOOKUP(D49,[8]Sheet1!$D$2:$D$239,1,0)</f>
        <v>CL10B472KC8WPNC</v>
      </c>
      <c r="F49" s="596" t="str">
        <f>VLOOKUP(E49,'[9]EEBOM 512 '!$D$3:$D$169,1,0)</f>
        <v>CL10B472KC8WPNC</v>
      </c>
      <c r="G49" s="598" t="s">
        <v>1072</v>
      </c>
      <c r="H49" s="596" t="s">
        <v>1124</v>
      </c>
      <c r="I49" s="595" t="s">
        <v>1073</v>
      </c>
      <c r="J49" s="598" t="s">
        <v>1074</v>
      </c>
      <c r="K49" s="595" t="s">
        <v>28</v>
      </c>
      <c r="L49" s="595"/>
      <c r="M49" s="595"/>
      <c r="N49" s="616">
        <v>3.3110000000000001E-3</v>
      </c>
      <c r="O49" s="616">
        <f t="shared" si="0"/>
        <v>3.4268849999999997E-3</v>
      </c>
      <c r="P49" s="616">
        <f t="shared" si="1"/>
        <v>6.3238499999999963E-4</v>
      </c>
      <c r="Q49" s="616"/>
      <c r="R49" s="596" t="s">
        <v>260</v>
      </c>
      <c r="S49" s="618" t="s">
        <v>1092</v>
      </c>
      <c r="T49" s="618"/>
      <c r="U49" s="596"/>
      <c r="V49" s="596"/>
      <c r="W49" s="596"/>
      <c r="X49" s="596"/>
    </row>
    <row r="50" spans="1:24" ht="15.75" customHeight="1">
      <c r="A50" s="595">
        <v>2</v>
      </c>
      <c r="B50" s="596" t="s">
        <v>498</v>
      </c>
      <c r="C50" s="596" t="s">
        <v>487</v>
      </c>
      <c r="D50" s="596" t="s">
        <v>498</v>
      </c>
      <c r="E50" s="596" t="str">
        <f>VLOOKUP(D50,[8]Sheet1!$D$2:$D$239,1,0)</f>
        <v>AC1206KKX7R0BB105</v>
      </c>
      <c r="F50" s="596" t="str">
        <f>VLOOKUP(E50,'[9]EEBOM 512 '!$D$3:$D$169,1,0)</f>
        <v>AC1206KKX7R0BB105</v>
      </c>
      <c r="G50" s="598" t="s">
        <v>1072</v>
      </c>
      <c r="H50" s="596" t="s">
        <v>489</v>
      </c>
      <c r="I50" s="595" t="s">
        <v>1073</v>
      </c>
      <c r="J50" s="598" t="s">
        <v>1074</v>
      </c>
      <c r="K50" s="595" t="s">
        <v>28</v>
      </c>
      <c r="L50" s="595">
        <v>2</v>
      </c>
      <c r="M50" s="595"/>
      <c r="N50" s="616">
        <v>0.04</v>
      </c>
      <c r="O50" s="616">
        <f t="shared" si="0"/>
        <v>4.1399999999999999E-2</v>
      </c>
      <c r="P50" s="616">
        <f t="shared" si="1"/>
        <v>1.8009000000000004E-2</v>
      </c>
      <c r="Q50" s="616"/>
      <c r="R50" s="596" t="s">
        <v>296</v>
      </c>
      <c r="S50" s="618" t="s">
        <v>1127</v>
      </c>
      <c r="T50" s="618"/>
      <c r="U50" s="596"/>
      <c r="V50" s="596"/>
      <c r="W50" s="596"/>
      <c r="X50" s="596" t="s">
        <v>1128</v>
      </c>
    </row>
    <row r="51" spans="1:24" ht="15.75" customHeight="1">
      <c r="A51" s="595">
        <v>2</v>
      </c>
      <c r="B51" s="596" t="s">
        <v>493</v>
      </c>
      <c r="C51" s="596" t="s">
        <v>487</v>
      </c>
      <c r="D51" s="596" t="s">
        <v>493</v>
      </c>
      <c r="E51" s="596" t="str">
        <f>VLOOKUP(D51,[8]Sheet1!$D$2:$D$239,1,0)</f>
        <v>CL31B105KCHVPNE</v>
      </c>
      <c r="F51" s="596" t="str">
        <f>VLOOKUP(E51,'[9]EEBOM 512 '!$D$3:$D$169,1,0)</f>
        <v>CL31B105KCHVPNE</v>
      </c>
      <c r="G51" s="598" t="s">
        <v>1072</v>
      </c>
      <c r="H51" s="596" t="s">
        <v>489</v>
      </c>
      <c r="I51" s="595" t="s">
        <v>1073</v>
      </c>
      <c r="J51" s="598" t="s">
        <v>1074</v>
      </c>
      <c r="K51" s="595" t="s">
        <v>28</v>
      </c>
      <c r="L51" s="595"/>
      <c r="M51" s="595">
        <v>2</v>
      </c>
      <c r="N51" s="616">
        <v>2.2599999999999999E-2</v>
      </c>
      <c r="O51" s="616">
        <f t="shared" si="0"/>
        <v>2.3390999999999995E-2</v>
      </c>
      <c r="P51" s="616">
        <f t="shared" si="1"/>
        <v>0</v>
      </c>
      <c r="Q51" s="616">
        <f>O51*M51</f>
        <v>4.678199999999999E-2</v>
      </c>
      <c r="R51" s="596" t="s">
        <v>494</v>
      </c>
      <c r="S51" s="618" t="s">
        <v>1092</v>
      </c>
      <c r="T51" s="618"/>
      <c r="U51" s="596"/>
      <c r="V51" s="596"/>
      <c r="W51" s="596"/>
      <c r="X51" s="596"/>
    </row>
    <row r="52" spans="1:24" ht="15.75" customHeight="1">
      <c r="A52" s="595">
        <v>2</v>
      </c>
      <c r="B52" s="596" t="s">
        <v>492</v>
      </c>
      <c r="C52" s="596" t="s">
        <v>487</v>
      </c>
      <c r="D52" s="596" t="s">
        <v>492</v>
      </c>
      <c r="E52" s="596" t="str">
        <f>VLOOKUP(D52,[8]Sheet1!$D$2:$D$239,1,0)</f>
        <v>GCM31CR72A105KA03K</v>
      </c>
      <c r="F52" s="596" t="str">
        <f>VLOOKUP(E52,'[9]EEBOM 512 '!$D$3:$D$169,1,0)</f>
        <v>GCM31CR72A105KA03K</v>
      </c>
      <c r="G52" s="598" t="s">
        <v>1072</v>
      </c>
      <c r="H52" s="596" t="s">
        <v>489</v>
      </c>
      <c r="I52" s="595" t="s">
        <v>1073</v>
      </c>
      <c r="J52" s="598" t="s">
        <v>1074</v>
      </c>
      <c r="K52" s="595" t="s">
        <v>28</v>
      </c>
      <c r="L52" s="595"/>
      <c r="M52" s="595"/>
      <c r="N52" s="616">
        <v>6.5000000000000002E-2</v>
      </c>
      <c r="O52" s="616">
        <f t="shared" si="0"/>
        <v>6.7275000000000001E-2</v>
      </c>
      <c r="P52" s="616">
        <f t="shared" si="1"/>
        <v>4.3884000000000006E-2</v>
      </c>
      <c r="Q52" s="616"/>
      <c r="R52" s="596" t="s">
        <v>237</v>
      </c>
      <c r="S52" s="618" t="s">
        <v>1086</v>
      </c>
      <c r="T52" s="618"/>
      <c r="U52" s="596">
        <v>10000</v>
      </c>
      <c r="V52" s="596">
        <v>12</v>
      </c>
      <c r="W52" s="596"/>
      <c r="X52" s="596"/>
    </row>
    <row r="53" spans="1:24" ht="15.75" customHeight="1">
      <c r="A53" s="595">
        <v>2</v>
      </c>
      <c r="B53" s="596" t="s">
        <v>491</v>
      </c>
      <c r="C53" s="596" t="s">
        <v>487</v>
      </c>
      <c r="D53" s="596" t="s">
        <v>491</v>
      </c>
      <c r="E53" s="596" t="str">
        <f>VLOOKUP(D53,[8]Sheet1!$D$2:$D$239,1,0)</f>
        <v>GCM31CR72A105KA03L</v>
      </c>
      <c r="F53" s="596" t="str">
        <f>VLOOKUP(E53,'[9]EEBOM 512 '!$D$3:$D$169,1,0)</f>
        <v>GCM31CR72A105KA03L</v>
      </c>
      <c r="G53" s="598" t="s">
        <v>1072</v>
      </c>
      <c r="H53" s="596" t="s">
        <v>489</v>
      </c>
      <c r="I53" s="595" t="s">
        <v>1073</v>
      </c>
      <c r="J53" s="598" t="s">
        <v>1074</v>
      </c>
      <c r="K53" s="595" t="s">
        <v>28</v>
      </c>
      <c r="L53" s="595"/>
      <c r="M53" s="595"/>
      <c r="N53" s="616">
        <v>6.5000000000000002E-2</v>
      </c>
      <c r="O53" s="616">
        <f t="shared" si="0"/>
        <v>6.7275000000000001E-2</v>
      </c>
      <c r="P53" s="616">
        <f t="shared" si="1"/>
        <v>4.3884000000000006E-2</v>
      </c>
      <c r="Q53" s="616"/>
      <c r="R53" s="596" t="s">
        <v>237</v>
      </c>
      <c r="S53" s="618" t="s">
        <v>1086</v>
      </c>
      <c r="T53" s="618"/>
      <c r="U53" s="596">
        <v>10000</v>
      </c>
      <c r="V53" s="596">
        <v>12</v>
      </c>
      <c r="W53" s="596"/>
      <c r="X53" s="596"/>
    </row>
    <row r="54" spans="1:24" ht="15.75" customHeight="1">
      <c r="A54" s="595">
        <v>2</v>
      </c>
      <c r="B54" s="596" t="s">
        <v>496</v>
      </c>
      <c r="C54" s="596" t="s">
        <v>487</v>
      </c>
      <c r="D54" s="596" t="s">
        <v>496</v>
      </c>
      <c r="E54" s="596" t="str">
        <f>VLOOKUP(D54,[8]Sheet1!$D$2:$D$239,1,0)</f>
        <v>C1206C105K1RACAUTO</v>
      </c>
      <c r="F54" s="596" t="str">
        <f>VLOOKUP(E54,'[9]EEBOM 512 '!$D$3:$D$169,1,0)</f>
        <v>C1206C105K1RACAUTO</v>
      </c>
      <c r="G54" s="598" t="s">
        <v>1072</v>
      </c>
      <c r="H54" s="596" t="s">
        <v>489</v>
      </c>
      <c r="I54" s="595" t="s">
        <v>1073</v>
      </c>
      <c r="J54" s="598" t="s">
        <v>1074</v>
      </c>
      <c r="K54" s="595" t="s">
        <v>28</v>
      </c>
      <c r="L54" s="595"/>
      <c r="M54" s="595"/>
      <c r="N54" s="616">
        <v>7.0000000000000007E-2</v>
      </c>
      <c r="O54" s="616">
        <f t="shared" si="0"/>
        <v>7.2450000000000001E-2</v>
      </c>
      <c r="P54" s="616">
        <f t="shared" si="1"/>
        <v>4.9059000000000005E-2</v>
      </c>
      <c r="Q54" s="616"/>
      <c r="R54" s="596" t="s">
        <v>254</v>
      </c>
      <c r="S54" s="618" t="s">
        <v>1127</v>
      </c>
      <c r="T54" s="618"/>
      <c r="U54" s="596"/>
      <c r="V54" s="596"/>
      <c r="W54" s="596"/>
      <c r="X54" s="596"/>
    </row>
    <row r="55" spans="1:24" ht="15.75" customHeight="1">
      <c r="A55" s="595">
        <v>2</v>
      </c>
      <c r="B55" s="596" t="s">
        <v>488</v>
      </c>
      <c r="C55" s="596" t="s">
        <v>487</v>
      </c>
      <c r="D55" s="596" t="s">
        <v>488</v>
      </c>
      <c r="E55" s="596" t="str">
        <f>VLOOKUP(D55,[8]Sheet1!$D$2:$D$239,1,0)</f>
        <v>C1206C105K1RACAUTO7210</v>
      </c>
      <c r="F55" s="596" t="str">
        <f>VLOOKUP(E55,'[9]EEBOM 512 '!$D$3:$D$169,1,0)</f>
        <v>C1206C105K1RACAUTO7210</v>
      </c>
      <c r="G55" s="598" t="s">
        <v>1072</v>
      </c>
      <c r="H55" s="596" t="s">
        <v>489</v>
      </c>
      <c r="I55" s="595" t="s">
        <v>1073</v>
      </c>
      <c r="J55" s="598" t="s">
        <v>1074</v>
      </c>
      <c r="K55" s="595" t="s">
        <v>28</v>
      </c>
      <c r="L55" s="595"/>
      <c r="M55" s="595"/>
      <c r="N55" s="616">
        <v>7.0000000000000007E-2</v>
      </c>
      <c r="O55" s="616">
        <f t="shared" si="0"/>
        <v>7.2450000000000001E-2</v>
      </c>
      <c r="P55" s="616">
        <f t="shared" si="1"/>
        <v>4.9059000000000005E-2</v>
      </c>
      <c r="Q55" s="616"/>
      <c r="R55" s="596" t="s">
        <v>254</v>
      </c>
      <c r="S55" s="618" t="s">
        <v>1127</v>
      </c>
      <c r="T55" s="618"/>
      <c r="U55" s="596"/>
      <c r="V55" s="596"/>
      <c r="W55" s="596"/>
      <c r="X55" s="596"/>
    </row>
    <row r="56" spans="1:24" ht="15.75" customHeight="1" thickBot="1">
      <c r="A56" s="595">
        <v>2</v>
      </c>
      <c r="B56" s="596" t="s">
        <v>495</v>
      </c>
      <c r="C56" s="596" t="s">
        <v>487</v>
      </c>
      <c r="D56" s="596" t="s">
        <v>1397</v>
      </c>
      <c r="E56" s="596" t="str">
        <f>VLOOKUP(D56,[8]Sheet1!$D$2:$D$239,1,0)</f>
        <v>12061C105K4T2A</v>
      </c>
      <c r="F56" s="596" t="str">
        <f>VLOOKUP(E56,'[9]EEBOM 512 '!$D$3:$D$169,1,0)</f>
        <v>12061C105K4T2A</v>
      </c>
      <c r="G56" s="598" t="s">
        <v>1072</v>
      </c>
      <c r="H56" s="596" t="s">
        <v>489</v>
      </c>
      <c r="I56" s="595" t="s">
        <v>1073</v>
      </c>
      <c r="J56" s="598" t="s">
        <v>1074</v>
      </c>
      <c r="K56" s="595" t="s">
        <v>28</v>
      </c>
      <c r="L56" s="595"/>
      <c r="M56" s="595"/>
      <c r="N56" s="623">
        <v>2.5409999999999999E-2</v>
      </c>
      <c r="O56" s="616">
        <f t="shared" si="0"/>
        <v>2.6299349999999996E-2</v>
      </c>
      <c r="P56" s="616">
        <f t="shared" si="1"/>
        <v>2.9083500000000005E-3</v>
      </c>
      <c r="Q56" s="625"/>
      <c r="R56" s="596" t="s">
        <v>333</v>
      </c>
      <c r="S56" s="618" t="s">
        <v>1092</v>
      </c>
      <c r="T56" s="618"/>
      <c r="U56" s="596"/>
      <c r="V56" s="596"/>
      <c r="W56" s="596"/>
      <c r="X56" s="596"/>
    </row>
    <row r="57" spans="1:24" ht="15.75" customHeight="1" thickBot="1">
      <c r="A57" s="595">
        <v>2</v>
      </c>
      <c r="B57" s="596" t="s">
        <v>497</v>
      </c>
      <c r="C57" s="596" t="s">
        <v>487</v>
      </c>
      <c r="D57" s="596" t="s">
        <v>497</v>
      </c>
      <c r="E57" s="596" t="str">
        <f>VLOOKUP(D57,[8]Sheet1!$D$2:$D$239,1,0)</f>
        <v>12061C105K4T4A</v>
      </c>
      <c r="F57" s="596" t="str">
        <f>VLOOKUP(E57,'[9]EEBOM 512 '!$D$3:$D$169,1,0)</f>
        <v>12061C105K4T4A</v>
      </c>
      <c r="G57" s="598" t="s">
        <v>1072</v>
      </c>
      <c r="H57" s="596" t="s">
        <v>489</v>
      </c>
      <c r="I57" s="595" t="s">
        <v>1073</v>
      </c>
      <c r="J57" s="598" t="s">
        <v>1074</v>
      </c>
      <c r="K57" s="595" t="s">
        <v>28</v>
      </c>
      <c r="L57" s="595"/>
      <c r="M57" s="595"/>
      <c r="N57" s="623">
        <v>2.5409999999999999E-2</v>
      </c>
      <c r="O57" s="616">
        <f t="shared" si="0"/>
        <v>2.6299349999999996E-2</v>
      </c>
      <c r="P57" s="616">
        <f t="shared" si="1"/>
        <v>2.9083500000000005E-3</v>
      </c>
      <c r="Q57" s="625"/>
      <c r="R57" s="596" t="s">
        <v>333</v>
      </c>
      <c r="S57" s="618" t="s">
        <v>1092</v>
      </c>
      <c r="T57" s="618"/>
      <c r="U57" s="596"/>
      <c r="V57" s="596"/>
      <c r="W57" s="596"/>
      <c r="X57" s="596"/>
    </row>
    <row r="58" spans="1:24" ht="15.75" customHeight="1">
      <c r="A58" s="595">
        <v>2</v>
      </c>
      <c r="B58" s="596" t="s">
        <v>336</v>
      </c>
      <c r="C58" s="596" t="s">
        <v>328</v>
      </c>
      <c r="D58" s="596" t="s">
        <v>336</v>
      </c>
      <c r="E58" s="596" t="str">
        <f>VLOOKUP(D58,[8]Sheet1!$D$2:$D$239,1,0)</f>
        <v>MAASH21GSB7224KTNA01</v>
      </c>
      <c r="F58" s="596" t="str">
        <f>VLOOKUP(E58,'[9]EEBOM 512 '!$D$3:$D$169,1,0)</f>
        <v>MAASH21GSB7224KTNA01</v>
      </c>
      <c r="G58" s="598" t="s">
        <v>1072</v>
      </c>
      <c r="H58" s="596" t="s">
        <v>329</v>
      </c>
      <c r="I58" s="595" t="s">
        <v>1073</v>
      </c>
      <c r="J58" s="598" t="s">
        <v>1074</v>
      </c>
      <c r="K58" s="595" t="s">
        <v>28</v>
      </c>
      <c r="L58" s="595">
        <v>1</v>
      </c>
      <c r="M58" s="595"/>
      <c r="N58" s="616">
        <v>1.7299999999999999E-2</v>
      </c>
      <c r="O58" s="616">
        <f t="shared" si="0"/>
        <v>1.7905499999999998E-2</v>
      </c>
      <c r="P58" s="616">
        <f t="shared" si="1"/>
        <v>7.5327299999999996E-3</v>
      </c>
      <c r="Q58" s="616"/>
      <c r="R58" s="596" t="s">
        <v>257</v>
      </c>
      <c r="S58" s="618" t="s">
        <v>1129</v>
      </c>
      <c r="T58" s="618"/>
      <c r="U58" s="596"/>
      <c r="V58" s="596"/>
      <c r="W58" s="596"/>
      <c r="X58" s="596" t="s">
        <v>330</v>
      </c>
    </row>
    <row r="59" spans="1:24" ht="15.75" customHeight="1">
      <c r="A59" s="595">
        <v>2</v>
      </c>
      <c r="B59" s="596" t="s">
        <v>327</v>
      </c>
      <c r="C59" s="596" t="s">
        <v>328</v>
      </c>
      <c r="D59" s="596" t="s">
        <v>327</v>
      </c>
      <c r="E59" s="596" t="str">
        <f>VLOOKUP(D59,[8]Sheet1!$D$2:$D$239,1,0)</f>
        <v>MCASH21GSB7224KTNA01</v>
      </c>
      <c r="F59" s="596" t="str">
        <f>VLOOKUP(E59,'[9]EEBOM 512 '!$D$3:$D$169,1,0)</f>
        <v>MCASH21GSB7224KTNA01</v>
      </c>
      <c r="G59" s="598" t="s">
        <v>1072</v>
      </c>
      <c r="H59" s="596" t="s">
        <v>329</v>
      </c>
      <c r="I59" s="595" t="s">
        <v>1073</v>
      </c>
      <c r="J59" s="598" t="s">
        <v>1074</v>
      </c>
      <c r="K59" s="595" t="s">
        <v>28</v>
      </c>
      <c r="L59" s="595"/>
      <c r="M59" s="595"/>
      <c r="N59" s="616">
        <v>1.264E-2</v>
      </c>
      <c r="O59" s="616">
        <f t="shared" si="0"/>
        <v>1.3082399999999999E-2</v>
      </c>
      <c r="P59" s="616">
        <f t="shared" si="1"/>
        <v>2.7096300000000011E-3</v>
      </c>
      <c r="Q59" s="616"/>
      <c r="R59" s="596" t="s">
        <v>257</v>
      </c>
      <c r="S59" s="618" t="s">
        <v>1080</v>
      </c>
      <c r="T59" s="618"/>
      <c r="U59" s="596"/>
      <c r="V59" s="596"/>
      <c r="W59" s="596"/>
      <c r="X59" s="596"/>
    </row>
    <row r="60" spans="1:24" ht="15.75" customHeight="1">
      <c r="A60" s="595">
        <v>2</v>
      </c>
      <c r="B60" s="596" t="s">
        <v>335</v>
      </c>
      <c r="C60" s="596" t="s">
        <v>328</v>
      </c>
      <c r="D60" s="596" t="s">
        <v>335</v>
      </c>
      <c r="E60" s="596" t="str">
        <f>VLOOKUP(D60,[8]Sheet1!$D$2:$D$239,1,0)</f>
        <v>C0805C224K1RACAUTO</v>
      </c>
      <c r="F60" s="596" t="str">
        <f>VLOOKUP(E60,'[9]EEBOM 512 '!$D$3:$D$169,1,0)</f>
        <v>C0805C224K1RACAUTO</v>
      </c>
      <c r="G60" s="598" t="s">
        <v>1072</v>
      </c>
      <c r="H60" s="596" t="s">
        <v>329</v>
      </c>
      <c r="I60" s="595" t="s">
        <v>1073</v>
      </c>
      <c r="J60" s="598" t="s">
        <v>1074</v>
      </c>
      <c r="K60" s="595" t="s">
        <v>28</v>
      </c>
      <c r="L60" s="595"/>
      <c r="M60" s="595"/>
      <c r="N60" s="616">
        <v>0.14000000000000001</v>
      </c>
      <c r="O60" s="616">
        <f t="shared" si="0"/>
        <v>0.1449</v>
      </c>
      <c r="P60" s="616">
        <f t="shared" si="1"/>
        <v>0.13452723</v>
      </c>
      <c r="Q60" s="616"/>
      <c r="R60" s="596" t="s">
        <v>254</v>
      </c>
      <c r="S60" s="618" t="s">
        <v>1127</v>
      </c>
      <c r="T60" s="618"/>
      <c r="U60" s="596"/>
      <c r="V60" s="596"/>
      <c r="W60" s="596"/>
      <c r="X60" s="596"/>
    </row>
    <row r="61" spans="1:24" ht="15.75" customHeight="1">
      <c r="A61" s="595">
        <v>2</v>
      </c>
      <c r="B61" s="596" t="s">
        <v>334</v>
      </c>
      <c r="C61" s="596" t="s">
        <v>328</v>
      </c>
      <c r="D61" s="596" t="s">
        <v>334</v>
      </c>
      <c r="E61" s="596" t="str">
        <f>VLOOKUP(D61,[8]Sheet1!$D$2:$D$239,1,0)</f>
        <v>C0805C224K1RACAUTO7210</v>
      </c>
      <c r="F61" s="596" t="str">
        <f>VLOOKUP(E61,'[9]EEBOM 512 '!$D$3:$D$169,1,0)</f>
        <v>C0805C224K1RACAUTO7210</v>
      </c>
      <c r="G61" s="598" t="s">
        <v>1072</v>
      </c>
      <c r="H61" s="596" t="s">
        <v>329</v>
      </c>
      <c r="I61" s="595" t="s">
        <v>1073</v>
      </c>
      <c r="J61" s="598" t="s">
        <v>1074</v>
      </c>
      <c r="K61" s="595" t="s">
        <v>28</v>
      </c>
      <c r="L61" s="595"/>
      <c r="M61" s="595"/>
      <c r="N61" s="616">
        <v>0.14000000000000001</v>
      </c>
      <c r="O61" s="616">
        <f t="shared" si="0"/>
        <v>0.1449</v>
      </c>
      <c r="P61" s="616">
        <f t="shared" si="1"/>
        <v>0.13452723</v>
      </c>
      <c r="Q61" s="616"/>
      <c r="R61" s="596" t="s">
        <v>254</v>
      </c>
      <c r="S61" s="618" t="s">
        <v>1127</v>
      </c>
      <c r="T61" s="618"/>
      <c r="U61" s="596"/>
      <c r="V61" s="596"/>
      <c r="W61" s="596"/>
      <c r="X61" s="596"/>
    </row>
    <row r="62" spans="1:24" ht="15.75" customHeight="1">
      <c r="A62" s="595">
        <v>2</v>
      </c>
      <c r="B62" s="596" t="s">
        <v>331</v>
      </c>
      <c r="C62" s="596" t="s">
        <v>328</v>
      </c>
      <c r="D62" s="596" t="s">
        <v>331</v>
      </c>
      <c r="E62" s="596" t="str">
        <f>VLOOKUP(D62,[8]Sheet1!$D$2:$D$239,1,0)</f>
        <v>CL21B224KCQVPNE</v>
      </c>
      <c r="F62" s="596" t="str">
        <f>VLOOKUP(E62,'[9]EEBOM 512 '!$D$3:$D$169,1,0)</f>
        <v>CL21B224KCQVPNE</v>
      </c>
      <c r="G62" s="598" t="s">
        <v>1072</v>
      </c>
      <c r="H62" s="596" t="s">
        <v>329</v>
      </c>
      <c r="I62" s="595" t="s">
        <v>1073</v>
      </c>
      <c r="J62" s="598" t="s">
        <v>1074</v>
      </c>
      <c r="K62" s="595" t="s">
        <v>28</v>
      </c>
      <c r="L62" s="595"/>
      <c r="M62" s="595">
        <v>1</v>
      </c>
      <c r="N62" s="616">
        <v>1.0022E-2</v>
      </c>
      <c r="O62" s="616">
        <f t="shared" si="0"/>
        <v>1.0372769999999998E-2</v>
      </c>
      <c r="P62" s="616">
        <f t="shared" si="1"/>
        <v>0</v>
      </c>
      <c r="Q62" s="616">
        <f>O62*M62</f>
        <v>1.0372769999999998E-2</v>
      </c>
      <c r="R62" s="596" t="s">
        <v>275</v>
      </c>
      <c r="S62" s="618" t="s">
        <v>1092</v>
      </c>
      <c r="T62" s="618"/>
      <c r="U62" s="596"/>
      <c r="V62" s="596"/>
      <c r="W62" s="596"/>
      <c r="X62" s="596"/>
    </row>
    <row r="63" spans="1:24" ht="15.75" customHeight="1" thickBot="1">
      <c r="A63" s="595">
        <v>2</v>
      </c>
      <c r="B63" s="596" t="s">
        <v>332</v>
      </c>
      <c r="C63" s="596" t="s">
        <v>328</v>
      </c>
      <c r="D63" s="596" t="s">
        <v>332</v>
      </c>
      <c r="E63" s="596" t="str">
        <f>VLOOKUP(D63,[8]Sheet1!$D$2:$D$239,1,0)</f>
        <v>08051C224K4T2A</v>
      </c>
      <c r="F63" s="596" t="str">
        <f>VLOOKUP(E63,'[9]EEBOM 512 '!$D$3:$D$169,1,0)</f>
        <v>08051C224K4T2A</v>
      </c>
      <c r="G63" s="598" t="s">
        <v>1072</v>
      </c>
      <c r="H63" s="596" t="s">
        <v>329</v>
      </c>
      <c r="I63" s="595" t="s">
        <v>1073</v>
      </c>
      <c r="J63" s="598" t="s">
        <v>1074</v>
      </c>
      <c r="K63" s="595" t="s">
        <v>28</v>
      </c>
      <c r="L63" s="595"/>
      <c r="M63" s="595"/>
      <c r="N63" s="623">
        <v>1.128E-2</v>
      </c>
      <c r="O63" s="616">
        <f t="shared" si="0"/>
        <v>1.1674799999999999E-2</v>
      </c>
      <c r="P63" s="616">
        <f t="shared" si="1"/>
        <v>1.3020300000000009E-3</v>
      </c>
      <c r="Q63" s="625"/>
      <c r="R63" s="596" t="s">
        <v>333</v>
      </c>
      <c r="S63" s="618" t="s">
        <v>1398</v>
      </c>
      <c r="T63" s="618"/>
      <c r="U63" s="596"/>
      <c r="V63" s="596"/>
      <c r="W63" s="596"/>
      <c r="X63" s="596"/>
    </row>
    <row r="64" spans="1:24" ht="15.75" customHeight="1">
      <c r="A64" s="595">
        <v>2</v>
      </c>
      <c r="B64" s="596" t="s">
        <v>326</v>
      </c>
      <c r="C64" s="596" t="s">
        <v>318</v>
      </c>
      <c r="D64" s="596" t="s">
        <v>326</v>
      </c>
      <c r="E64" s="596" t="str">
        <f>VLOOKUP(D64,[8]Sheet1!$D$2:$D$239,1,0)</f>
        <v>A771KS476M1JLAS020</v>
      </c>
      <c r="F64" s="596" t="str">
        <f>VLOOKUP(E64,'[9]EEBOM 512 '!$D$3:$D$169,1,0)</f>
        <v>A771KS476M1JLAS020</v>
      </c>
      <c r="G64" s="598" t="s">
        <v>1072</v>
      </c>
      <c r="H64" s="596" t="s">
        <v>320</v>
      </c>
      <c r="I64" s="595" t="s">
        <v>1073</v>
      </c>
      <c r="J64" s="598" t="s">
        <v>1074</v>
      </c>
      <c r="K64" s="595" t="s">
        <v>28</v>
      </c>
      <c r="L64" s="595">
        <v>2</v>
      </c>
      <c r="M64" s="595"/>
      <c r="N64" s="616" t="e">
        <v>#N/A</v>
      </c>
      <c r="O64" s="616" t="e">
        <f t="shared" si="0"/>
        <v>#N/A</v>
      </c>
      <c r="P64" s="616" t="e">
        <f t="shared" si="1"/>
        <v>#N/A</v>
      </c>
      <c r="Q64" s="616"/>
      <c r="R64" s="596" t="s">
        <v>1399</v>
      </c>
      <c r="S64" s="618" t="e">
        <v>#N/A</v>
      </c>
      <c r="T64" s="618"/>
      <c r="U64" s="596"/>
      <c r="V64" s="596"/>
      <c r="W64" s="596"/>
      <c r="X64" s="596" t="s">
        <v>1130</v>
      </c>
    </row>
    <row r="65" spans="1:24" ht="15.75" customHeight="1">
      <c r="A65" s="595">
        <v>2</v>
      </c>
      <c r="B65" s="596" t="s">
        <v>324</v>
      </c>
      <c r="C65" s="596" t="s">
        <v>318</v>
      </c>
      <c r="D65" s="596" t="s">
        <v>324</v>
      </c>
      <c r="E65" s="596" t="str">
        <f>VLOOKUP(D65,[8]Sheet1!$D$2:$D$239,1,0)</f>
        <v>63FVF47M+P</v>
      </c>
      <c r="F65" s="596" t="str">
        <f>VLOOKUP(E65,'[9]EEBOM 512 '!$D$3:$D$169,1,0)</f>
        <v>63FVF47M+P</v>
      </c>
      <c r="G65" s="598" t="s">
        <v>1072</v>
      </c>
      <c r="H65" s="596" t="s">
        <v>320</v>
      </c>
      <c r="I65" s="595" t="s">
        <v>1073</v>
      </c>
      <c r="J65" s="598" t="s">
        <v>1074</v>
      </c>
      <c r="K65" s="595" t="s">
        <v>28</v>
      </c>
      <c r="L65" s="595"/>
      <c r="M65" s="595"/>
      <c r="N65" s="616" t="e">
        <v>#N/A</v>
      </c>
      <c r="O65" s="616" t="e">
        <f t="shared" si="0"/>
        <v>#N/A</v>
      </c>
      <c r="P65" s="616" t="e">
        <f t="shared" si="1"/>
        <v>#N/A</v>
      </c>
      <c r="Q65" s="616"/>
      <c r="R65" s="596" t="s">
        <v>325</v>
      </c>
      <c r="S65" s="618" t="e">
        <v>#N/A</v>
      </c>
      <c r="T65" s="618"/>
      <c r="U65" s="596"/>
      <c r="V65" s="596"/>
      <c r="W65" s="596"/>
      <c r="X65" s="596"/>
    </row>
    <row r="66" spans="1:24" ht="15.75" customHeight="1">
      <c r="A66" s="595">
        <v>2</v>
      </c>
      <c r="B66" s="596" t="s">
        <v>319</v>
      </c>
      <c r="C66" s="596" t="s">
        <v>318</v>
      </c>
      <c r="D66" s="596" t="s">
        <v>319</v>
      </c>
      <c r="E66" s="596" t="str">
        <f>VLOOKUP(D66,[8]Sheet1!$D$2:$D$239,1,0)</f>
        <v>PCA1J470MCL1GS</v>
      </c>
      <c r="F66" s="596" t="str">
        <f>VLOOKUP(E66,'[9]EEBOM 512 '!$D$3:$D$169,1,0)</f>
        <v>PCA1J470MCL1GS</v>
      </c>
      <c r="G66" s="598" t="s">
        <v>1072</v>
      </c>
      <c r="H66" s="596" t="s">
        <v>320</v>
      </c>
      <c r="I66" s="595" t="s">
        <v>1073</v>
      </c>
      <c r="J66" s="598" t="s">
        <v>1074</v>
      </c>
      <c r="K66" s="595" t="s">
        <v>28</v>
      </c>
      <c r="L66" s="595"/>
      <c r="M66" s="595"/>
      <c r="N66" s="616">
        <v>0.71499999999999997</v>
      </c>
      <c r="O66" s="616">
        <f t="shared" ref="O66:O129" si="2">N66*1.035</f>
        <v>0.74002499999999993</v>
      </c>
      <c r="P66" s="616" t="e">
        <f t="shared" si="1"/>
        <v>#N/A</v>
      </c>
      <c r="Q66" s="616"/>
      <c r="R66" s="596" t="s">
        <v>321</v>
      </c>
      <c r="S66" s="618" t="s">
        <v>1092</v>
      </c>
      <c r="T66" s="618"/>
      <c r="U66" s="596"/>
      <c r="V66" s="596"/>
      <c r="W66" s="596"/>
      <c r="X66" s="596"/>
    </row>
    <row r="67" spans="1:24" ht="15.75" customHeight="1">
      <c r="A67" s="595">
        <v>2</v>
      </c>
      <c r="B67" s="596" t="s">
        <v>323</v>
      </c>
      <c r="C67" s="596" t="s">
        <v>318</v>
      </c>
      <c r="D67" s="596" t="s">
        <v>323</v>
      </c>
      <c r="E67" s="596" t="str">
        <f>VLOOKUP(D67,[8]Sheet1!$D$2:$D$239,1,0)</f>
        <v>EEH-ZT1J470P</v>
      </c>
      <c r="F67" s="596" t="str">
        <f>VLOOKUP(E67,'[9]EEBOM 512 '!$D$3:$D$169,1,0)</f>
        <v>EEH-ZT1J470P</v>
      </c>
      <c r="G67" s="598" t="s">
        <v>1072</v>
      </c>
      <c r="H67" s="596" t="s">
        <v>320</v>
      </c>
      <c r="I67" s="595" t="s">
        <v>1073</v>
      </c>
      <c r="J67" s="598" t="s">
        <v>1074</v>
      </c>
      <c r="K67" s="595" t="s">
        <v>28</v>
      </c>
      <c r="L67" s="595"/>
      <c r="M67" s="595">
        <v>2</v>
      </c>
      <c r="N67" s="616">
        <v>0.38700000000000001</v>
      </c>
      <c r="O67" s="616">
        <f t="shared" si="2"/>
        <v>0.40054499999999998</v>
      </c>
      <c r="P67" s="616" t="e">
        <f t="shared" ref="P67:P130" si="3">O67-_xlfn.MINIFS(O:O,C:C,C67)</f>
        <v>#N/A</v>
      </c>
      <c r="Q67" s="616">
        <f>O67*M67</f>
        <v>0.80108999999999997</v>
      </c>
      <c r="R67" s="596" t="s">
        <v>289</v>
      </c>
      <c r="S67" s="618" t="s">
        <v>1129</v>
      </c>
      <c r="T67" s="618"/>
      <c r="U67" s="596"/>
      <c r="V67" s="596"/>
      <c r="W67" s="596"/>
      <c r="X67" s="596"/>
    </row>
    <row r="68" spans="1:24" ht="15.75" customHeight="1">
      <c r="A68" s="595">
        <v>2</v>
      </c>
      <c r="B68" s="596" t="s">
        <v>508</v>
      </c>
      <c r="C68" s="596" t="s">
        <v>507</v>
      </c>
      <c r="D68" s="596" t="s">
        <v>508</v>
      </c>
      <c r="E68" s="596" t="str">
        <f>VLOOKUP(D68,[8]Sheet1!$D$2:$D$239,1,0)</f>
        <v>GCM033R71E331KA03D</v>
      </c>
      <c r="F68" s="596" t="str">
        <f>VLOOKUP(E68,'[9]EEBOM 512 '!$D$3:$D$169,1,0)</f>
        <v>GCM033R71E331KA03D</v>
      </c>
      <c r="G68" s="598" t="s">
        <v>1072</v>
      </c>
      <c r="H68" s="596" t="s">
        <v>509</v>
      </c>
      <c r="I68" s="595" t="s">
        <v>1073</v>
      </c>
      <c r="J68" s="598" t="s">
        <v>1074</v>
      </c>
      <c r="K68" s="595" t="s">
        <v>28</v>
      </c>
      <c r="L68" s="595">
        <v>1</v>
      </c>
      <c r="M68" s="595"/>
      <c r="N68" s="616">
        <v>2.2000000000000001E-3</v>
      </c>
      <c r="O68" s="616">
        <f t="shared" si="2"/>
        <v>2.2769999999999999E-3</v>
      </c>
      <c r="P68" s="616">
        <f t="shared" si="3"/>
        <v>1.4904000000000002E-4</v>
      </c>
      <c r="Q68" s="616"/>
      <c r="R68" s="596" t="s">
        <v>237</v>
      </c>
      <c r="S68" s="618" t="s">
        <v>1086</v>
      </c>
      <c r="T68" s="618"/>
      <c r="U68" s="596">
        <v>10000</v>
      </c>
      <c r="V68" s="596">
        <v>12</v>
      </c>
      <c r="W68" s="596"/>
      <c r="X68" s="596" t="s">
        <v>510</v>
      </c>
    </row>
    <row r="69" spans="1:24" ht="15.75" customHeight="1">
      <c r="A69" s="595">
        <v>2</v>
      </c>
      <c r="B69" s="596" t="s">
        <v>511</v>
      </c>
      <c r="C69" s="596" t="s">
        <v>507</v>
      </c>
      <c r="D69" s="596" t="s">
        <v>512</v>
      </c>
      <c r="E69" s="596" t="str">
        <f>VLOOKUP(D69,[8]Sheet1!$D$2:$D$239,1,0)</f>
        <v>GCM033R71E331KA03J</v>
      </c>
      <c r="F69" s="596" t="str">
        <f>VLOOKUP(E69,'[9]EEBOM 512 '!$D$3:$D$169,1,0)</f>
        <v>GCM033R71E331KA03J</v>
      </c>
      <c r="G69" s="598" t="s">
        <v>1072</v>
      </c>
      <c r="H69" s="596" t="s">
        <v>509</v>
      </c>
      <c r="I69" s="595" t="s">
        <v>1073</v>
      </c>
      <c r="J69" s="598" t="s">
        <v>1074</v>
      </c>
      <c r="K69" s="595" t="s">
        <v>28</v>
      </c>
      <c r="L69" s="595"/>
      <c r="M69" s="595"/>
      <c r="N69" s="616">
        <v>2.2000000000000001E-3</v>
      </c>
      <c r="O69" s="616">
        <f t="shared" si="2"/>
        <v>2.2769999999999999E-3</v>
      </c>
      <c r="P69" s="616">
        <f t="shared" si="3"/>
        <v>1.4904000000000002E-4</v>
      </c>
      <c r="Q69" s="616"/>
      <c r="R69" s="596" t="s">
        <v>237</v>
      </c>
      <c r="S69" s="618" t="s">
        <v>1086</v>
      </c>
      <c r="T69" s="618"/>
      <c r="U69" s="596">
        <v>10000</v>
      </c>
      <c r="V69" s="596">
        <v>12</v>
      </c>
      <c r="W69" s="596"/>
      <c r="X69" s="596"/>
    </row>
    <row r="70" spans="1:24" ht="15.75" customHeight="1">
      <c r="A70" s="595">
        <v>2</v>
      </c>
      <c r="B70" s="596" t="s">
        <v>513</v>
      </c>
      <c r="C70" s="596" t="s">
        <v>507</v>
      </c>
      <c r="D70" s="596" t="s">
        <v>513</v>
      </c>
      <c r="E70" s="596" t="str">
        <f>VLOOKUP(D70,[8]Sheet1!$D$2:$D$239,1,0)</f>
        <v>CGA1A2X7R1E331K030BA</v>
      </c>
      <c r="F70" s="596" t="str">
        <f>VLOOKUP(E70,'[9]EEBOM 512 '!$D$3:$D$169,1,0)</f>
        <v>CGA1A2X7R1E331K030BA</v>
      </c>
      <c r="G70" s="598" t="s">
        <v>1072</v>
      </c>
      <c r="H70" s="596" t="s">
        <v>509</v>
      </c>
      <c r="I70" s="595" t="s">
        <v>1073</v>
      </c>
      <c r="J70" s="598" t="s">
        <v>1074</v>
      </c>
      <c r="K70" s="595" t="s">
        <v>28</v>
      </c>
      <c r="L70" s="595"/>
      <c r="M70" s="595">
        <v>1</v>
      </c>
      <c r="N70" s="616">
        <v>2.0560000000000001E-3</v>
      </c>
      <c r="O70" s="616">
        <f t="shared" si="2"/>
        <v>2.1279599999999999E-3</v>
      </c>
      <c r="P70" s="616">
        <f t="shared" si="3"/>
        <v>0</v>
      </c>
      <c r="Q70" s="616">
        <f>O70*M70</f>
        <v>2.1279599999999999E-3</v>
      </c>
      <c r="R70" s="596" t="s">
        <v>240</v>
      </c>
      <c r="S70" s="618" t="s">
        <v>1092</v>
      </c>
      <c r="T70" s="618"/>
      <c r="U70" s="596"/>
      <c r="V70" s="596"/>
      <c r="W70" s="596"/>
      <c r="X70" s="596"/>
    </row>
    <row r="71" spans="1:24" ht="15.75" customHeight="1">
      <c r="A71" s="595">
        <v>2</v>
      </c>
      <c r="B71" s="596" t="s">
        <v>1131</v>
      </c>
      <c r="C71" s="596" t="s">
        <v>1132</v>
      </c>
      <c r="D71" s="596" t="s">
        <v>1131</v>
      </c>
      <c r="E71" s="596" t="str">
        <f>VLOOKUP(D71,[8]Sheet1!$D$2:$D$239,1,0)</f>
        <v>UUD1E221MNL1GS</v>
      </c>
      <c r="F71" s="596" t="e">
        <f>VLOOKUP(E71,'[9]EEBOM 512 '!$D$3:$D$169,1,0)</f>
        <v>#N/A</v>
      </c>
      <c r="G71" s="598" t="s">
        <v>1072</v>
      </c>
      <c r="H71" s="596" t="s">
        <v>1133</v>
      </c>
      <c r="I71" s="595" t="s">
        <v>1073</v>
      </c>
      <c r="J71" s="598" t="s">
        <v>1074</v>
      </c>
      <c r="K71" s="595" t="s">
        <v>28</v>
      </c>
      <c r="L71" s="595">
        <v>1</v>
      </c>
      <c r="M71" s="595">
        <v>1</v>
      </c>
      <c r="N71" s="616">
        <v>7.9000000000000001E-2</v>
      </c>
      <c r="O71" s="616">
        <f t="shared" si="2"/>
        <v>8.176499999999999E-2</v>
      </c>
      <c r="P71" s="616" t="e">
        <f t="shared" si="3"/>
        <v>#N/A</v>
      </c>
      <c r="Q71" s="616">
        <f>O71*M71</f>
        <v>8.176499999999999E-2</v>
      </c>
      <c r="R71" s="596" t="s">
        <v>321</v>
      </c>
      <c r="S71" s="618" t="s">
        <v>1092</v>
      </c>
      <c r="T71" s="618"/>
      <c r="U71" s="596"/>
      <c r="V71" s="596"/>
      <c r="W71" s="596"/>
      <c r="X71" s="596" t="s">
        <v>1134</v>
      </c>
    </row>
    <row r="72" spans="1:24" ht="15.75" customHeight="1">
      <c r="A72" s="595">
        <v>2</v>
      </c>
      <c r="B72" s="596" t="s">
        <v>1135</v>
      </c>
      <c r="C72" s="596" t="s">
        <v>1132</v>
      </c>
      <c r="D72" s="596" t="s">
        <v>1135</v>
      </c>
      <c r="E72" s="596" t="str">
        <f>VLOOKUP(D72,[8]Sheet1!$D$2:$D$239,1,0)</f>
        <v>EMVY250ARA221MHA0G</v>
      </c>
      <c r="F72" s="596" t="e">
        <f>VLOOKUP(E72,'[9]EEBOM 512 '!$D$3:$D$169,1,0)</f>
        <v>#N/A</v>
      </c>
      <c r="G72" s="598" t="s">
        <v>1072</v>
      </c>
      <c r="H72" s="596" t="s">
        <v>1133</v>
      </c>
      <c r="I72" s="595" t="s">
        <v>1073</v>
      </c>
      <c r="J72" s="598" t="s">
        <v>1074</v>
      </c>
      <c r="K72" s="595" t="s">
        <v>28</v>
      </c>
      <c r="L72" s="595"/>
      <c r="M72" s="595"/>
      <c r="N72" s="616" t="e">
        <v>#N/A</v>
      </c>
      <c r="O72" s="616" t="e">
        <f t="shared" si="2"/>
        <v>#N/A</v>
      </c>
      <c r="P72" s="616" t="e">
        <f t="shared" si="3"/>
        <v>#N/A</v>
      </c>
      <c r="Q72" s="616"/>
      <c r="R72" s="596" t="s">
        <v>1136</v>
      </c>
      <c r="S72" s="618" t="e">
        <v>#N/A</v>
      </c>
      <c r="T72" s="618"/>
      <c r="U72" s="596"/>
      <c r="V72" s="596"/>
      <c r="W72" s="596"/>
      <c r="X72" s="596"/>
    </row>
    <row r="73" spans="1:24" ht="15.75" customHeight="1">
      <c r="A73" s="595">
        <v>2</v>
      </c>
      <c r="B73" s="596" t="s">
        <v>1137</v>
      </c>
      <c r="C73" s="596" t="s">
        <v>1132</v>
      </c>
      <c r="D73" s="596" t="s">
        <v>1137</v>
      </c>
      <c r="E73" s="596" t="str">
        <f>VLOOKUP(D73,[8]Sheet1!$D$2:$D$239,1,0)</f>
        <v>MAL215097612E3</v>
      </c>
      <c r="F73" s="596" t="e">
        <f>VLOOKUP(E73,'[9]EEBOM 512 '!$D$3:$D$169,1,0)</f>
        <v>#N/A</v>
      </c>
      <c r="G73" s="598" t="s">
        <v>1072</v>
      </c>
      <c r="H73" s="596" t="s">
        <v>1133</v>
      </c>
      <c r="I73" s="595" t="s">
        <v>1073</v>
      </c>
      <c r="J73" s="598" t="s">
        <v>1074</v>
      </c>
      <c r="K73" s="595" t="s">
        <v>28</v>
      </c>
      <c r="L73" s="595"/>
      <c r="M73" s="595"/>
      <c r="N73" s="616">
        <v>0.53</v>
      </c>
      <c r="O73" s="616">
        <f t="shared" si="2"/>
        <v>0.54854999999999998</v>
      </c>
      <c r="P73" s="616" t="e">
        <f t="shared" si="3"/>
        <v>#N/A</v>
      </c>
      <c r="Q73" s="616"/>
      <c r="R73" s="596" t="s">
        <v>368</v>
      </c>
      <c r="S73" s="618" t="s">
        <v>1092</v>
      </c>
      <c r="T73" s="618"/>
      <c r="U73" s="596"/>
      <c r="V73" s="596"/>
      <c r="W73" s="596"/>
      <c r="X73" s="596"/>
    </row>
    <row r="74" spans="1:24" ht="15.75" customHeight="1">
      <c r="A74" s="595">
        <v>2</v>
      </c>
      <c r="B74" s="596" t="s">
        <v>1138</v>
      </c>
      <c r="C74" s="596" t="s">
        <v>1139</v>
      </c>
      <c r="D74" s="596" t="s">
        <v>1138</v>
      </c>
      <c r="E74" s="596" t="str">
        <f>VLOOKUP(D74,[8]Sheet1!$D$2:$D$239,1,0)</f>
        <v>CGA3E1X7T0J106M080AC</v>
      </c>
      <c r="F74" s="596" t="e">
        <f>VLOOKUP(E74,'[9]EEBOM 512 '!$D$3:$D$169,1,0)</f>
        <v>#N/A</v>
      </c>
      <c r="G74" s="598" t="s">
        <v>1072</v>
      </c>
      <c r="H74" s="596" t="s">
        <v>1140</v>
      </c>
      <c r="I74" s="595" t="s">
        <v>1073</v>
      </c>
      <c r="J74" s="598" t="s">
        <v>1074</v>
      </c>
      <c r="K74" s="595" t="s">
        <v>28</v>
      </c>
      <c r="L74" s="595">
        <v>1</v>
      </c>
      <c r="M74" s="595">
        <v>1</v>
      </c>
      <c r="N74" s="616">
        <v>2.7778000000000001E-2</v>
      </c>
      <c r="O74" s="616">
        <f t="shared" si="2"/>
        <v>2.8750229999999998E-2</v>
      </c>
      <c r="P74" s="616">
        <f t="shared" si="3"/>
        <v>0</v>
      </c>
      <c r="Q74" s="616">
        <f>O74*M74</f>
        <v>2.8750229999999998E-2</v>
      </c>
      <c r="R74" s="596" t="s">
        <v>240</v>
      </c>
      <c r="S74" s="618" t="s">
        <v>1092</v>
      </c>
      <c r="T74" s="618"/>
      <c r="U74" s="596"/>
      <c r="V74" s="596"/>
      <c r="W74" s="596"/>
      <c r="X74" s="596" t="s">
        <v>1141</v>
      </c>
    </row>
    <row r="75" spans="1:24" ht="15.75" customHeight="1">
      <c r="A75" s="595">
        <v>2</v>
      </c>
      <c r="B75" s="596" t="s">
        <v>1142</v>
      </c>
      <c r="C75" s="596" t="s">
        <v>1139</v>
      </c>
      <c r="D75" s="596" t="s">
        <v>1142</v>
      </c>
      <c r="E75" s="596" t="str">
        <f>VLOOKUP(D75,[8]Sheet1!$D$2:$D$239,1,0)</f>
        <v>GCM188D70J106ME36D</v>
      </c>
      <c r="F75" s="596" t="e">
        <f>VLOOKUP(E75,'[9]EEBOM 512 '!$D$3:$D$169,1,0)</f>
        <v>#N/A</v>
      </c>
      <c r="G75" s="598" t="s">
        <v>1072</v>
      </c>
      <c r="H75" s="596" t="s">
        <v>1140</v>
      </c>
      <c r="I75" s="595" t="s">
        <v>1073</v>
      </c>
      <c r="J75" s="598" t="s">
        <v>1074</v>
      </c>
      <c r="K75" s="595" t="s">
        <v>28</v>
      </c>
      <c r="L75" s="595"/>
      <c r="M75" s="595"/>
      <c r="N75" s="616">
        <v>4.0500000000000001E-2</v>
      </c>
      <c r="O75" s="616">
        <f t="shared" si="2"/>
        <v>4.1917499999999996E-2</v>
      </c>
      <c r="P75" s="616">
        <f t="shared" si="3"/>
        <v>1.3167269999999998E-2</v>
      </c>
      <c r="Q75" s="616"/>
      <c r="R75" s="596" t="s">
        <v>237</v>
      </c>
      <c r="S75" s="618" t="s">
        <v>1089</v>
      </c>
      <c r="T75" s="618"/>
      <c r="U75" s="596"/>
      <c r="V75" s="596"/>
      <c r="W75" s="596"/>
      <c r="X75" s="596"/>
    </row>
    <row r="76" spans="1:24" ht="15.75" customHeight="1">
      <c r="A76" s="595">
        <v>2</v>
      </c>
      <c r="B76" s="596" t="s">
        <v>1143</v>
      </c>
      <c r="C76" s="596" t="s">
        <v>1139</v>
      </c>
      <c r="D76" s="596" t="s">
        <v>1143</v>
      </c>
      <c r="E76" s="596" t="str">
        <f>VLOOKUP(D76,[8]Sheet1!$D$2:$D$239,1,0)</f>
        <v>GCM188D70J106ME36J</v>
      </c>
      <c r="F76" s="596" t="e">
        <f>VLOOKUP(E76,'[9]EEBOM 512 '!$D$3:$D$169,1,0)</f>
        <v>#N/A</v>
      </c>
      <c r="G76" s="598" t="s">
        <v>1072</v>
      </c>
      <c r="H76" s="596" t="s">
        <v>1140</v>
      </c>
      <c r="I76" s="595" t="s">
        <v>1073</v>
      </c>
      <c r="J76" s="598" t="s">
        <v>1074</v>
      </c>
      <c r="K76" s="595" t="s">
        <v>28</v>
      </c>
      <c r="L76" s="595"/>
      <c r="M76" s="595"/>
      <c r="N76" s="616">
        <v>4.0500000000000001E-2</v>
      </c>
      <c r="O76" s="616">
        <f t="shared" si="2"/>
        <v>4.1917499999999996E-2</v>
      </c>
      <c r="P76" s="616">
        <f t="shared" si="3"/>
        <v>1.3167269999999998E-2</v>
      </c>
      <c r="Q76" s="616"/>
      <c r="R76" s="596" t="s">
        <v>237</v>
      </c>
      <c r="S76" s="618" t="s">
        <v>1089</v>
      </c>
      <c r="T76" s="618"/>
      <c r="U76" s="596"/>
      <c r="V76" s="596"/>
      <c r="W76" s="596"/>
      <c r="X76" s="596"/>
    </row>
    <row r="77" spans="1:24" ht="15.75" customHeight="1">
      <c r="A77" s="595">
        <v>2</v>
      </c>
      <c r="B77" s="596" t="s">
        <v>1144</v>
      </c>
      <c r="C77" s="596" t="s">
        <v>1145</v>
      </c>
      <c r="D77" s="596" t="s">
        <v>1146</v>
      </c>
      <c r="E77" s="596" t="str">
        <f>VLOOKUP(D77,[8]Sheet1!$D$2:$D$239,1,0)</f>
        <v>DESD1CAN2SOQ-7</v>
      </c>
      <c r="F77" s="596" t="e">
        <f>VLOOKUP(E77,'[9]EEBOM 512 '!$D$3:$D$169,1,0)</f>
        <v>#N/A</v>
      </c>
      <c r="G77" s="598" t="s">
        <v>1072</v>
      </c>
      <c r="H77" s="596" t="s">
        <v>1147</v>
      </c>
      <c r="I77" s="595" t="s">
        <v>1073</v>
      </c>
      <c r="J77" s="598" t="s">
        <v>1074</v>
      </c>
      <c r="K77" s="595" t="s">
        <v>28</v>
      </c>
      <c r="L77" s="595">
        <v>3</v>
      </c>
      <c r="M77" s="595">
        <v>3</v>
      </c>
      <c r="N77" s="616">
        <v>1.03E-2</v>
      </c>
      <c r="O77" s="616">
        <f t="shared" si="2"/>
        <v>1.06605E-2</v>
      </c>
      <c r="P77" s="616">
        <f t="shared" si="3"/>
        <v>0</v>
      </c>
      <c r="Q77" s="616">
        <f>O77*M77</f>
        <v>3.1981499999999996E-2</v>
      </c>
      <c r="R77" s="596" t="s">
        <v>416</v>
      </c>
      <c r="S77" s="618" t="s">
        <v>1400</v>
      </c>
      <c r="T77" s="618"/>
      <c r="U77" s="596"/>
      <c r="V77" s="596"/>
      <c r="W77" s="596"/>
      <c r="X77" s="596" t="s">
        <v>1148</v>
      </c>
    </row>
    <row r="78" spans="1:24" ht="15.75" customHeight="1">
      <c r="A78" s="595">
        <v>2</v>
      </c>
      <c r="B78" s="596" t="s">
        <v>1149</v>
      </c>
      <c r="C78" s="596" t="s">
        <v>1145</v>
      </c>
      <c r="D78" s="596" t="s">
        <v>1150</v>
      </c>
      <c r="E78" s="596" t="str">
        <f>VLOOKUP(D78,[8]Sheet1!$D$2:$D$239,1,0)</f>
        <v>DESD1CAN2SOQ-7-52</v>
      </c>
      <c r="F78" s="596" t="e">
        <f>VLOOKUP(E78,'[9]EEBOM 512 '!$D$3:$D$169,1,0)</f>
        <v>#N/A</v>
      </c>
      <c r="G78" s="598" t="s">
        <v>1072</v>
      </c>
      <c r="H78" s="596" t="s">
        <v>1147</v>
      </c>
      <c r="I78" s="595" t="s">
        <v>1073</v>
      </c>
      <c r="J78" s="598" t="s">
        <v>1074</v>
      </c>
      <c r="K78" s="595" t="s">
        <v>28</v>
      </c>
      <c r="L78" s="595"/>
      <c r="M78" s="595"/>
      <c r="N78" s="616">
        <v>1.03E-2</v>
      </c>
      <c r="O78" s="616">
        <f t="shared" si="2"/>
        <v>1.06605E-2</v>
      </c>
      <c r="P78" s="616">
        <f t="shared" si="3"/>
        <v>0</v>
      </c>
      <c r="Q78" s="616"/>
      <c r="R78" s="596" t="s">
        <v>416</v>
      </c>
      <c r="S78" s="618" t="s">
        <v>1400</v>
      </c>
      <c r="T78" s="618"/>
      <c r="U78" s="596"/>
      <c r="V78" s="596"/>
      <c r="W78" s="596"/>
      <c r="X78" s="596"/>
    </row>
    <row r="79" spans="1:24" ht="15.75" customHeight="1">
      <c r="A79" s="595">
        <v>2</v>
      </c>
      <c r="B79" s="596" t="s">
        <v>1151</v>
      </c>
      <c r="C79" s="596" t="s">
        <v>1145</v>
      </c>
      <c r="D79" s="596" t="s">
        <v>1152</v>
      </c>
      <c r="E79" s="596" t="str">
        <f>VLOOKUP(D79,[8]Sheet1!$D$2:$D$239,1,0)</f>
        <v>SESDONCAN1LT3G</v>
      </c>
      <c r="F79" s="596" t="e">
        <f>VLOOKUP(E79,'[9]EEBOM 512 '!$D$3:$D$169,1,0)</f>
        <v>#N/A</v>
      </c>
      <c r="G79" s="598" t="s">
        <v>1072</v>
      </c>
      <c r="H79" s="596" t="s">
        <v>1147</v>
      </c>
      <c r="I79" s="595" t="s">
        <v>1073</v>
      </c>
      <c r="J79" s="598" t="s">
        <v>1074</v>
      </c>
      <c r="K79" s="595" t="s">
        <v>28</v>
      </c>
      <c r="L79" s="595"/>
      <c r="M79" s="595"/>
      <c r="N79" s="616">
        <v>1.4800000000000001E-2</v>
      </c>
      <c r="O79" s="616">
        <f t="shared" si="2"/>
        <v>1.5318E-2</v>
      </c>
      <c r="P79" s="616">
        <f t="shared" si="3"/>
        <v>4.6575000000000002E-3</v>
      </c>
      <c r="Q79" s="616"/>
      <c r="R79" s="596" t="s">
        <v>1153</v>
      </c>
      <c r="S79" s="618" t="s">
        <v>1079</v>
      </c>
      <c r="T79" s="618"/>
      <c r="U79" s="596"/>
      <c r="V79" s="596"/>
      <c r="W79" s="596"/>
      <c r="X79" s="596"/>
    </row>
    <row r="80" spans="1:24" ht="15.75" customHeight="1">
      <c r="A80" s="595">
        <v>2</v>
      </c>
      <c r="B80" s="596" t="s">
        <v>1154</v>
      </c>
      <c r="C80" s="596" t="s">
        <v>1145</v>
      </c>
      <c r="D80" s="596" t="s">
        <v>1155</v>
      </c>
      <c r="E80" s="596" t="str">
        <f>VLOOKUP(D80,[8]Sheet1!$D$2:$D$239,1,0)</f>
        <v>AQ24CANA-02HTG</v>
      </c>
      <c r="F80" s="596" t="e">
        <f>VLOOKUP(E80,'[9]EEBOM 512 '!$D$3:$D$169,1,0)</f>
        <v>#N/A</v>
      </c>
      <c r="G80" s="598" t="s">
        <v>1072</v>
      </c>
      <c r="H80" s="596" t="s">
        <v>1147</v>
      </c>
      <c r="I80" s="595" t="s">
        <v>1073</v>
      </c>
      <c r="J80" s="598" t="s">
        <v>1074</v>
      </c>
      <c r="K80" s="595" t="s">
        <v>28</v>
      </c>
      <c r="L80" s="595"/>
      <c r="M80" s="595"/>
      <c r="N80" s="616">
        <v>3.1199999999999999E-2</v>
      </c>
      <c r="O80" s="616">
        <f t="shared" si="2"/>
        <v>3.2291999999999994E-2</v>
      </c>
      <c r="P80" s="616">
        <f t="shared" si="3"/>
        <v>2.1631499999999994E-2</v>
      </c>
      <c r="Q80" s="616"/>
      <c r="R80" s="596" t="s">
        <v>1156</v>
      </c>
      <c r="S80" s="618" t="s">
        <v>1157</v>
      </c>
      <c r="T80" s="618"/>
      <c r="U80" s="596"/>
      <c r="V80" s="596"/>
      <c r="W80" s="596"/>
      <c r="X80" s="596"/>
    </row>
    <row r="81" spans="1:24" ht="15.75" customHeight="1">
      <c r="A81" s="595">
        <v>2</v>
      </c>
      <c r="B81" s="596" t="s">
        <v>1158</v>
      </c>
      <c r="C81" s="596" t="s">
        <v>1145</v>
      </c>
      <c r="D81" s="596" t="s">
        <v>1159</v>
      </c>
      <c r="E81" s="596" t="str">
        <f>VLOOKUP(D81,[8]Sheet1!$D$2:$D$239,1,0)</f>
        <v>SM24CANA-02HTG</v>
      </c>
      <c r="F81" s="596" t="e">
        <f>VLOOKUP(E81,'[9]EEBOM 512 '!$D$3:$D$169,1,0)</f>
        <v>#N/A</v>
      </c>
      <c r="G81" s="598" t="s">
        <v>1072</v>
      </c>
      <c r="H81" s="596" t="s">
        <v>1147</v>
      </c>
      <c r="I81" s="595" t="s">
        <v>1073</v>
      </c>
      <c r="J81" s="598" t="s">
        <v>1074</v>
      </c>
      <c r="K81" s="595" t="s">
        <v>28</v>
      </c>
      <c r="L81" s="595"/>
      <c r="M81" s="595"/>
      <c r="N81" s="616">
        <v>0.04</v>
      </c>
      <c r="O81" s="616">
        <f t="shared" si="2"/>
        <v>4.1399999999999999E-2</v>
      </c>
      <c r="P81" s="616">
        <f t="shared" si="3"/>
        <v>3.0739499999999999E-2</v>
      </c>
      <c r="Q81" s="616"/>
      <c r="R81" s="596" t="s">
        <v>1156</v>
      </c>
      <c r="S81" s="618" t="s">
        <v>1108</v>
      </c>
      <c r="T81" s="618"/>
      <c r="U81" s="596"/>
      <c r="V81" s="596"/>
      <c r="W81" s="596"/>
      <c r="X81" s="596"/>
    </row>
    <row r="82" spans="1:24" ht="15.75" customHeight="1">
      <c r="A82" s="595">
        <v>2</v>
      </c>
      <c r="B82" s="596" t="s">
        <v>1160</v>
      </c>
      <c r="C82" s="596" t="s">
        <v>1145</v>
      </c>
      <c r="D82" s="596" t="s">
        <v>1160</v>
      </c>
      <c r="E82" s="596" t="str">
        <f>VLOOKUP(D82,[8]Sheet1!$D$2:$D$239,1,0)</f>
        <v>CDSOT23-T24CAN-Q</v>
      </c>
      <c r="F82" s="596" t="e">
        <f>VLOOKUP(E82,'[9]EEBOM 512 '!$D$3:$D$169,1,0)</f>
        <v>#N/A</v>
      </c>
      <c r="G82" s="598" t="s">
        <v>1072</v>
      </c>
      <c r="H82" s="596" t="s">
        <v>1147</v>
      </c>
      <c r="I82" s="595" t="s">
        <v>1073</v>
      </c>
      <c r="J82" s="598" t="s">
        <v>1074</v>
      </c>
      <c r="K82" s="595" t="s">
        <v>28</v>
      </c>
      <c r="L82" s="595"/>
      <c r="M82" s="595"/>
      <c r="N82" s="616">
        <v>7.0999999999999994E-2</v>
      </c>
      <c r="O82" s="616">
        <f t="shared" si="2"/>
        <v>7.3484999999999981E-2</v>
      </c>
      <c r="P82" s="616">
        <f t="shared" si="3"/>
        <v>6.2824499999999978E-2</v>
      </c>
      <c r="Q82" s="616"/>
      <c r="R82" s="596" t="s">
        <v>374</v>
      </c>
      <c r="S82" s="618" t="s">
        <v>1127</v>
      </c>
      <c r="T82" s="618"/>
      <c r="U82" s="596"/>
      <c r="V82" s="596"/>
      <c r="W82" s="596"/>
      <c r="X82" s="596"/>
    </row>
    <row r="83" spans="1:24" ht="15.5" customHeight="1">
      <c r="A83" s="595">
        <v>2</v>
      </c>
      <c r="B83" s="596" t="s">
        <v>1161</v>
      </c>
      <c r="C83" s="596" t="s">
        <v>1145</v>
      </c>
      <c r="D83" s="596" t="s">
        <v>1161</v>
      </c>
      <c r="E83" s="596" t="str">
        <f>VLOOKUP(D83,[8]Sheet1!$D$2:$D$239,1,0)</f>
        <v>PESD2CANFD24VT-QR</v>
      </c>
      <c r="F83" s="596" t="e">
        <f>VLOOKUP(E83,'[9]EEBOM 512 '!$D$3:$D$169,1,0)</f>
        <v>#N/A</v>
      </c>
      <c r="G83" s="598" t="s">
        <v>1072</v>
      </c>
      <c r="H83" s="596" t="s">
        <v>1147</v>
      </c>
      <c r="I83" s="595" t="s">
        <v>1073</v>
      </c>
      <c r="J83" s="598" t="s">
        <v>1074</v>
      </c>
      <c r="K83" s="595" t="s">
        <v>28</v>
      </c>
      <c r="L83" s="595"/>
      <c r="M83" s="595"/>
      <c r="N83" s="616">
        <v>3.7400000000000003E-2</v>
      </c>
      <c r="O83" s="616">
        <f t="shared" si="2"/>
        <v>3.8709E-2</v>
      </c>
      <c r="P83" s="616">
        <f t="shared" si="3"/>
        <v>2.8048500000000001E-2</v>
      </c>
      <c r="Q83" s="616"/>
      <c r="R83" s="596" t="s">
        <v>244</v>
      </c>
      <c r="S83" s="618" t="s">
        <v>1078</v>
      </c>
      <c r="T83" s="618"/>
      <c r="U83" s="596"/>
      <c r="V83" s="596"/>
      <c r="W83" s="596"/>
      <c r="X83" s="596"/>
    </row>
    <row r="84" spans="1:24" ht="15.75" customHeight="1">
      <c r="A84" s="595">
        <v>2</v>
      </c>
      <c r="B84" s="596" t="s">
        <v>1162</v>
      </c>
      <c r="C84" s="596" t="s">
        <v>1145</v>
      </c>
      <c r="D84" s="596" t="s">
        <v>1163</v>
      </c>
      <c r="E84" s="596" t="str">
        <f>VLOOKUP(D84,[8]Sheet1!$D$2:$D$239,1,0)</f>
        <v>PESD1CAN_215</v>
      </c>
      <c r="F84" s="596" t="e">
        <f>VLOOKUP(E84,'[9]EEBOM 512 '!$D$3:$D$169,1,0)</f>
        <v>#N/A</v>
      </c>
      <c r="G84" s="598" t="s">
        <v>1072</v>
      </c>
      <c r="H84" s="596" t="s">
        <v>1147</v>
      </c>
      <c r="I84" s="595" t="s">
        <v>1073</v>
      </c>
      <c r="J84" s="598" t="s">
        <v>1074</v>
      </c>
      <c r="K84" s="595" t="s">
        <v>28</v>
      </c>
      <c r="L84" s="595"/>
      <c r="M84" s="595"/>
      <c r="N84" s="616">
        <v>0.05</v>
      </c>
      <c r="O84" s="616">
        <f t="shared" si="2"/>
        <v>5.1749999999999997E-2</v>
      </c>
      <c r="P84" s="616">
        <f t="shared" si="3"/>
        <v>4.1089500000000001E-2</v>
      </c>
      <c r="Q84" s="616"/>
      <c r="R84" s="596" t="s">
        <v>244</v>
      </c>
      <c r="S84" s="618" t="s">
        <v>1164</v>
      </c>
      <c r="T84" s="618"/>
      <c r="U84" s="596"/>
      <c r="V84" s="596"/>
      <c r="W84" s="596"/>
      <c r="X84" s="596"/>
    </row>
    <row r="85" spans="1:24" ht="15.75" customHeight="1">
      <c r="A85" s="595">
        <v>2</v>
      </c>
      <c r="B85" s="596" t="s">
        <v>1165</v>
      </c>
      <c r="C85" s="596" t="s">
        <v>1166</v>
      </c>
      <c r="D85" s="596" t="s">
        <v>1165</v>
      </c>
      <c r="E85" s="596" t="str">
        <f>VLOOKUP(D85,[8]Sheet1!$D$2:$D$239,1,0)</f>
        <v>NSVR02100HT1G</v>
      </c>
      <c r="F85" s="596" t="e">
        <f>VLOOKUP(E85,'[9]EEBOM 512 '!$D$3:$D$169,1,0)</f>
        <v>#N/A</v>
      </c>
      <c r="G85" s="598" t="s">
        <v>1072</v>
      </c>
      <c r="H85" s="596" t="s">
        <v>1167</v>
      </c>
      <c r="I85" s="595" t="s">
        <v>1073</v>
      </c>
      <c r="J85" s="598" t="s">
        <v>1074</v>
      </c>
      <c r="K85" s="595" t="s">
        <v>28</v>
      </c>
      <c r="L85" s="595">
        <v>2</v>
      </c>
      <c r="M85" s="595">
        <v>2</v>
      </c>
      <c r="N85" s="616">
        <v>0.83199999999999996</v>
      </c>
      <c r="O85" s="616">
        <f t="shared" si="2"/>
        <v>0.86111999999999989</v>
      </c>
      <c r="P85" s="616">
        <f t="shared" si="3"/>
        <v>0</v>
      </c>
      <c r="Q85" s="616">
        <f>O85*M85</f>
        <v>1.7222399999999998</v>
      </c>
      <c r="R85" s="596" t="s">
        <v>1153</v>
      </c>
      <c r="S85" s="618" t="s">
        <v>1079</v>
      </c>
      <c r="T85" s="618"/>
      <c r="U85" s="596"/>
      <c r="V85" s="596"/>
      <c r="W85" s="596"/>
      <c r="X85" s="596" t="s">
        <v>1168</v>
      </c>
    </row>
    <row r="86" spans="1:24" ht="15.75" customHeight="1">
      <c r="A86" s="595">
        <v>2</v>
      </c>
      <c r="B86" s="596" t="s">
        <v>401</v>
      </c>
      <c r="C86" s="596" t="s">
        <v>402</v>
      </c>
      <c r="D86" s="596" t="s">
        <v>401</v>
      </c>
      <c r="E86" s="596" t="str">
        <f>VLOOKUP(D86,[8]Sheet1!$D$2:$D$239,1,0)</f>
        <v>ESD601DPYRQ1</v>
      </c>
      <c r="F86" s="596" t="str">
        <f>VLOOKUP(E86,'[9]EEBOM 512 '!$D$3:$D$169,1,0)</f>
        <v>ESD601DPYRQ1</v>
      </c>
      <c r="G86" s="598" t="s">
        <v>1072</v>
      </c>
      <c r="H86" s="596" t="s">
        <v>403</v>
      </c>
      <c r="I86" s="595" t="s">
        <v>1073</v>
      </c>
      <c r="J86" s="598" t="s">
        <v>1074</v>
      </c>
      <c r="K86" s="595" t="s">
        <v>28</v>
      </c>
      <c r="L86" s="595">
        <v>2</v>
      </c>
      <c r="M86" s="595">
        <v>2</v>
      </c>
      <c r="N86" s="616">
        <v>2.9000000000000001E-2</v>
      </c>
      <c r="O86" s="616">
        <f t="shared" si="2"/>
        <v>3.0015E-2</v>
      </c>
      <c r="P86" s="616">
        <f t="shared" si="3"/>
        <v>0</v>
      </c>
      <c r="Q86" s="616">
        <f>O86*M86</f>
        <v>6.003E-2</v>
      </c>
      <c r="R86" s="596" t="s">
        <v>264</v>
      </c>
      <c r="S86" s="618" t="s">
        <v>1169</v>
      </c>
      <c r="T86" s="618"/>
      <c r="U86" s="596"/>
      <c r="V86" s="596"/>
      <c r="W86" s="596"/>
      <c r="X86" s="596" t="s">
        <v>1170</v>
      </c>
    </row>
    <row r="87" spans="1:24" ht="15.75" customHeight="1">
      <c r="A87" s="595">
        <v>2</v>
      </c>
      <c r="B87" s="596" t="s">
        <v>1171</v>
      </c>
      <c r="C87" s="596" t="s">
        <v>1172</v>
      </c>
      <c r="D87" s="609" t="s">
        <v>1401</v>
      </c>
      <c r="E87" s="610" t="str">
        <f>VLOOKUP(D87,[8]Sheet1!$D$2:$D$239,1,0)</f>
        <v>SMAJ54AQ-13-F</v>
      </c>
      <c r="F87" s="610" t="e">
        <f>VLOOKUP(E87,'[9]EEBOM 512 '!$D$3:$D$169,1,0)</f>
        <v>#N/A</v>
      </c>
      <c r="G87" s="611" t="s">
        <v>1072</v>
      </c>
      <c r="H87" s="610" t="s">
        <v>373</v>
      </c>
      <c r="I87" s="612" t="s">
        <v>1073</v>
      </c>
      <c r="J87" s="611" t="s">
        <v>1074</v>
      </c>
      <c r="K87" s="612" t="s">
        <v>28</v>
      </c>
      <c r="L87" s="612">
        <v>1</v>
      </c>
      <c r="M87" s="612">
        <v>1</v>
      </c>
      <c r="N87" s="616">
        <v>7.2800000000000004E-2</v>
      </c>
      <c r="O87" s="616">
        <f t="shared" si="2"/>
        <v>7.5347999999999998E-2</v>
      </c>
      <c r="P87" s="616" t="e">
        <f t="shared" si="3"/>
        <v>#N/A</v>
      </c>
      <c r="Q87" s="616">
        <f>O87*M87</f>
        <v>7.5347999999999998E-2</v>
      </c>
      <c r="R87" s="610" t="s">
        <v>416</v>
      </c>
      <c r="S87" s="618" t="s">
        <v>1400</v>
      </c>
      <c r="T87" s="618"/>
      <c r="U87" s="596"/>
      <c r="V87" s="596"/>
      <c r="W87" s="596"/>
      <c r="X87" s="596" t="s">
        <v>375</v>
      </c>
    </row>
    <row r="88" spans="1:24" ht="15.75" customHeight="1">
      <c r="A88" s="595">
        <v>2</v>
      </c>
      <c r="B88" s="596" t="s">
        <v>1173</v>
      </c>
      <c r="C88" s="596" t="s">
        <v>1172</v>
      </c>
      <c r="D88" s="609" t="s">
        <v>1402</v>
      </c>
      <c r="E88" s="610" t="str">
        <f>VLOOKUP(D88,[8]Sheet1!$D$2:$D$239,1,0)</f>
        <v>SMAJ54AQ-13-F-52</v>
      </c>
      <c r="F88" s="610" t="e">
        <f>VLOOKUP(E88,'[9]EEBOM 512 '!$D$3:$D$169,1,0)</f>
        <v>#N/A</v>
      </c>
      <c r="G88" s="611" t="s">
        <v>1072</v>
      </c>
      <c r="H88" s="610" t="s">
        <v>373</v>
      </c>
      <c r="I88" s="612" t="s">
        <v>1073</v>
      </c>
      <c r="J88" s="611" t="s">
        <v>1074</v>
      </c>
      <c r="K88" s="612" t="s">
        <v>28</v>
      </c>
      <c r="L88" s="612"/>
      <c r="M88" s="612"/>
      <c r="N88" s="616" t="e">
        <v>#N/A</v>
      </c>
      <c r="O88" s="616" t="e">
        <f t="shared" si="2"/>
        <v>#N/A</v>
      </c>
      <c r="P88" s="616" t="e">
        <f t="shared" si="3"/>
        <v>#N/A</v>
      </c>
      <c r="Q88" s="616"/>
      <c r="R88" s="610" t="s">
        <v>416</v>
      </c>
      <c r="S88" s="618" t="e">
        <v>#N/A</v>
      </c>
      <c r="T88" s="618"/>
      <c r="U88" s="596"/>
      <c r="V88" s="596"/>
      <c r="W88" s="596"/>
      <c r="X88" s="596"/>
    </row>
    <row r="89" spans="1:24" ht="15.75" customHeight="1">
      <c r="A89" s="595">
        <v>2</v>
      </c>
      <c r="B89" s="596" t="s">
        <v>1174</v>
      </c>
      <c r="C89" s="596" t="s">
        <v>1172</v>
      </c>
      <c r="D89" s="609" t="s">
        <v>1174</v>
      </c>
      <c r="E89" s="610" t="str">
        <f>VLOOKUP(D89,[8]Sheet1!$D$2:$D$239,1,0)</f>
        <v>SMAJ54AQ-13-F-52-N</v>
      </c>
      <c r="F89" s="610" t="e">
        <f>VLOOKUP(E89,'[9]EEBOM 512 '!$D$3:$D$169,1,0)</f>
        <v>#N/A</v>
      </c>
      <c r="G89" s="611" t="s">
        <v>1072</v>
      </c>
      <c r="H89" s="610" t="s">
        <v>373</v>
      </c>
      <c r="I89" s="612" t="s">
        <v>1073</v>
      </c>
      <c r="J89" s="611" t="s">
        <v>1074</v>
      </c>
      <c r="K89" s="612" t="s">
        <v>28</v>
      </c>
      <c r="L89" s="612"/>
      <c r="M89" s="612"/>
      <c r="N89" s="616" t="e">
        <v>#N/A</v>
      </c>
      <c r="O89" s="616" t="e">
        <f t="shared" si="2"/>
        <v>#N/A</v>
      </c>
      <c r="P89" s="616" t="e">
        <f t="shared" si="3"/>
        <v>#N/A</v>
      </c>
      <c r="Q89" s="616"/>
      <c r="R89" s="610" t="s">
        <v>416</v>
      </c>
      <c r="S89" s="618" t="e">
        <v>#N/A</v>
      </c>
      <c r="T89" s="618"/>
      <c r="U89" s="596"/>
      <c r="V89" s="596"/>
      <c r="W89" s="596"/>
      <c r="X89" s="596"/>
    </row>
    <row r="90" spans="1:24" ht="15.75" customHeight="1">
      <c r="A90" s="595">
        <v>2</v>
      </c>
      <c r="B90" s="596" t="s">
        <v>372</v>
      </c>
      <c r="C90" s="596" t="s">
        <v>1172</v>
      </c>
      <c r="D90" s="609" t="s">
        <v>372</v>
      </c>
      <c r="E90" s="610" t="str">
        <f>VLOOKUP(D90,[8]Sheet1!$D$2:$D$239,1,0)</f>
        <v>SMAJ54A-Q</v>
      </c>
      <c r="F90" s="610" t="str">
        <f>VLOOKUP(E90,'[9]EEBOM 512 '!$D$3:$D$169,1,0)</f>
        <v>SMAJ54A-Q</v>
      </c>
      <c r="G90" s="611" t="s">
        <v>1072</v>
      </c>
      <c r="H90" s="610" t="s">
        <v>373</v>
      </c>
      <c r="I90" s="612" t="s">
        <v>1073</v>
      </c>
      <c r="J90" s="611" t="s">
        <v>1074</v>
      </c>
      <c r="K90" s="612" t="s">
        <v>28</v>
      </c>
      <c r="L90" s="612"/>
      <c r="M90" s="612"/>
      <c r="N90" s="616">
        <v>7.3700000000000002E-2</v>
      </c>
      <c r="O90" s="616">
        <f t="shared" si="2"/>
        <v>7.62795E-2</v>
      </c>
      <c r="P90" s="616" t="e">
        <f t="shared" si="3"/>
        <v>#N/A</v>
      </c>
      <c r="Q90" s="616"/>
      <c r="R90" s="610" t="s">
        <v>374</v>
      </c>
      <c r="S90" s="618" t="s">
        <v>1175</v>
      </c>
      <c r="T90" s="618"/>
      <c r="U90" s="596"/>
      <c r="V90" s="596"/>
      <c r="W90" s="596"/>
      <c r="X90" s="596"/>
    </row>
    <row r="91" spans="1:24" ht="15.75" customHeight="1">
      <c r="A91" s="595">
        <v>2</v>
      </c>
      <c r="B91" s="626" t="s">
        <v>1176</v>
      </c>
      <c r="C91" s="626" t="s">
        <v>1177</v>
      </c>
      <c r="D91" s="630" t="s">
        <v>1403</v>
      </c>
      <c r="E91" s="618" t="str">
        <f>VLOOKUP(D91,[8]Sheet1!$D$2:$D$239,1,0)</f>
        <v>STPS2L60ZFY</v>
      </c>
      <c r="F91" s="618" t="e">
        <f>VLOOKUP(E91,'[9]EEBOM 512 '!$D$3:$D$169,1,0)</f>
        <v>#N/A</v>
      </c>
      <c r="G91" s="629" t="s">
        <v>1072</v>
      </c>
      <c r="H91" s="618" t="s">
        <v>1178</v>
      </c>
      <c r="I91" s="616" t="s">
        <v>1073</v>
      </c>
      <c r="J91" s="629" t="s">
        <v>1074</v>
      </c>
      <c r="K91" s="616" t="s">
        <v>28</v>
      </c>
      <c r="L91" s="616">
        <v>2</v>
      </c>
      <c r="M91" s="616">
        <v>2</v>
      </c>
      <c r="N91" s="616">
        <v>0.03</v>
      </c>
      <c r="O91" s="616">
        <f t="shared" si="2"/>
        <v>3.1049999999999998E-2</v>
      </c>
      <c r="P91" s="616">
        <f t="shared" si="3"/>
        <v>0</v>
      </c>
      <c r="Q91" s="616">
        <f>O91*M91</f>
        <v>6.2099999999999995E-2</v>
      </c>
      <c r="R91" s="596" t="s">
        <v>1179</v>
      </c>
      <c r="S91" s="618" t="e">
        <v>#N/A</v>
      </c>
      <c r="T91" s="618"/>
      <c r="U91" s="596"/>
      <c r="V91" s="596"/>
      <c r="W91" s="596"/>
      <c r="X91" s="596" t="s">
        <v>1180</v>
      </c>
    </row>
    <row r="92" spans="1:24" ht="15.75" customHeight="1">
      <c r="A92" s="595">
        <v>2</v>
      </c>
      <c r="B92" s="596" t="s">
        <v>1181</v>
      </c>
      <c r="C92" s="596" t="s">
        <v>1182</v>
      </c>
      <c r="D92" s="630" t="s">
        <v>1181</v>
      </c>
      <c r="E92" s="630" t="str">
        <f>VLOOKUP(D92,[8]Sheet1!$D$2:$D$239,1,0)</f>
        <v>DFLS2100Q-7</v>
      </c>
      <c r="F92" s="630" t="e">
        <f>VLOOKUP(E92,'[9]EEBOM 512 '!$D$3:$D$169,1,0)</f>
        <v>#N/A</v>
      </c>
      <c r="G92" s="631" t="s">
        <v>1072</v>
      </c>
      <c r="H92" s="630" t="s">
        <v>1183</v>
      </c>
      <c r="I92" s="632" t="s">
        <v>1073</v>
      </c>
      <c r="J92" s="631" t="s">
        <v>1074</v>
      </c>
      <c r="K92" s="632" t="s">
        <v>28</v>
      </c>
      <c r="L92" s="632">
        <v>1</v>
      </c>
      <c r="M92" s="632">
        <v>1</v>
      </c>
      <c r="N92" s="616">
        <v>0.10249999999999999</v>
      </c>
      <c r="O92" s="616">
        <f t="shared" si="2"/>
        <v>0.10608749999999999</v>
      </c>
      <c r="P92" s="616">
        <f t="shared" si="3"/>
        <v>0</v>
      </c>
      <c r="Q92" s="616">
        <f>O92*M92</f>
        <v>0.10608749999999999</v>
      </c>
      <c r="R92" s="609" t="s">
        <v>416</v>
      </c>
      <c r="S92" s="618" t="s">
        <v>1400</v>
      </c>
      <c r="T92" s="618"/>
      <c r="U92" s="596"/>
      <c r="V92" s="596"/>
      <c r="W92" s="596"/>
      <c r="X92" s="596" t="s">
        <v>1184</v>
      </c>
    </row>
    <row r="93" spans="1:24" ht="15.75" customHeight="1">
      <c r="A93" s="595">
        <v>2</v>
      </c>
      <c r="B93" s="596" t="s">
        <v>1185</v>
      </c>
      <c r="C93" s="596" t="s">
        <v>1182</v>
      </c>
      <c r="D93" s="630" t="s">
        <v>1185</v>
      </c>
      <c r="E93" s="630" t="str">
        <f>VLOOKUP(D93,[8]Sheet1!$D$2:$D$239,1,0)</f>
        <v>DFLS2100Q-7-52</v>
      </c>
      <c r="F93" s="630" t="e">
        <f>VLOOKUP(E93,'[9]EEBOM 512 '!$D$3:$D$169,1,0)</f>
        <v>#N/A</v>
      </c>
      <c r="G93" s="631" t="s">
        <v>1072</v>
      </c>
      <c r="H93" s="630" t="s">
        <v>1183</v>
      </c>
      <c r="I93" s="632" t="s">
        <v>1073</v>
      </c>
      <c r="J93" s="631" t="s">
        <v>1074</v>
      </c>
      <c r="K93" s="632" t="s">
        <v>28</v>
      </c>
      <c r="L93" s="632"/>
      <c r="M93" s="632"/>
      <c r="N93" s="616">
        <v>0.10249999999999999</v>
      </c>
      <c r="O93" s="616">
        <f t="shared" si="2"/>
        <v>0.10608749999999999</v>
      </c>
      <c r="P93" s="616">
        <f t="shared" si="3"/>
        <v>0</v>
      </c>
      <c r="Q93" s="616"/>
      <c r="R93" s="609" t="s">
        <v>416</v>
      </c>
      <c r="S93" s="618" t="s">
        <v>1400</v>
      </c>
      <c r="T93" s="618"/>
      <c r="U93" s="596"/>
      <c r="V93" s="596"/>
      <c r="W93" s="596"/>
      <c r="X93" s="596"/>
    </row>
    <row r="94" spans="1:24" ht="15.75" customHeight="1">
      <c r="A94" s="595">
        <v>2</v>
      </c>
      <c r="B94" s="596" t="s">
        <v>1186</v>
      </c>
      <c r="C94" s="596" t="s">
        <v>1187</v>
      </c>
      <c r="D94" s="630" t="s">
        <v>1186</v>
      </c>
      <c r="E94" s="618" t="str">
        <f>VLOOKUP(D94,[8]Sheet1!$D$2:$D$239,1,0)</f>
        <v>BCL322520RT-220M-D</v>
      </c>
      <c r="F94" s="618" t="e">
        <f>VLOOKUP(E94,'[9]EEBOM 512 '!$D$3:$D$169,1,0)</f>
        <v>#N/A</v>
      </c>
      <c r="G94" s="629" t="s">
        <v>1072</v>
      </c>
      <c r="H94" s="618" t="s">
        <v>1188</v>
      </c>
      <c r="I94" s="616" t="s">
        <v>1073</v>
      </c>
      <c r="J94" s="629" t="s">
        <v>1074</v>
      </c>
      <c r="K94" s="616" t="s">
        <v>28</v>
      </c>
      <c r="L94" s="616">
        <v>1</v>
      </c>
      <c r="M94" s="616">
        <v>1</v>
      </c>
      <c r="N94" s="616">
        <v>0.20619999999999999</v>
      </c>
      <c r="O94" s="616">
        <f t="shared" si="2"/>
        <v>0.21341699999999997</v>
      </c>
      <c r="P94" s="616">
        <f t="shared" si="3"/>
        <v>0</v>
      </c>
      <c r="Q94" s="616">
        <f>O94*M94</f>
        <v>0.21341699999999997</v>
      </c>
      <c r="R94" s="596" t="s">
        <v>526</v>
      </c>
      <c r="S94" s="618" t="s">
        <v>1088</v>
      </c>
      <c r="T94" s="618"/>
      <c r="U94" s="596"/>
      <c r="V94" s="596"/>
      <c r="W94" s="596"/>
      <c r="X94" s="596" t="s">
        <v>1189</v>
      </c>
    </row>
    <row r="95" spans="1:24" ht="15.75" customHeight="1">
      <c r="A95" s="595">
        <v>2</v>
      </c>
      <c r="B95" s="596" t="s">
        <v>523</v>
      </c>
      <c r="C95" s="596" t="s">
        <v>524</v>
      </c>
      <c r="D95" s="630" t="s">
        <v>523</v>
      </c>
      <c r="E95" s="618" t="str">
        <f>VLOOKUP(D95,[8]Sheet1!$D$2:$D$239,1,0)</f>
        <v>ACT1210E-241-2P</v>
      </c>
      <c r="F95" s="618" t="str">
        <f>VLOOKUP(E95,'[9]EEBOM 512 '!$D$3:$D$169,1,0)</f>
        <v>ACT1210E-241-2P</v>
      </c>
      <c r="G95" s="629" t="s">
        <v>1072</v>
      </c>
      <c r="H95" s="618" t="s">
        <v>525</v>
      </c>
      <c r="I95" s="616" t="s">
        <v>1073</v>
      </c>
      <c r="J95" s="629" t="s">
        <v>1074</v>
      </c>
      <c r="K95" s="616" t="s">
        <v>28</v>
      </c>
      <c r="L95" s="616">
        <v>1</v>
      </c>
      <c r="M95" s="616">
        <v>1</v>
      </c>
      <c r="N95" s="616">
        <v>0.28697</v>
      </c>
      <c r="O95" s="616">
        <f t="shared" si="2"/>
        <v>0.29701394999999997</v>
      </c>
      <c r="P95" s="616">
        <f t="shared" si="3"/>
        <v>0</v>
      </c>
      <c r="Q95" s="616">
        <f>O95*M95</f>
        <v>0.29701394999999997</v>
      </c>
      <c r="R95" s="596" t="s">
        <v>526</v>
      </c>
      <c r="S95" s="618" t="s">
        <v>1108</v>
      </c>
      <c r="T95" s="618"/>
      <c r="U95" s="596"/>
      <c r="V95" s="596"/>
      <c r="W95" s="596"/>
      <c r="X95" s="596" t="s">
        <v>527</v>
      </c>
    </row>
    <row r="96" spans="1:24" ht="15.75" customHeight="1">
      <c r="A96" s="595">
        <v>2</v>
      </c>
      <c r="B96" s="626" t="s">
        <v>1190</v>
      </c>
      <c r="C96" s="626" t="s">
        <v>1191</v>
      </c>
      <c r="D96" s="630" t="s">
        <v>1190</v>
      </c>
      <c r="E96" s="618" t="str">
        <f>VLOOKUP(D96,[8]Sheet1!$D$2:$D$239,1,0)</f>
        <v>MAT-06CZE220M-V2-CY</v>
      </c>
      <c r="F96" s="618" t="e">
        <f>VLOOKUP(E96,'[9]EEBOM 512 '!$D$3:$D$169,1,0)</f>
        <v>#N/A</v>
      </c>
      <c r="G96" s="629" t="s">
        <v>1072</v>
      </c>
      <c r="H96" s="618" t="s">
        <v>1192</v>
      </c>
      <c r="I96" s="616" t="s">
        <v>1073</v>
      </c>
      <c r="J96" s="629" t="s">
        <v>1074</v>
      </c>
      <c r="K96" s="616" t="s">
        <v>28</v>
      </c>
      <c r="L96" s="616">
        <v>1</v>
      </c>
      <c r="M96" s="616">
        <v>1</v>
      </c>
      <c r="N96" s="616">
        <v>7.0000000000000007E-2</v>
      </c>
      <c r="O96" s="616">
        <f t="shared" si="2"/>
        <v>7.2450000000000001E-2</v>
      </c>
      <c r="P96" s="616">
        <f t="shared" si="3"/>
        <v>0</v>
      </c>
      <c r="Q96" s="616">
        <f>O96*M96</f>
        <v>7.2450000000000001E-2</v>
      </c>
      <c r="R96" s="596" t="s">
        <v>1193</v>
      </c>
      <c r="S96" s="618" t="e">
        <v>#N/A</v>
      </c>
      <c r="T96" s="618"/>
      <c r="U96" s="596"/>
      <c r="V96" s="596"/>
      <c r="W96" s="596"/>
      <c r="X96" s="596" t="s">
        <v>486</v>
      </c>
    </row>
    <row r="97" spans="1:24" ht="15.75" customHeight="1">
      <c r="A97" s="595">
        <v>2</v>
      </c>
      <c r="B97" s="596" t="s">
        <v>1194</v>
      </c>
      <c r="C97" s="596" t="s">
        <v>1195</v>
      </c>
      <c r="D97" s="609" t="s">
        <v>1194</v>
      </c>
      <c r="E97" s="596" t="str">
        <f>VLOOKUP(D97,[8]Sheet1!$D$2:$D$239,1,0)</f>
        <v>SQ2337ES-T1_GE3</v>
      </c>
      <c r="F97" s="596" t="e">
        <f>VLOOKUP(E97,'[9]EEBOM 512 '!$D$3:$D$169,1,0)</f>
        <v>#N/A</v>
      </c>
      <c r="G97" s="598" t="s">
        <v>1072</v>
      </c>
      <c r="H97" s="596" t="s">
        <v>1196</v>
      </c>
      <c r="I97" s="595" t="s">
        <v>1073</v>
      </c>
      <c r="J97" s="598" t="s">
        <v>1074</v>
      </c>
      <c r="K97" s="595" t="s">
        <v>28</v>
      </c>
      <c r="L97" s="595">
        <v>1</v>
      </c>
      <c r="M97" s="595">
        <v>1</v>
      </c>
      <c r="N97" s="616">
        <v>0.11799999999999999</v>
      </c>
      <c r="O97" s="616">
        <f t="shared" si="2"/>
        <v>0.12212999999999999</v>
      </c>
      <c r="P97" s="616">
        <f t="shared" si="3"/>
        <v>0</v>
      </c>
      <c r="Q97" s="616">
        <f>O97*M97</f>
        <v>0.12212999999999999</v>
      </c>
      <c r="R97" s="596" t="s">
        <v>368</v>
      </c>
      <c r="S97" s="618" t="s">
        <v>1092</v>
      </c>
      <c r="T97" s="618"/>
      <c r="U97" s="596"/>
      <c r="V97" s="596"/>
      <c r="W97" s="596"/>
      <c r="X97" s="596" t="s">
        <v>1197</v>
      </c>
    </row>
    <row r="98" spans="1:24" ht="15.75" customHeight="1">
      <c r="A98" s="595">
        <v>2</v>
      </c>
      <c r="B98" s="596" t="s">
        <v>414</v>
      </c>
      <c r="C98" s="596" t="s">
        <v>413</v>
      </c>
      <c r="D98" s="596" t="s">
        <v>414</v>
      </c>
      <c r="E98" s="596" t="str">
        <f>VLOOKUP(D98,[8]Sheet1!$D$2:$D$239,1,0)</f>
        <v>BSS123Q-13</v>
      </c>
      <c r="F98" s="596" t="str">
        <f>VLOOKUP(E98,'[9]EEBOM 512 '!$D$3:$D$169,1,0)</f>
        <v>BSS123Q-13</v>
      </c>
      <c r="G98" s="598" t="s">
        <v>1072</v>
      </c>
      <c r="H98" s="596" t="s">
        <v>415</v>
      </c>
      <c r="I98" s="595" t="s">
        <v>1073</v>
      </c>
      <c r="J98" s="598" t="s">
        <v>1074</v>
      </c>
      <c r="K98" s="595" t="s">
        <v>28</v>
      </c>
      <c r="L98" s="595">
        <v>2</v>
      </c>
      <c r="M98" s="595">
        <v>2</v>
      </c>
      <c r="N98" s="616">
        <v>1.4E-2</v>
      </c>
      <c r="O98" s="616">
        <f t="shared" si="2"/>
        <v>1.4489999999999999E-2</v>
      </c>
      <c r="P98" s="616">
        <f t="shared" si="3"/>
        <v>0</v>
      </c>
      <c r="Q98" s="616">
        <f>O98*M98</f>
        <v>2.8979999999999999E-2</v>
      </c>
      <c r="R98" s="596" t="s">
        <v>416</v>
      </c>
      <c r="S98" s="618" t="s">
        <v>1400</v>
      </c>
      <c r="T98" s="618"/>
      <c r="U98" s="604"/>
      <c r="V98" s="596"/>
      <c r="W98" s="596"/>
      <c r="X98" s="596" t="s">
        <v>1198</v>
      </c>
    </row>
    <row r="99" spans="1:24" ht="15.75" customHeight="1">
      <c r="A99" s="595">
        <v>2</v>
      </c>
      <c r="B99" s="596" t="s">
        <v>418</v>
      </c>
      <c r="C99" s="596" t="s">
        <v>413</v>
      </c>
      <c r="D99" s="596" t="s">
        <v>418</v>
      </c>
      <c r="E99" s="596" t="str">
        <f>VLOOKUP(D99,[8]Sheet1!$D$2:$D$239,1,0)</f>
        <v>BSS123Q-7</v>
      </c>
      <c r="F99" s="596" t="str">
        <f>VLOOKUP(E99,'[9]EEBOM 512 '!$D$3:$D$169,1,0)</f>
        <v>BSS123Q-7</v>
      </c>
      <c r="G99" s="598" t="s">
        <v>1072</v>
      </c>
      <c r="H99" s="596" t="s">
        <v>415</v>
      </c>
      <c r="I99" s="595" t="s">
        <v>1073</v>
      </c>
      <c r="J99" s="598" t="s">
        <v>1074</v>
      </c>
      <c r="K99" s="595" t="s">
        <v>28</v>
      </c>
      <c r="L99" s="595"/>
      <c r="M99" s="595"/>
      <c r="N99" s="616">
        <v>1.4E-2</v>
      </c>
      <c r="O99" s="616">
        <f t="shared" si="2"/>
        <v>1.4489999999999999E-2</v>
      </c>
      <c r="P99" s="616">
        <f t="shared" si="3"/>
        <v>0</v>
      </c>
      <c r="Q99" s="616"/>
      <c r="R99" s="596" t="s">
        <v>416</v>
      </c>
      <c r="S99" s="618" t="s">
        <v>1400</v>
      </c>
      <c r="T99" s="618"/>
      <c r="U99" s="604"/>
      <c r="V99" s="596"/>
      <c r="W99" s="596"/>
      <c r="X99" s="596"/>
    </row>
    <row r="100" spans="1:24" ht="15.75" customHeight="1">
      <c r="A100" s="595">
        <v>2</v>
      </c>
      <c r="B100" s="596" t="s">
        <v>419</v>
      </c>
      <c r="C100" s="596" t="s">
        <v>413</v>
      </c>
      <c r="D100" s="596" t="s">
        <v>1199</v>
      </c>
      <c r="E100" s="596" t="str">
        <f>VLOOKUP(D100,[8]Sheet1!$D$2:$D$239,1,0)</f>
        <v>BSS123NH6433XTMA1</v>
      </c>
      <c r="F100" s="596" t="str">
        <f>VLOOKUP(E100,'[9]EEBOM 512 '!$D$3:$D$169,1,0)</f>
        <v>BSS123NH6433XTMA1</v>
      </c>
      <c r="G100" s="598" t="s">
        <v>1072</v>
      </c>
      <c r="H100" s="596" t="s">
        <v>415</v>
      </c>
      <c r="I100" s="595" t="s">
        <v>1073</v>
      </c>
      <c r="J100" s="598" t="s">
        <v>1074</v>
      </c>
      <c r="K100" s="595" t="s">
        <v>28</v>
      </c>
      <c r="L100" s="595"/>
      <c r="M100" s="595"/>
      <c r="N100" s="616">
        <v>2.8000000000000001E-2</v>
      </c>
      <c r="O100" s="616">
        <f t="shared" si="2"/>
        <v>2.8979999999999999E-2</v>
      </c>
      <c r="P100" s="616">
        <f t="shared" si="3"/>
        <v>1.4489999999999999E-2</v>
      </c>
      <c r="Q100" s="616"/>
      <c r="R100" s="596" t="s">
        <v>420</v>
      </c>
      <c r="S100" s="619" t="s">
        <v>1200</v>
      </c>
      <c r="T100" s="618"/>
      <c r="U100" s="596">
        <v>15000</v>
      </c>
      <c r="V100" s="596" t="s">
        <v>1201</v>
      </c>
      <c r="W100" s="596"/>
      <c r="X100" s="596"/>
    </row>
    <row r="101" spans="1:24" ht="15.75" customHeight="1">
      <c r="A101" s="595">
        <v>2</v>
      </c>
      <c r="B101" s="596" t="s">
        <v>421</v>
      </c>
      <c r="C101" s="596" t="s">
        <v>413</v>
      </c>
      <c r="D101" s="596" t="s">
        <v>421</v>
      </c>
      <c r="E101" s="596" t="str">
        <f>VLOOKUP(D101,[8]Sheet1!$D$2:$D$239,1,0)</f>
        <v>BSS123NH6327XTSA1</v>
      </c>
      <c r="F101" s="596" t="str">
        <f>VLOOKUP(E101,'[9]EEBOM 512 '!$D$3:$D$169,1,0)</f>
        <v>BSS123NH6327XTSA1</v>
      </c>
      <c r="G101" s="598" t="s">
        <v>1072</v>
      </c>
      <c r="H101" s="596" t="s">
        <v>415</v>
      </c>
      <c r="I101" s="595" t="s">
        <v>1073</v>
      </c>
      <c r="J101" s="598" t="s">
        <v>1074</v>
      </c>
      <c r="K101" s="595" t="s">
        <v>28</v>
      </c>
      <c r="L101" s="595"/>
      <c r="M101" s="595"/>
      <c r="N101" s="616">
        <v>3.2000000000000001E-2</v>
      </c>
      <c r="O101" s="616">
        <f t="shared" si="2"/>
        <v>3.3119999999999997E-2</v>
      </c>
      <c r="P101" s="616">
        <f t="shared" si="3"/>
        <v>1.8629999999999997E-2</v>
      </c>
      <c r="Q101" s="616"/>
      <c r="R101" s="596" t="s">
        <v>420</v>
      </c>
      <c r="S101" s="619" t="s">
        <v>1200</v>
      </c>
      <c r="T101" s="618"/>
      <c r="U101" s="596">
        <v>10000</v>
      </c>
      <c r="V101" s="596" t="s">
        <v>1201</v>
      </c>
      <c r="W101" s="596"/>
      <c r="X101" s="596"/>
    </row>
    <row r="102" spans="1:24" ht="15.75" customHeight="1">
      <c r="A102" s="595">
        <v>2</v>
      </c>
      <c r="B102" s="596" t="s">
        <v>1202</v>
      </c>
      <c r="C102" s="596" t="s">
        <v>1203</v>
      </c>
      <c r="D102" s="596" t="s">
        <v>1202</v>
      </c>
      <c r="E102" s="596" t="str">
        <f>VLOOKUP(D102,[8]Sheet1!$D$2:$D$239,1,0)</f>
        <v>DMC3061SVTQ-13</v>
      </c>
      <c r="F102" s="596" t="e">
        <f>VLOOKUP(E102,'[9]EEBOM 512 '!$D$3:$D$169,1,0)</f>
        <v>#N/A</v>
      </c>
      <c r="G102" s="598" t="s">
        <v>1072</v>
      </c>
      <c r="H102" s="596" t="s">
        <v>1204</v>
      </c>
      <c r="I102" s="595" t="s">
        <v>1073</v>
      </c>
      <c r="J102" s="598" t="s">
        <v>1074</v>
      </c>
      <c r="K102" s="595" t="s">
        <v>28</v>
      </c>
      <c r="L102" s="595">
        <v>4</v>
      </c>
      <c r="M102" s="595">
        <v>4</v>
      </c>
      <c r="N102" s="616">
        <v>3.5000000000000003E-2</v>
      </c>
      <c r="O102" s="616">
        <f t="shared" si="2"/>
        <v>3.6225E-2</v>
      </c>
      <c r="P102" s="616" t="e">
        <f t="shared" si="3"/>
        <v>#N/A</v>
      </c>
      <c r="Q102" s="616">
        <f>O102*M102</f>
        <v>0.1449</v>
      </c>
      <c r="R102" s="596" t="s">
        <v>416</v>
      </c>
      <c r="S102" s="618" t="s">
        <v>1400</v>
      </c>
      <c r="T102" s="618"/>
      <c r="U102" s="596"/>
      <c r="V102" s="596"/>
      <c r="W102" s="596"/>
      <c r="X102" s="596" t="s">
        <v>1205</v>
      </c>
    </row>
    <row r="103" spans="1:24" ht="15.75" customHeight="1">
      <c r="A103" s="595">
        <v>2</v>
      </c>
      <c r="B103" s="596" t="s">
        <v>1206</v>
      </c>
      <c r="C103" s="596" t="s">
        <v>1203</v>
      </c>
      <c r="D103" s="596" t="s">
        <v>1206</v>
      </c>
      <c r="E103" s="596" t="str">
        <f>VLOOKUP(D103,[8]Sheet1!$D$2:$D$239,1,0)</f>
        <v>DMC3061SVTQ-13-52</v>
      </c>
      <c r="F103" s="596" t="e">
        <f>VLOOKUP(E103,'[9]EEBOM 512 '!$D$3:$D$169,1,0)</f>
        <v>#N/A</v>
      </c>
      <c r="G103" s="598" t="s">
        <v>1072</v>
      </c>
      <c r="H103" s="596" t="s">
        <v>1204</v>
      </c>
      <c r="I103" s="595" t="s">
        <v>1073</v>
      </c>
      <c r="J103" s="598" t="s">
        <v>1074</v>
      </c>
      <c r="K103" s="595" t="s">
        <v>28</v>
      </c>
      <c r="L103" s="595"/>
      <c r="M103" s="595"/>
      <c r="N103" s="616" t="e">
        <v>#N/A</v>
      </c>
      <c r="O103" s="616" t="e">
        <f t="shared" si="2"/>
        <v>#N/A</v>
      </c>
      <c r="P103" s="616" t="e">
        <f t="shared" si="3"/>
        <v>#N/A</v>
      </c>
      <c r="Q103" s="616"/>
      <c r="R103" s="596" t="s">
        <v>416</v>
      </c>
      <c r="S103" s="618" t="e">
        <v>#N/A</v>
      </c>
      <c r="T103" s="618"/>
      <c r="U103" s="596"/>
      <c r="V103" s="596"/>
      <c r="W103" s="596"/>
      <c r="X103" s="596"/>
    </row>
    <row r="104" spans="1:24" ht="15.75" customHeight="1">
      <c r="A104" s="595">
        <v>2</v>
      </c>
      <c r="B104" s="596" t="s">
        <v>1207</v>
      </c>
      <c r="C104" s="596" t="s">
        <v>1203</v>
      </c>
      <c r="D104" s="596" t="s">
        <v>1207</v>
      </c>
      <c r="E104" s="596" t="str">
        <f>VLOOKUP(D104,[8]Sheet1!$D$2:$D$239,1,0)</f>
        <v>DMC3061SVTQ-7</v>
      </c>
      <c r="F104" s="596" t="e">
        <f>VLOOKUP(E104,'[9]EEBOM 512 '!$D$3:$D$169,1,0)</f>
        <v>#N/A</v>
      </c>
      <c r="G104" s="598" t="s">
        <v>1072</v>
      </c>
      <c r="H104" s="596" t="s">
        <v>1204</v>
      </c>
      <c r="I104" s="595" t="s">
        <v>1073</v>
      </c>
      <c r="J104" s="598" t="s">
        <v>1074</v>
      </c>
      <c r="K104" s="595" t="s">
        <v>28</v>
      </c>
      <c r="L104" s="595"/>
      <c r="M104" s="595"/>
      <c r="N104" s="616">
        <v>3.5000000000000003E-2</v>
      </c>
      <c r="O104" s="616">
        <f t="shared" si="2"/>
        <v>3.6225E-2</v>
      </c>
      <c r="P104" s="616" t="e">
        <f t="shared" si="3"/>
        <v>#N/A</v>
      </c>
      <c r="Q104" s="616"/>
      <c r="R104" s="596" t="s">
        <v>416</v>
      </c>
      <c r="S104" s="618" t="s">
        <v>1400</v>
      </c>
      <c r="T104" s="618"/>
      <c r="U104" s="596"/>
      <c r="V104" s="596"/>
      <c r="W104" s="596"/>
      <c r="X104" s="596"/>
    </row>
    <row r="105" spans="1:24" ht="15.75" customHeight="1">
      <c r="A105" s="595">
        <v>2</v>
      </c>
      <c r="B105" s="596" t="s">
        <v>1208</v>
      </c>
      <c r="C105" s="596" t="s">
        <v>1203</v>
      </c>
      <c r="D105" s="596" t="s">
        <v>1208</v>
      </c>
      <c r="E105" s="596" t="str">
        <f>VLOOKUP(D105,[8]Sheet1!$D$2:$D$239,1,0)</f>
        <v>DMC3061SVTQ-7-52</v>
      </c>
      <c r="F105" s="596" t="e">
        <f>VLOOKUP(E105,'[9]EEBOM 512 '!$D$3:$D$169,1,0)</f>
        <v>#N/A</v>
      </c>
      <c r="G105" s="598" t="s">
        <v>1072</v>
      </c>
      <c r="H105" s="596" t="s">
        <v>1204</v>
      </c>
      <c r="I105" s="595" t="s">
        <v>1073</v>
      </c>
      <c r="J105" s="598" t="s">
        <v>1074</v>
      </c>
      <c r="K105" s="595" t="s">
        <v>28</v>
      </c>
      <c r="L105" s="595"/>
      <c r="M105" s="595"/>
      <c r="N105" s="616">
        <v>3.5000000000000003E-2</v>
      </c>
      <c r="O105" s="616">
        <f t="shared" si="2"/>
        <v>3.6225E-2</v>
      </c>
      <c r="P105" s="616" t="e">
        <f t="shared" si="3"/>
        <v>#N/A</v>
      </c>
      <c r="Q105" s="616"/>
      <c r="R105" s="596" t="s">
        <v>416</v>
      </c>
      <c r="S105" s="618" t="s">
        <v>1400</v>
      </c>
      <c r="T105" s="618"/>
      <c r="U105" s="596"/>
      <c r="V105" s="596"/>
      <c r="W105" s="596"/>
      <c r="X105" s="596"/>
    </row>
    <row r="106" spans="1:24" ht="15.75" customHeight="1">
      <c r="A106" s="595">
        <v>2</v>
      </c>
      <c r="B106" s="596" t="s">
        <v>1209</v>
      </c>
      <c r="C106" s="596" t="s">
        <v>1203</v>
      </c>
      <c r="D106" s="596" t="s">
        <v>1209</v>
      </c>
      <c r="E106" s="596" t="str">
        <f>VLOOKUP(D106,[8]Sheet1!$D$2:$D$239,1,0)</f>
        <v>DMC3061SVTQ-13-52-N</v>
      </c>
      <c r="F106" s="596" t="e">
        <f>VLOOKUP(E106,'[9]EEBOM 512 '!$D$3:$D$169,1,0)</f>
        <v>#N/A</v>
      </c>
      <c r="G106" s="598" t="s">
        <v>1072</v>
      </c>
      <c r="H106" s="596" t="s">
        <v>1204</v>
      </c>
      <c r="I106" s="595" t="s">
        <v>1073</v>
      </c>
      <c r="J106" s="598" t="s">
        <v>1074</v>
      </c>
      <c r="K106" s="595" t="s">
        <v>28</v>
      </c>
      <c r="L106" s="595"/>
      <c r="M106" s="595"/>
      <c r="N106" s="616" t="e">
        <v>#N/A</v>
      </c>
      <c r="O106" s="616" t="e">
        <f t="shared" si="2"/>
        <v>#N/A</v>
      </c>
      <c r="P106" s="616" t="e">
        <f t="shared" si="3"/>
        <v>#N/A</v>
      </c>
      <c r="Q106" s="616"/>
      <c r="R106" s="596" t="s">
        <v>416</v>
      </c>
      <c r="S106" s="618" t="e">
        <v>#N/A</v>
      </c>
      <c r="T106" s="618"/>
      <c r="U106" s="596"/>
      <c r="V106" s="596"/>
      <c r="W106" s="596"/>
      <c r="X106" s="596"/>
    </row>
    <row r="107" spans="1:24" ht="15.75" customHeight="1">
      <c r="A107" s="595">
        <v>2</v>
      </c>
      <c r="B107" s="596" t="s">
        <v>1210</v>
      </c>
      <c r="C107" s="596" t="s">
        <v>1203</v>
      </c>
      <c r="D107" s="596" t="s">
        <v>1210</v>
      </c>
      <c r="E107" s="596" t="str">
        <f>VLOOKUP(D107,[8]Sheet1!$D$2:$D$239,1,0)</f>
        <v>DMC3061SVTQ-7-52-N</v>
      </c>
      <c r="F107" s="596" t="e">
        <f>VLOOKUP(E107,'[9]EEBOM 512 '!$D$3:$D$169,1,0)</f>
        <v>#N/A</v>
      </c>
      <c r="G107" s="598" t="s">
        <v>1072</v>
      </c>
      <c r="H107" s="596" t="s">
        <v>1204</v>
      </c>
      <c r="I107" s="595" t="s">
        <v>1073</v>
      </c>
      <c r="J107" s="598" t="s">
        <v>1074</v>
      </c>
      <c r="K107" s="595" t="s">
        <v>28</v>
      </c>
      <c r="L107" s="595"/>
      <c r="M107" s="595"/>
      <c r="N107" s="616" t="e">
        <v>#N/A</v>
      </c>
      <c r="O107" s="616" t="e">
        <f t="shared" si="2"/>
        <v>#N/A</v>
      </c>
      <c r="P107" s="616" t="e">
        <f t="shared" si="3"/>
        <v>#N/A</v>
      </c>
      <c r="Q107" s="616"/>
      <c r="R107" s="596" t="s">
        <v>416</v>
      </c>
      <c r="S107" s="618" t="e">
        <v>#N/A</v>
      </c>
      <c r="T107" s="618"/>
      <c r="U107" s="596"/>
      <c r="V107" s="596"/>
      <c r="W107" s="596"/>
      <c r="X107" s="596"/>
    </row>
    <row r="108" spans="1:24" ht="15.75" customHeight="1">
      <c r="A108" s="595">
        <v>2</v>
      </c>
      <c r="B108" s="596" t="s">
        <v>1211</v>
      </c>
      <c r="C108" s="596" t="s">
        <v>1203</v>
      </c>
      <c r="D108" s="596" t="s">
        <v>1211</v>
      </c>
      <c r="E108" s="596" t="str">
        <f>VLOOKUP(D108,[8]Sheet1!$D$2:$D$239,1,0)</f>
        <v>PJS6603-AU</v>
      </c>
      <c r="F108" s="596" t="e">
        <f>VLOOKUP(E108,'[9]EEBOM 512 '!$D$3:$D$169,1,0)</f>
        <v>#N/A</v>
      </c>
      <c r="G108" s="598" t="s">
        <v>1072</v>
      </c>
      <c r="H108" s="596" t="s">
        <v>1204</v>
      </c>
      <c r="I108" s="595" t="s">
        <v>1073</v>
      </c>
      <c r="J108" s="598" t="s">
        <v>1074</v>
      </c>
      <c r="K108" s="595" t="s">
        <v>28</v>
      </c>
      <c r="L108" s="595"/>
      <c r="M108" s="595"/>
      <c r="N108" s="616">
        <v>3.9899999999999998E-2</v>
      </c>
      <c r="O108" s="616">
        <f t="shared" si="2"/>
        <v>4.1296499999999993E-2</v>
      </c>
      <c r="P108" s="616" t="e">
        <f t="shared" si="3"/>
        <v>#N/A</v>
      </c>
      <c r="Q108" s="616"/>
      <c r="R108" s="596" t="s">
        <v>1212</v>
      </c>
      <c r="S108" s="618" t="s">
        <v>1108</v>
      </c>
      <c r="T108" s="618"/>
      <c r="U108" s="596"/>
      <c r="V108" s="596"/>
      <c r="W108" s="596"/>
      <c r="X108" s="596"/>
    </row>
    <row r="109" spans="1:24" ht="15.75" customHeight="1">
      <c r="A109" s="595">
        <v>2</v>
      </c>
      <c r="B109" s="596" t="s">
        <v>1213</v>
      </c>
      <c r="C109" s="596" t="s">
        <v>1203</v>
      </c>
      <c r="D109" s="596" t="s">
        <v>1213</v>
      </c>
      <c r="E109" s="596" t="str">
        <f>VLOOKUP(D109,[8]Sheet1!$D$2:$D$239,1,0)</f>
        <v>PJS6603-AU_S1_008A1</v>
      </c>
      <c r="F109" s="596" t="e">
        <f>VLOOKUP(E109,'[9]EEBOM 512 '!$D$3:$D$169,1,0)</f>
        <v>#N/A</v>
      </c>
      <c r="G109" s="598" t="s">
        <v>1072</v>
      </c>
      <c r="H109" s="596" t="s">
        <v>1204</v>
      </c>
      <c r="I109" s="595" t="s">
        <v>1073</v>
      </c>
      <c r="J109" s="598" t="s">
        <v>1074</v>
      </c>
      <c r="K109" s="595" t="s">
        <v>28</v>
      </c>
      <c r="L109" s="595"/>
      <c r="M109" s="595"/>
      <c r="N109" s="616">
        <v>3.9899999999999998E-2</v>
      </c>
      <c r="O109" s="616">
        <f t="shared" si="2"/>
        <v>4.1296499999999993E-2</v>
      </c>
      <c r="P109" s="616" t="e">
        <f t="shared" si="3"/>
        <v>#N/A</v>
      </c>
      <c r="Q109" s="616"/>
      <c r="R109" s="596" t="s">
        <v>1212</v>
      </c>
      <c r="S109" s="618" t="s">
        <v>1108</v>
      </c>
      <c r="T109" s="618"/>
      <c r="U109" s="596"/>
      <c r="V109" s="596"/>
      <c r="W109" s="596"/>
      <c r="X109" s="596"/>
    </row>
    <row r="110" spans="1:24" ht="15.75" customHeight="1">
      <c r="A110" s="595">
        <v>2</v>
      </c>
      <c r="B110" s="596" t="s">
        <v>1214</v>
      </c>
      <c r="C110" s="596" t="s">
        <v>1215</v>
      </c>
      <c r="D110" s="596" t="s">
        <v>1214</v>
      </c>
      <c r="E110" s="596" t="str">
        <f>VLOOKUP(D110,[8]Sheet1!$D$2:$D$239,1,0)</f>
        <v>CRCW0402560RFKED</v>
      </c>
      <c r="F110" s="596" t="e">
        <f>VLOOKUP(E110,'[9]EEBOM 512 '!$D$3:$D$169,1,0)</f>
        <v>#N/A</v>
      </c>
      <c r="G110" s="598" t="s">
        <v>1072</v>
      </c>
      <c r="H110" s="596" t="s">
        <v>1216</v>
      </c>
      <c r="I110" s="595" t="s">
        <v>1073</v>
      </c>
      <c r="J110" s="598" t="s">
        <v>1074</v>
      </c>
      <c r="K110" s="595" t="s">
        <v>28</v>
      </c>
      <c r="L110" s="595">
        <v>4</v>
      </c>
      <c r="M110" s="595"/>
      <c r="N110" s="616">
        <v>8.3299999999999997E-4</v>
      </c>
      <c r="O110" s="616">
        <f t="shared" si="2"/>
        <v>8.6215499999999987E-4</v>
      </c>
      <c r="P110" s="616">
        <f t="shared" si="3"/>
        <v>5.1025499999999982E-4</v>
      </c>
      <c r="Q110" s="616"/>
      <c r="R110" s="596" t="s">
        <v>368</v>
      </c>
      <c r="S110" s="618" t="s">
        <v>1092</v>
      </c>
      <c r="T110" s="618"/>
      <c r="U110" s="596"/>
      <c r="V110" s="596"/>
      <c r="W110" s="596"/>
      <c r="X110" s="596" t="s">
        <v>1217</v>
      </c>
    </row>
    <row r="111" spans="1:24" ht="15.75" customHeight="1">
      <c r="A111" s="595">
        <v>2</v>
      </c>
      <c r="B111" s="596" t="s">
        <v>1218</v>
      </c>
      <c r="C111" s="596" t="s">
        <v>1215</v>
      </c>
      <c r="D111" s="596" t="s">
        <v>1218</v>
      </c>
      <c r="E111" s="596" t="str">
        <f>VLOOKUP(D111,[8]Sheet1!$D$2:$D$239,1,0)</f>
        <v>AC0402FR-07560RL</v>
      </c>
      <c r="F111" s="596" t="e">
        <f>VLOOKUP(E111,'[9]EEBOM 512 '!$D$3:$D$169,1,0)</f>
        <v>#N/A</v>
      </c>
      <c r="G111" s="598" t="s">
        <v>1072</v>
      </c>
      <c r="H111" s="596" t="s">
        <v>1216</v>
      </c>
      <c r="I111" s="595" t="s">
        <v>1073</v>
      </c>
      <c r="J111" s="598" t="s">
        <v>1074</v>
      </c>
      <c r="K111" s="595" t="s">
        <v>28</v>
      </c>
      <c r="L111" s="595"/>
      <c r="M111" s="595">
        <v>4</v>
      </c>
      <c r="N111" s="616">
        <v>3.4000000000000002E-4</v>
      </c>
      <c r="O111" s="616">
        <f t="shared" si="2"/>
        <v>3.5189999999999999E-4</v>
      </c>
      <c r="P111" s="616">
        <f t="shared" si="3"/>
        <v>0</v>
      </c>
      <c r="Q111" s="616">
        <f>O111*M111</f>
        <v>1.4076E-3</v>
      </c>
      <c r="R111" s="596" t="s">
        <v>296</v>
      </c>
      <c r="S111" s="618" t="s">
        <v>1127</v>
      </c>
      <c r="T111" s="618"/>
      <c r="U111" s="596"/>
      <c r="V111" s="596"/>
      <c r="W111" s="596"/>
      <c r="X111" s="596"/>
    </row>
    <row r="112" spans="1:24" ht="15.75" customHeight="1">
      <c r="A112" s="595">
        <v>2</v>
      </c>
      <c r="B112" s="596" t="s">
        <v>1219</v>
      </c>
      <c r="C112" s="596" t="s">
        <v>1215</v>
      </c>
      <c r="D112" s="596" t="s">
        <v>1219</v>
      </c>
      <c r="E112" s="596" t="str">
        <f>VLOOKUP(D112,[8]Sheet1!$D$2:$D$239,1,0)</f>
        <v>RK73H1ETTP5600F</v>
      </c>
      <c r="F112" s="596" t="e">
        <f>VLOOKUP(E112,'[9]EEBOM 512 '!$D$3:$D$169,1,0)</f>
        <v>#N/A</v>
      </c>
      <c r="G112" s="598" t="s">
        <v>1072</v>
      </c>
      <c r="H112" s="596" t="s">
        <v>1216</v>
      </c>
      <c r="I112" s="595" t="s">
        <v>1073</v>
      </c>
      <c r="J112" s="598" t="s">
        <v>1074</v>
      </c>
      <c r="K112" s="595" t="s">
        <v>28</v>
      </c>
      <c r="L112" s="595"/>
      <c r="M112" s="595"/>
      <c r="N112" s="616">
        <v>1.047E-3</v>
      </c>
      <c r="O112" s="616">
        <f t="shared" si="2"/>
        <v>1.0836449999999998E-3</v>
      </c>
      <c r="P112" s="616">
        <f t="shared" si="3"/>
        <v>7.3174499999999979E-4</v>
      </c>
      <c r="Q112" s="616"/>
      <c r="R112" s="596" t="s">
        <v>292</v>
      </c>
      <c r="S112" s="618" t="s">
        <v>1092</v>
      </c>
      <c r="T112" s="618"/>
      <c r="U112" s="596"/>
      <c r="V112" s="596"/>
      <c r="W112" s="596"/>
      <c r="X112" s="596"/>
    </row>
    <row r="113" spans="1:24" ht="15.75" customHeight="1">
      <c r="A113" s="595">
        <v>2</v>
      </c>
      <c r="B113" s="596" t="s">
        <v>1220</v>
      </c>
      <c r="C113" s="596" t="s">
        <v>1215</v>
      </c>
      <c r="D113" s="596" t="s">
        <v>1220</v>
      </c>
      <c r="E113" s="596" t="str">
        <f>VLOOKUP(D113,[8]Sheet1!$D$2:$D$239,1,0)</f>
        <v>RMCH10K561FTH</v>
      </c>
      <c r="F113" s="596" t="e">
        <f>VLOOKUP(E113,'[9]EEBOM 512 '!$D$3:$D$169,1,0)</f>
        <v>#N/A</v>
      </c>
      <c r="G113" s="598" t="s">
        <v>1072</v>
      </c>
      <c r="H113" s="596" t="s">
        <v>1216</v>
      </c>
      <c r="I113" s="595" t="s">
        <v>1073</v>
      </c>
      <c r="J113" s="598" t="s">
        <v>1074</v>
      </c>
      <c r="K113" s="595" t="s">
        <v>28</v>
      </c>
      <c r="L113" s="595"/>
      <c r="M113" s="595"/>
      <c r="N113" s="616">
        <v>2.2669999999999999E-3</v>
      </c>
      <c r="O113" s="616">
        <f t="shared" si="2"/>
        <v>2.3463449999999997E-3</v>
      </c>
      <c r="P113" s="616">
        <f t="shared" si="3"/>
        <v>1.9944449999999996E-3</v>
      </c>
      <c r="Q113" s="616"/>
      <c r="R113" s="596" t="s">
        <v>294</v>
      </c>
      <c r="S113" s="618" t="s">
        <v>1092</v>
      </c>
      <c r="T113" s="618"/>
      <c r="U113" s="596"/>
      <c r="V113" s="596"/>
      <c r="W113" s="596"/>
      <c r="X113" s="596"/>
    </row>
    <row r="114" spans="1:24" ht="15.75" customHeight="1">
      <c r="A114" s="595">
        <v>2</v>
      </c>
      <c r="B114" s="596" t="s">
        <v>467</v>
      </c>
      <c r="C114" s="596" t="s">
        <v>459</v>
      </c>
      <c r="D114" s="596" t="s">
        <v>468</v>
      </c>
      <c r="E114" s="596" t="str">
        <f>VLOOKUP(D114,[8]Sheet1!$D$2:$D$239,1,0)</f>
        <v>AC0201FR-0710KL</v>
      </c>
      <c r="F114" s="596" t="str">
        <f>VLOOKUP(E114,'[9]EEBOM 512 '!$D$3:$D$169,1,0)</f>
        <v>AC0201FR-0710KL</v>
      </c>
      <c r="G114" s="598" t="s">
        <v>1072</v>
      </c>
      <c r="H114" s="596" t="s">
        <v>1221</v>
      </c>
      <c r="I114" s="595" t="s">
        <v>1073</v>
      </c>
      <c r="J114" s="598" t="s">
        <v>1074</v>
      </c>
      <c r="K114" s="595" t="s">
        <v>28</v>
      </c>
      <c r="L114" s="595">
        <v>56</v>
      </c>
      <c r="M114" s="595">
        <v>56</v>
      </c>
      <c r="N114" s="616">
        <v>5.9999999999999995E-4</v>
      </c>
      <c r="O114" s="616">
        <f t="shared" si="2"/>
        <v>6.2099999999999992E-4</v>
      </c>
      <c r="P114" s="616">
        <f t="shared" si="3"/>
        <v>0</v>
      </c>
      <c r="Q114" s="616">
        <f>O114*M114</f>
        <v>3.4775999999999994E-2</v>
      </c>
      <c r="R114" s="596" t="s">
        <v>296</v>
      </c>
      <c r="S114" s="618" t="s">
        <v>1127</v>
      </c>
      <c r="T114" s="618"/>
      <c r="U114" s="596"/>
      <c r="V114" s="596"/>
      <c r="W114" s="596"/>
      <c r="X114" s="596" t="s">
        <v>1222</v>
      </c>
    </row>
    <row r="115" spans="1:24" ht="15.75" customHeight="1">
      <c r="A115" s="595">
        <v>2</v>
      </c>
      <c r="B115" s="596" t="s">
        <v>465</v>
      </c>
      <c r="C115" s="596" t="s">
        <v>459</v>
      </c>
      <c r="D115" s="596" t="s">
        <v>465</v>
      </c>
      <c r="E115" s="596" t="str">
        <f>VLOOKUP(D115,[8]Sheet1!$D$2:$D$239,1,0)</f>
        <v>RMCH06-103FPA</v>
      </c>
      <c r="F115" s="596" t="str">
        <f>VLOOKUP(E115,'[9]EEBOM 512 '!$D$3:$D$169,1,0)</f>
        <v>RMCH06-103FPA</v>
      </c>
      <c r="G115" s="598" t="s">
        <v>1072</v>
      </c>
      <c r="H115" s="596" t="s">
        <v>1221</v>
      </c>
      <c r="I115" s="595" t="s">
        <v>1073</v>
      </c>
      <c r="J115" s="598" t="s">
        <v>1074</v>
      </c>
      <c r="K115" s="595" t="s">
        <v>28</v>
      </c>
      <c r="L115" s="595"/>
      <c r="M115" s="595"/>
      <c r="N115" s="616">
        <v>2.7390000000000001E-3</v>
      </c>
      <c r="O115" s="616">
        <f t="shared" si="2"/>
        <v>2.8348649999999998E-3</v>
      </c>
      <c r="P115" s="616">
        <f t="shared" si="3"/>
        <v>2.2138649999999998E-3</v>
      </c>
      <c r="Q115" s="616"/>
      <c r="R115" s="596" t="s">
        <v>294</v>
      </c>
      <c r="S115" s="618" t="s">
        <v>1092</v>
      </c>
      <c r="T115" s="618"/>
      <c r="U115" s="596"/>
      <c r="V115" s="596"/>
      <c r="W115" s="596"/>
      <c r="X115" s="596"/>
    </row>
    <row r="116" spans="1:24" ht="15.75" customHeight="1">
      <c r="A116" s="595">
        <v>2</v>
      </c>
      <c r="B116" s="596" t="s">
        <v>463</v>
      </c>
      <c r="C116" s="596" t="s">
        <v>459</v>
      </c>
      <c r="D116" s="596" t="s">
        <v>463</v>
      </c>
      <c r="E116" s="596" t="str">
        <f>VLOOKUP(D116,[8]Sheet1!$D$2:$D$239,1,0)</f>
        <v>RK73H1HTTC1002F</v>
      </c>
      <c r="F116" s="596" t="str">
        <f>VLOOKUP(E116,'[9]EEBOM 512 '!$D$3:$D$169,1,0)</f>
        <v>RK73H1HTTC1002F</v>
      </c>
      <c r="G116" s="598" t="s">
        <v>1072</v>
      </c>
      <c r="H116" s="596" t="s">
        <v>1221</v>
      </c>
      <c r="I116" s="595" t="s">
        <v>1073</v>
      </c>
      <c r="J116" s="598" t="s">
        <v>1074</v>
      </c>
      <c r="K116" s="595" t="s">
        <v>28</v>
      </c>
      <c r="L116" s="595"/>
      <c r="M116" s="595"/>
      <c r="N116" s="616">
        <v>1.5139999999999999E-3</v>
      </c>
      <c r="O116" s="616">
        <f t="shared" si="2"/>
        <v>1.5669899999999999E-3</v>
      </c>
      <c r="P116" s="616">
        <f t="shared" si="3"/>
        <v>9.4598999999999996E-4</v>
      </c>
      <c r="Q116" s="616"/>
      <c r="R116" s="596" t="s">
        <v>292</v>
      </c>
      <c r="S116" s="618" t="s">
        <v>1092</v>
      </c>
      <c r="T116" s="618"/>
      <c r="U116" s="596"/>
      <c r="V116" s="596"/>
      <c r="W116" s="596"/>
      <c r="X116" s="596"/>
    </row>
    <row r="117" spans="1:24" ht="15.75" customHeight="1">
      <c r="A117" s="595">
        <v>2</v>
      </c>
      <c r="B117" s="596" t="s">
        <v>466</v>
      </c>
      <c r="C117" s="596" t="s">
        <v>459</v>
      </c>
      <c r="D117" s="596" t="s">
        <v>466</v>
      </c>
      <c r="E117" s="596" t="str">
        <f>VLOOKUP(D117,[8]Sheet1!$D$2:$D$239,1,0)</f>
        <v>ERJ1GJF1002C</v>
      </c>
      <c r="F117" s="596" t="str">
        <f>VLOOKUP(E117,'[9]EEBOM 512 '!$D$3:$D$169,1,0)</f>
        <v>ERJ1GJF1002C</v>
      </c>
      <c r="G117" s="598" t="s">
        <v>1072</v>
      </c>
      <c r="H117" s="596" t="s">
        <v>1221</v>
      </c>
      <c r="I117" s="595" t="s">
        <v>1073</v>
      </c>
      <c r="J117" s="598" t="s">
        <v>1074</v>
      </c>
      <c r="K117" s="595" t="s">
        <v>28</v>
      </c>
      <c r="L117" s="595"/>
      <c r="M117" s="595"/>
      <c r="N117" s="616">
        <v>1.2800000000000001E-2</v>
      </c>
      <c r="O117" s="616">
        <f t="shared" si="2"/>
        <v>1.3247999999999999E-2</v>
      </c>
      <c r="P117" s="616">
        <f t="shared" si="3"/>
        <v>1.2626999999999999E-2</v>
      </c>
      <c r="Q117" s="616"/>
      <c r="R117" s="596" t="s">
        <v>289</v>
      </c>
      <c r="S117" s="618" t="s">
        <v>1080</v>
      </c>
      <c r="T117" s="618"/>
      <c r="U117" s="596"/>
      <c r="V117" s="596"/>
      <c r="W117" s="596"/>
      <c r="X117" s="596"/>
    </row>
    <row r="118" spans="1:24" ht="15.75" customHeight="1">
      <c r="A118" s="595">
        <v>2</v>
      </c>
      <c r="B118" s="596" t="s">
        <v>295</v>
      </c>
      <c r="C118" s="596" t="s">
        <v>284</v>
      </c>
      <c r="D118" s="596" t="s">
        <v>295</v>
      </c>
      <c r="E118" s="596" t="str">
        <f>VLOOKUP(D118,[8]Sheet1!$D$2:$D$239,1,0)</f>
        <v>AC0201FR-0747KL</v>
      </c>
      <c r="F118" s="596" t="str">
        <f>VLOOKUP(E118,'[9]EEBOM 512 '!$D$3:$D$169,1,0)</f>
        <v>AC0201FR-0747KL</v>
      </c>
      <c r="G118" s="598" t="s">
        <v>1072</v>
      </c>
      <c r="H118" s="596" t="s">
        <v>1223</v>
      </c>
      <c r="I118" s="595" t="s">
        <v>1073</v>
      </c>
      <c r="J118" s="598" t="s">
        <v>1074</v>
      </c>
      <c r="K118" s="595" t="s">
        <v>28</v>
      </c>
      <c r="L118" s="595">
        <v>8</v>
      </c>
      <c r="M118" s="595">
        <v>8</v>
      </c>
      <c r="N118" s="616">
        <v>5.9999999999999995E-4</v>
      </c>
      <c r="O118" s="616">
        <f t="shared" si="2"/>
        <v>6.2099999999999992E-4</v>
      </c>
      <c r="P118" s="616">
        <f t="shared" si="3"/>
        <v>0</v>
      </c>
      <c r="Q118" s="616">
        <f>O118*M118</f>
        <v>4.9679999999999993E-3</v>
      </c>
      <c r="R118" s="596" t="s">
        <v>296</v>
      </c>
      <c r="S118" s="618" t="s">
        <v>1127</v>
      </c>
      <c r="T118" s="618"/>
      <c r="U118" s="596"/>
      <c r="V118" s="596"/>
      <c r="W118" s="596"/>
      <c r="X118" s="596" t="s">
        <v>1224</v>
      </c>
    </row>
    <row r="119" spans="1:24" ht="15.75" customHeight="1">
      <c r="A119" s="595">
        <v>2</v>
      </c>
      <c r="B119" s="596" t="s">
        <v>291</v>
      </c>
      <c r="C119" s="596" t="s">
        <v>284</v>
      </c>
      <c r="D119" s="596" t="s">
        <v>291</v>
      </c>
      <c r="E119" s="596" t="str">
        <f>VLOOKUP(D119,[8]Sheet1!$D$2:$D$239,1,0)</f>
        <v>RK73H1HTTC4702F</v>
      </c>
      <c r="F119" s="596" t="str">
        <f>VLOOKUP(E119,'[9]EEBOM 512 '!$D$3:$D$169,1,0)</f>
        <v>RK73H1HTTC4702F</v>
      </c>
      <c r="G119" s="598" t="s">
        <v>1072</v>
      </c>
      <c r="H119" s="596" t="s">
        <v>1223</v>
      </c>
      <c r="I119" s="595" t="s">
        <v>1073</v>
      </c>
      <c r="J119" s="598" t="s">
        <v>1074</v>
      </c>
      <c r="K119" s="595" t="s">
        <v>28</v>
      </c>
      <c r="L119" s="595"/>
      <c r="M119" s="595"/>
      <c r="N119" s="616">
        <v>1.5139999999999999E-3</v>
      </c>
      <c r="O119" s="616">
        <f t="shared" si="2"/>
        <v>1.5669899999999999E-3</v>
      </c>
      <c r="P119" s="616">
        <f t="shared" si="3"/>
        <v>9.4598999999999996E-4</v>
      </c>
      <c r="Q119" s="616"/>
      <c r="R119" s="596" t="s">
        <v>292</v>
      </c>
      <c r="S119" s="618" t="s">
        <v>1092</v>
      </c>
      <c r="T119" s="618"/>
      <c r="U119" s="596"/>
      <c r="V119" s="596"/>
      <c r="W119" s="596"/>
      <c r="X119" s="596"/>
    </row>
    <row r="120" spans="1:24" ht="15.75" customHeight="1">
      <c r="A120" s="595">
        <v>2</v>
      </c>
      <c r="B120" s="596" t="s">
        <v>293</v>
      </c>
      <c r="C120" s="596" t="s">
        <v>284</v>
      </c>
      <c r="D120" s="596" t="s">
        <v>293</v>
      </c>
      <c r="E120" s="596" t="str">
        <f>VLOOKUP(D120,[8]Sheet1!$D$2:$D$239,1,0)</f>
        <v>RMCH06-473FPA</v>
      </c>
      <c r="F120" s="596" t="str">
        <f>VLOOKUP(E120,'[9]EEBOM 512 '!$D$3:$D$169,1,0)</f>
        <v>RMCH06-473FPA</v>
      </c>
      <c r="G120" s="598" t="s">
        <v>1072</v>
      </c>
      <c r="H120" s="596" t="s">
        <v>1223</v>
      </c>
      <c r="I120" s="595" t="s">
        <v>1073</v>
      </c>
      <c r="J120" s="598" t="s">
        <v>1074</v>
      </c>
      <c r="K120" s="595" t="s">
        <v>28</v>
      </c>
      <c r="L120" s="595"/>
      <c r="M120" s="595"/>
      <c r="N120" s="616">
        <v>2.7390000000000001E-3</v>
      </c>
      <c r="O120" s="616">
        <f t="shared" si="2"/>
        <v>2.8348649999999998E-3</v>
      </c>
      <c r="P120" s="616">
        <f t="shared" si="3"/>
        <v>2.2138649999999998E-3</v>
      </c>
      <c r="Q120" s="616"/>
      <c r="R120" s="596" t="s">
        <v>294</v>
      </c>
      <c r="S120" s="618" t="s">
        <v>1092</v>
      </c>
      <c r="T120" s="618"/>
      <c r="U120" s="596"/>
      <c r="V120" s="596"/>
      <c r="W120" s="596"/>
      <c r="X120" s="596"/>
    </row>
    <row r="121" spans="1:24" ht="15.75" customHeight="1">
      <c r="A121" s="595">
        <v>2</v>
      </c>
      <c r="B121" s="596" t="s">
        <v>288</v>
      </c>
      <c r="C121" s="596" t="s">
        <v>284</v>
      </c>
      <c r="D121" s="596" t="s">
        <v>288</v>
      </c>
      <c r="E121" s="596" t="str">
        <f>VLOOKUP(D121,[8]Sheet1!$D$2:$D$239,1,0)</f>
        <v>ERJ1GJF4702C</v>
      </c>
      <c r="F121" s="596" t="str">
        <f>VLOOKUP(E121,'[9]EEBOM 512 '!$D$3:$D$169,1,0)</f>
        <v>ERJ1GJF4702C</v>
      </c>
      <c r="G121" s="598" t="s">
        <v>1072</v>
      </c>
      <c r="H121" s="596" t="s">
        <v>1223</v>
      </c>
      <c r="I121" s="595" t="s">
        <v>1073</v>
      </c>
      <c r="J121" s="598" t="s">
        <v>1074</v>
      </c>
      <c r="K121" s="595" t="s">
        <v>28</v>
      </c>
      <c r="L121" s="595"/>
      <c r="M121" s="595"/>
      <c r="N121" s="616">
        <v>1.4800000000000001E-2</v>
      </c>
      <c r="O121" s="616">
        <f t="shared" si="2"/>
        <v>1.5318E-2</v>
      </c>
      <c r="P121" s="616">
        <f t="shared" si="3"/>
        <v>1.4697E-2</v>
      </c>
      <c r="Q121" s="616"/>
      <c r="R121" s="596" t="s">
        <v>289</v>
      </c>
      <c r="S121" s="618" t="s">
        <v>1129</v>
      </c>
      <c r="T121" s="618"/>
      <c r="U121" s="596"/>
      <c r="V121" s="596"/>
      <c r="W121" s="596"/>
      <c r="X121" s="596"/>
    </row>
    <row r="122" spans="1:24" ht="15.75" customHeight="1">
      <c r="A122" s="595">
        <v>2</v>
      </c>
      <c r="B122" s="596" t="s">
        <v>304</v>
      </c>
      <c r="C122" s="596" t="s">
        <v>297</v>
      </c>
      <c r="D122" s="596" t="s">
        <v>305</v>
      </c>
      <c r="E122" s="596" t="str">
        <f>VLOOKUP(D122,[8]Sheet1!$D$2:$D$239,1,0)</f>
        <v>AC0201FR-07100RL</v>
      </c>
      <c r="F122" s="596" t="str">
        <f>VLOOKUP(E122,'[9]EEBOM 512 '!$D$3:$D$169,1,0)</f>
        <v>AC0201FR-07100RL</v>
      </c>
      <c r="G122" s="598" t="s">
        <v>1072</v>
      </c>
      <c r="H122" s="596" t="s">
        <v>1225</v>
      </c>
      <c r="I122" s="595" t="s">
        <v>1073</v>
      </c>
      <c r="J122" s="598" t="s">
        <v>1074</v>
      </c>
      <c r="K122" s="595" t="s">
        <v>28</v>
      </c>
      <c r="L122" s="595">
        <v>6</v>
      </c>
      <c r="M122" s="595">
        <v>6</v>
      </c>
      <c r="N122" s="616">
        <v>5.9999999999999995E-4</v>
      </c>
      <c r="O122" s="616">
        <f t="shared" si="2"/>
        <v>6.2099999999999992E-4</v>
      </c>
      <c r="P122" s="616">
        <f t="shared" si="3"/>
        <v>0</v>
      </c>
      <c r="Q122" s="616">
        <f>O122*M122</f>
        <v>3.7259999999999993E-3</v>
      </c>
      <c r="R122" s="596" t="s">
        <v>296</v>
      </c>
      <c r="S122" s="618" t="s">
        <v>1127</v>
      </c>
      <c r="T122" s="618"/>
      <c r="U122" s="596"/>
      <c r="V122" s="596"/>
      <c r="W122" s="596"/>
      <c r="X122" s="596" t="s">
        <v>1226</v>
      </c>
    </row>
    <row r="123" spans="1:24" ht="15.75" customHeight="1">
      <c r="A123" s="595">
        <v>2</v>
      </c>
      <c r="B123" s="596" t="s">
        <v>300</v>
      </c>
      <c r="C123" s="596" t="s">
        <v>297</v>
      </c>
      <c r="D123" s="596" t="s">
        <v>300</v>
      </c>
      <c r="E123" s="596" t="str">
        <f>VLOOKUP(D123,[8]Sheet1!$D$2:$D$239,1,0)</f>
        <v>RK73H1HTTC1000F</v>
      </c>
      <c r="F123" s="596" t="str">
        <f>VLOOKUP(E123,'[9]EEBOM 512 '!$D$3:$D$169,1,0)</f>
        <v>RK73H1HTTC1000F</v>
      </c>
      <c r="G123" s="598" t="s">
        <v>1072</v>
      </c>
      <c r="H123" s="596" t="s">
        <v>1225</v>
      </c>
      <c r="I123" s="595" t="s">
        <v>1073</v>
      </c>
      <c r="J123" s="598" t="s">
        <v>1074</v>
      </c>
      <c r="K123" s="595" t="s">
        <v>28</v>
      </c>
      <c r="L123" s="595"/>
      <c r="M123" s="595"/>
      <c r="N123" s="616">
        <v>1.5139999999999999E-3</v>
      </c>
      <c r="O123" s="616">
        <f t="shared" si="2"/>
        <v>1.5669899999999999E-3</v>
      </c>
      <c r="P123" s="616">
        <f t="shared" si="3"/>
        <v>9.4598999999999996E-4</v>
      </c>
      <c r="Q123" s="616"/>
      <c r="R123" s="596" t="s">
        <v>292</v>
      </c>
      <c r="S123" s="618" t="s">
        <v>1092</v>
      </c>
      <c r="T123" s="618"/>
      <c r="U123" s="596"/>
      <c r="V123" s="596"/>
      <c r="W123" s="596"/>
      <c r="X123" s="596"/>
    </row>
    <row r="124" spans="1:24" ht="15.75" customHeight="1">
      <c r="A124" s="595">
        <v>2</v>
      </c>
      <c r="B124" s="596" t="s">
        <v>303</v>
      </c>
      <c r="C124" s="596" t="s">
        <v>297</v>
      </c>
      <c r="D124" s="596" t="s">
        <v>303</v>
      </c>
      <c r="E124" s="596" t="str">
        <f>VLOOKUP(D124,[8]Sheet1!$D$2:$D$239,1,0)</f>
        <v>RMCH06-101FPA</v>
      </c>
      <c r="F124" s="596" t="str">
        <f>VLOOKUP(E124,'[9]EEBOM 512 '!$D$3:$D$169,1,0)</f>
        <v>RMCH06-101FPA</v>
      </c>
      <c r="G124" s="598" t="s">
        <v>1072</v>
      </c>
      <c r="H124" s="596" t="s">
        <v>1225</v>
      </c>
      <c r="I124" s="595" t="s">
        <v>1073</v>
      </c>
      <c r="J124" s="598" t="s">
        <v>1074</v>
      </c>
      <c r="K124" s="595" t="s">
        <v>28</v>
      </c>
      <c r="L124" s="595"/>
      <c r="M124" s="595"/>
      <c r="N124" s="616">
        <v>2.7390000000000001E-3</v>
      </c>
      <c r="O124" s="616">
        <f t="shared" si="2"/>
        <v>2.8348649999999998E-3</v>
      </c>
      <c r="P124" s="616">
        <f t="shared" si="3"/>
        <v>2.2138649999999998E-3</v>
      </c>
      <c r="Q124" s="616"/>
      <c r="R124" s="596" t="s">
        <v>294</v>
      </c>
      <c r="S124" s="618" t="s">
        <v>1092</v>
      </c>
      <c r="T124" s="618"/>
      <c r="U124" s="596"/>
      <c r="V124" s="596"/>
      <c r="W124" s="596"/>
      <c r="X124" s="596"/>
    </row>
    <row r="125" spans="1:24" ht="15.75" customHeight="1">
      <c r="A125" s="595">
        <v>2</v>
      </c>
      <c r="B125" s="596" t="s">
        <v>302</v>
      </c>
      <c r="C125" s="596" t="s">
        <v>297</v>
      </c>
      <c r="D125" s="596" t="s">
        <v>302</v>
      </c>
      <c r="E125" s="596" t="str">
        <f>VLOOKUP(D125,[8]Sheet1!$D$2:$D$239,1,0)</f>
        <v>ERJ1GJF1000C</v>
      </c>
      <c r="F125" s="596" t="str">
        <f>VLOOKUP(E125,'[9]EEBOM 512 '!$D$3:$D$169,1,0)</f>
        <v>ERJ1GJF1000C</v>
      </c>
      <c r="G125" s="598" t="s">
        <v>1072</v>
      </c>
      <c r="H125" s="596" t="s">
        <v>1225</v>
      </c>
      <c r="I125" s="595" t="s">
        <v>1073</v>
      </c>
      <c r="J125" s="598" t="s">
        <v>1074</v>
      </c>
      <c r="K125" s="595" t="s">
        <v>28</v>
      </c>
      <c r="L125" s="595"/>
      <c r="M125" s="595"/>
      <c r="N125" s="616">
        <v>1.4800000000000001E-2</v>
      </c>
      <c r="O125" s="616">
        <f t="shared" si="2"/>
        <v>1.5318E-2</v>
      </c>
      <c r="P125" s="616">
        <f t="shared" si="3"/>
        <v>1.4697E-2</v>
      </c>
      <c r="Q125" s="616"/>
      <c r="R125" s="596" t="s">
        <v>289</v>
      </c>
      <c r="S125" s="618" t="s">
        <v>1129</v>
      </c>
      <c r="T125" s="618"/>
      <c r="U125" s="596"/>
      <c r="V125" s="596"/>
      <c r="W125" s="596"/>
      <c r="X125" s="596"/>
    </row>
    <row r="126" spans="1:24" ht="15.75" customHeight="1">
      <c r="A126" s="595">
        <v>2</v>
      </c>
      <c r="B126" s="596" t="s">
        <v>549</v>
      </c>
      <c r="C126" s="596" t="s">
        <v>542</v>
      </c>
      <c r="D126" s="596" t="s">
        <v>550</v>
      </c>
      <c r="E126" s="596" t="str">
        <f>VLOOKUP(D126,[8]Sheet1!$D$2:$D$239,1,0)</f>
        <v>AC0201FR-074K7L</v>
      </c>
      <c r="F126" s="596" t="str">
        <f>VLOOKUP(E126,'[9]EEBOM 512 '!$D$3:$D$169,1,0)</f>
        <v>AC0201FR-074K7L</v>
      </c>
      <c r="G126" s="598" t="s">
        <v>1072</v>
      </c>
      <c r="H126" s="596" t="s">
        <v>1227</v>
      </c>
      <c r="I126" s="595" t="s">
        <v>1073</v>
      </c>
      <c r="J126" s="598" t="s">
        <v>1074</v>
      </c>
      <c r="K126" s="595" t="s">
        <v>28</v>
      </c>
      <c r="L126" s="595">
        <v>8</v>
      </c>
      <c r="M126" s="595">
        <v>8</v>
      </c>
      <c r="N126" s="616">
        <v>5.9999999999999995E-4</v>
      </c>
      <c r="O126" s="616">
        <f t="shared" si="2"/>
        <v>6.2099999999999992E-4</v>
      </c>
      <c r="P126" s="616">
        <f t="shared" si="3"/>
        <v>0</v>
      </c>
      <c r="Q126" s="616">
        <f>O126*M126</f>
        <v>4.9679999999999993E-3</v>
      </c>
      <c r="R126" s="596" t="s">
        <v>296</v>
      </c>
      <c r="S126" s="618" t="s">
        <v>1127</v>
      </c>
      <c r="T126" s="618"/>
      <c r="U126" s="596"/>
      <c r="V126" s="596"/>
      <c r="W126" s="596"/>
      <c r="X126" s="596" t="s">
        <v>1228</v>
      </c>
    </row>
    <row r="127" spans="1:24" ht="15.75" customHeight="1">
      <c r="A127" s="595">
        <v>2</v>
      </c>
      <c r="B127" s="596" t="s">
        <v>545</v>
      </c>
      <c r="C127" s="596" t="s">
        <v>542</v>
      </c>
      <c r="D127" s="596" t="s">
        <v>545</v>
      </c>
      <c r="E127" s="596" t="str">
        <f>VLOOKUP(D127,[8]Sheet1!$D$2:$D$239,1,0)</f>
        <v>RMCH06-472FPA</v>
      </c>
      <c r="F127" s="596" t="str">
        <f>VLOOKUP(E127,'[9]EEBOM 512 '!$D$3:$D$169,1,0)</f>
        <v>RMCH06-472FPA</v>
      </c>
      <c r="G127" s="598" t="s">
        <v>1072</v>
      </c>
      <c r="H127" s="596" t="s">
        <v>1227</v>
      </c>
      <c r="I127" s="595" t="s">
        <v>1073</v>
      </c>
      <c r="J127" s="598" t="s">
        <v>1074</v>
      </c>
      <c r="K127" s="595" t="s">
        <v>28</v>
      </c>
      <c r="L127" s="595"/>
      <c r="M127" s="595"/>
      <c r="N127" s="616">
        <v>2.7390000000000001E-3</v>
      </c>
      <c r="O127" s="616">
        <f t="shared" si="2"/>
        <v>2.8348649999999998E-3</v>
      </c>
      <c r="P127" s="616">
        <f t="shared" si="3"/>
        <v>2.2138649999999998E-3</v>
      </c>
      <c r="Q127" s="616"/>
      <c r="R127" s="596" t="s">
        <v>294</v>
      </c>
      <c r="S127" s="618" t="s">
        <v>1092</v>
      </c>
      <c r="T127" s="618"/>
      <c r="U127" s="596"/>
      <c r="V127" s="596"/>
      <c r="W127" s="596"/>
      <c r="X127" s="596"/>
    </row>
    <row r="128" spans="1:24" ht="15.75" customHeight="1">
      <c r="A128" s="595">
        <v>2</v>
      </c>
      <c r="B128" s="596" t="s">
        <v>547</v>
      </c>
      <c r="C128" s="596" t="s">
        <v>542</v>
      </c>
      <c r="D128" s="596" t="s">
        <v>547</v>
      </c>
      <c r="E128" s="596" t="str">
        <f>VLOOKUP(D128,[8]Sheet1!$D$2:$D$239,1,0)</f>
        <v>RK73H1HTTC4701F</v>
      </c>
      <c r="F128" s="596" t="str">
        <f>VLOOKUP(E128,'[9]EEBOM 512 '!$D$3:$D$169,1,0)</f>
        <v>RK73H1HTTC4701F</v>
      </c>
      <c r="G128" s="598" t="s">
        <v>1072</v>
      </c>
      <c r="H128" s="596" t="s">
        <v>1227</v>
      </c>
      <c r="I128" s="595" t="s">
        <v>1073</v>
      </c>
      <c r="J128" s="598" t="s">
        <v>1074</v>
      </c>
      <c r="K128" s="595" t="s">
        <v>28</v>
      </c>
      <c r="L128" s="595"/>
      <c r="M128" s="595"/>
      <c r="N128" s="616">
        <v>1.5139999999999999E-3</v>
      </c>
      <c r="O128" s="616">
        <f t="shared" si="2"/>
        <v>1.5669899999999999E-3</v>
      </c>
      <c r="P128" s="616">
        <f t="shared" si="3"/>
        <v>9.4598999999999996E-4</v>
      </c>
      <c r="Q128" s="616"/>
      <c r="R128" s="596" t="s">
        <v>292</v>
      </c>
      <c r="S128" s="618" t="s">
        <v>1092</v>
      </c>
      <c r="T128" s="618"/>
      <c r="U128" s="596"/>
      <c r="V128" s="596"/>
      <c r="W128" s="596"/>
      <c r="X128" s="596"/>
    </row>
    <row r="129" spans="1:24" ht="15.75" customHeight="1">
      <c r="A129" s="595">
        <v>2</v>
      </c>
      <c r="B129" s="596" t="s">
        <v>548</v>
      </c>
      <c r="C129" s="596" t="s">
        <v>542</v>
      </c>
      <c r="D129" s="596" t="s">
        <v>548</v>
      </c>
      <c r="E129" s="596" t="str">
        <f>VLOOKUP(D129,[8]Sheet1!$D$2:$D$239,1,0)</f>
        <v>ERJ1GJF4701C</v>
      </c>
      <c r="F129" s="596" t="str">
        <f>VLOOKUP(E129,'[9]EEBOM 512 '!$D$3:$D$169,1,0)</f>
        <v>ERJ1GJF4701C</v>
      </c>
      <c r="G129" s="598" t="s">
        <v>1072</v>
      </c>
      <c r="H129" s="596" t="s">
        <v>1227</v>
      </c>
      <c r="I129" s="595" t="s">
        <v>1073</v>
      </c>
      <c r="J129" s="598" t="s">
        <v>1074</v>
      </c>
      <c r="K129" s="595" t="s">
        <v>28</v>
      </c>
      <c r="L129" s="595"/>
      <c r="M129" s="595"/>
      <c r="N129" s="616">
        <v>1.4800000000000001E-2</v>
      </c>
      <c r="O129" s="616">
        <f t="shared" si="2"/>
        <v>1.5318E-2</v>
      </c>
      <c r="P129" s="616">
        <f t="shared" si="3"/>
        <v>1.4697E-2</v>
      </c>
      <c r="Q129" s="616"/>
      <c r="R129" s="596" t="s">
        <v>289</v>
      </c>
      <c r="S129" s="618" t="s">
        <v>1129</v>
      </c>
      <c r="T129" s="618"/>
      <c r="U129" s="596"/>
      <c r="V129" s="596"/>
      <c r="W129" s="596"/>
      <c r="X129" s="596"/>
    </row>
    <row r="130" spans="1:24" ht="15.75" customHeight="1">
      <c r="A130" s="595">
        <v>2</v>
      </c>
      <c r="B130" s="596" t="s">
        <v>366</v>
      </c>
      <c r="C130" s="596" t="s">
        <v>358</v>
      </c>
      <c r="D130" s="596" t="s">
        <v>367</v>
      </c>
      <c r="E130" s="596" t="str">
        <f>VLOOKUP(D130,[8]Sheet1!$D$2:$D$239,1,0)</f>
        <v>CRCW04020000Z0ED</v>
      </c>
      <c r="F130" s="596" t="str">
        <f>VLOOKUP(E130,'[9]EEBOM 512 '!$D$3:$D$169,1,0)</f>
        <v>CRCW04020000Z0ED</v>
      </c>
      <c r="G130" s="598" t="s">
        <v>1072</v>
      </c>
      <c r="H130" s="596" t="s">
        <v>360</v>
      </c>
      <c r="I130" s="595" t="s">
        <v>1073</v>
      </c>
      <c r="J130" s="598" t="s">
        <v>1074</v>
      </c>
      <c r="K130" s="595" t="s">
        <v>28</v>
      </c>
      <c r="L130" s="595">
        <v>10</v>
      </c>
      <c r="M130" s="595"/>
      <c r="N130" s="616">
        <v>5.2999999999999998E-4</v>
      </c>
      <c r="O130" s="616">
        <f t="shared" ref="O130:O193" si="4">N130*1.035</f>
        <v>5.4854999999999997E-4</v>
      </c>
      <c r="P130" s="616">
        <f t="shared" si="3"/>
        <v>2.0699999999999999E-4</v>
      </c>
      <c r="Q130" s="616"/>
      <c r="R130" s="596" t="s">
        <v>368</v>
      </c>
      <c r="S130" s="618" t="s">
        <v>1094</v>
      </c>
      <c r="T130" s="618"/>
      <c r="U130" s="596"/>
      <c r="V130" s="596"/>
      <c r="W130" s="596"/>
      <c r="X130" s="596" t="s">
        <v>1229</v>
      </c>
    </row>
    <row r="131" spans="1:24" ht="15.75" customHeight="1">
      <c r="A131" s="595">
        <v>2</v>
      </c>
      <c r="B131" s="596" t="s">
        <v>369</v>
      </c>
      <c r="C131" s="596" t="s">
        <v>358</v>
      </c>
      <c r="D131" s="596" t="s">
        <v>370</v>
      </c>
      <c r="E131" s="596" t="str">
        <f>VLOOKUP(D131,[8]Sheet1!$D$2:$D$239,1,0)</f>
        <v>AC0402JR-070RL</v>
      </c>
      <c r="F131" s="596" t="str">
        <f>VLOOKUP(E131,'[9]EEBOM 512 '!$D$3:$D$169,1,0)</f>
        <v>AC0402JR-070RL</v>
      </c>
      <c r="G131" s="598" t="s">
        <v>1072</v>
      </c>
      <c r="H131" s="596" t="s">
        <v>360</v>
      </c>
      <c r="I131" s="595" t="s">
        <v>1073</v>
      </c>
      <c r="J131" s="598" t="s">
        <v>1074</v>
      </c>
      <c r="K131" s="595" t="s">
        <v>28</v>
      </c>
      <c r="L131" s="595"/>
      <c r="M131" s="595">
        <v>10</v>
      </c>
      <c r="N131" s="616">
        <v>3.3E-4</v>
      </c>
      <c r="O131" s="616">
        <f t="shared" si="4"/>
        <v>3.4154999999999998E-4</v>
      </c>
      <c r="P131" s="616">
        <f t="shared" ref="P131:P194" si="5">O131-_xlfn.MINIFS(O:O,C:C,C131)</f>
        <v>0</v>
      </c>
      <c r="Q131" s="616">
        <f>O131*M131</f>
        <v>3.4154999999999997E-3</v>
      </c>
      <c r="R131" s="596" t="s">
        <v>296</v>
      </c>
      <c r="S131" s="618" t="s">
        <v>1076</v>
      </c>
      <c r="T131" s="618"/>
      <c r="U131" s="596"/>
      <c r="V131" s="596"/>
      <c r="W131" s="596"/>
      <c r="X131" s="596"/>
    </row>
    <row r="132" spans="1:24" ht="15.75" customHeight="1">
      <c r="A132" s="595">
        <v>2</v>
      </c>
      <c r="B132" s="596" t="s">
        <v>357</v>
      </c>
      <c r="C132" s="596" t="s">
        <v>358</v>
      </c>
      <c r="D132" s="596" t="s">
        <v>359</v>
      </c>
      <c r="E132" s="596" t="str">
        <f>VLOOKUP(D132,[8]Sheet1!$D$2:$D$239,1,0)</f>
        <v>RMCH10JPTH</v>
      </c>
      <c r="F132" s="596" t="str">
        <f>VLOOKUP(E132,'[9]EEBOM 512 '!$D$3:$D$169,1,0)</f>
        <v>RMCH10JPTH</v>
      </c>
      <c r="G132" s="598" t="s">
        <v>1072</v>
      </c>
      <c r="H132" s="596" t="s">
        <v>360</v>
      </c>
      <c r="I132" s="595" t="s">
        <v>1073</v>
      </c>
      <c r="J132" s="598" t="s">
        <v>1074</v>
      </c>
      <c r="K132" s="595" t="s">
        <v>28</v>
      </c>
      <c r="L132" s="595"/>
      <c r="M132" s="595"/>
      <c r="N132" s="616">
        <v>1.1100000000000001E-3</v>
      </c>
      <c r="O132" s="616">
        <f t="shared" si="4"/>
        <v>1.1488500000000001E-3</v>
      </c>
      <c r="P132" s="616">
        <f t="shared" si="5"/>
        <v>8.0730000000000016E-4</v>
      </c>
      <c r="Q132" s="616"/>
      <c r="R132" s="596" t="s">
        <v>294</v>
      </c>
      <c r="S132" s="618" t="s">
        <v>1230</v>
      </c>
      <c r="T132" s="618"/>
      <c r="U132" s="596"/>
      <c r="V132" s="596"/>
      <c r="W132" s="596"/>
      <c r="X132" s="596"/>
    </row>
    <row r="133" spans="1:24" ht="15.75" customHeight="1">
      <c r="A133" s="595">
        <v>2</v>
      </c>
      <c r="B133" s="596" t="s">
        <v>364</v>
      </c>
      <c r="C133" s="596" t="s">
        <v>358</v>
      </c>
      <c r="D133" s="596" t="s">
        <v>365</v>
      </c>
      <c r="E133" s="596" t="str">
        <f>VLOOKUP(D133,[8]Sheet1!$D$2:$D$239,1,0)</f>
        <v>RK73Z1ETTP</v>
      </c>
      <c r="F133" s="596" t="str">
        <f>VLOOKUP(E133,'[9]EEBOM 512 '!$D$3:$D$169,1,0)</f>
        <v>RK73Z1ETTP</v>
      </c>
      <c r="G133" s="598" t="s">
        <v>1072</v>
      </c>
      <c r="H133" s="596" t="s">
        <v>360</v>
      </c>
      <c r="I133" s="595" t="s">
        <v>1073</v>
      </c>
      <c r="J133" s="598" t="s">
        <v>1074</v>
      </c>
      <c r="K133" s="595" t="s">
        <v>28</v>
      </c>
      <c r="L133" s="595"/>
      <c r="M133" s="595"/>
      <c r="N133" s="616">
        <v>6.4999999999999997E-4</v>
      </c>
      <c r="O133" s="616">
        <f t="shared" si="4"/>
        <v>6.7274999999999995E-4</v>
      </c>
      <c r="P133" s="616">
        <f t="shared" si="5"/>
        <v>3.3119999999999997E-4</v>
      </c>
      <c r="Q133" s="616"/>
      <c r="R133" s="596" t="s">
        <v>292</v>
      </c>
      <c r="S133" s="618" t="s">
        <v>1231</v>
      </c>
      <c r="T133" s="618"/>
      <c r="U133" s="596"/>
      <c r="V133" s="596"/>
      <c r="W133" s="596"/>
      <c r="X133" s="596"/>
    </row>
    <row r="134" spans="1:24" ht="15.75" customHeight="1">
      <c r="A134" s="595">
        <v>2</v>
      </c>
      <c r="B134" s="596" t="s">
        <v>362</v>
      </c>
      <c r="C134" s="596" t="s">
        <v>358</v>
      </c>
      <c r="D134" s="596" t="s">
        <v>363</v>
      </c>
      <c r="E134" s="596" t="str">
        <f>VLOOKUP(D134,[8]Sheet1!$D$2:$D$239,1,0)</f>
        <v>ERJ2GE0R00X</v>
      </c>
      <c r="F134" s="596" t="str">
        <f>VLOOKUP(E134,'[9]EEBOM 512 '!$D$3:$D$169,1,0)</f>
        <v>ERJ2GE0R00X</v>
      </c>
      <c r="G134" s="598" t="s">
        <v>1072</v>
      </c>
      <c r="H134" s="596" t="s">
        <v>360</v>
      </c>
      <c r="I134" s="595" t="s">
        <v>1073</v>
      </c>
      <c r="J134" s="598" t="s">
        <v>1074</v>
      </c>
      <c r="K134" s="595" t="s">
        <v>28</v>
      </c>
      <c r="L134" s="595"/>
      <c r="M134" s="595"/>
      <c r="N134" s="616">
        <v>1.98E-3</v>
      </c>
      <c r="O134" s="616">
        <f t="shared" si="4"/>
        <v>2.0493E-3</v>
      </c>
      <c r="P134" s="616">
        <f t="shared" si="5"/>
        <v>1.7077500000000001E-3</v>
      </c>
      <c r="Q134" s="616"/>
      <c r="R134" s="596" t="s">
        <v>289</v>
      </c>
      <c r="S134" s="618" t="s">
        <v>1094</v>
      </c>
      <c r="T134" s="618"/>
      <c r="U134" s="596"/>
      <c r="V134" s="596"/>
      <c r="W134" s="596"/>
      <c r="X134" s="596"/>
    </row>
    <row r="135" spans="1:24" ht="15.75" customHeight="1">
      <c r="A135" s="595">
        <v>2</v>
      </c>
      <c r="B135" s="596" t="s">
        <v>380</v>
      </c>
      <c r="C135" s="596" t="s">
        <v>376</v>
      </c>
      <c r="D135" s="596" t="s">
        <v>380</v>
      </c>
      <c r="E135" s="596" t="str">
        <f>VLOOKUP(D135,[8]Sheet1!$D$2:$D$239,1,0)</f>
        <v>RMCH06-102DPA</v>
      </c>
      <c r="F135" s="596" t="str">
        <f>VLOOKUP(E135,'[9]EEBOM 512 '!$D$3:$D$169,1,0)</f>
        <v>RMCH06-102DPA</v>
      </c>
      <c r="G135" s="598" t="s">
        <v>1072</v>
      </c>
      <c r="H135" s="596" t="s">
        <v>1232</v>
      </c>
      <c r="I135" s="595" t="s">
        <v>1073</v>
      </c>
      <c r="J135" s="598" t="s">
        <v>1074</v>
      </c>
      <c r="K135" s="595" t="s">
        <v>28</v>
      </c>
      <c r="L135" s="595">
        <v>6</v>
      </c>
      <c r="M135" s="595"/>
      <c r="N135" s="616">
        <v>1.0578000000000001E-2</v>
      </c>
      <c r="O135" s="616">
        <f t="shared" si="4"/>
        <v>1.094823E-2</v>
      </c>
      <c r="P135" s="616">
        <f t="shared" si="5"/>
        <v>7.7397300000000002E-3</v>
      </c>
      <c r="Q135" s="616"/>
      <c r="R135" s="596" t="s">
        <v>294</v>
      </c>
      <c r="S135" s="618" t="s">
        <v>1092</v>
      </c>
      <c r="T135" s="618"/>
      <c r="U135" s="596"/>
      <c r="V135" s="596"/>
      <c r="W135" s="596"/>
      <c r="X135" s="596" t="s">
        <v>1233</v>
      </c>
    </row>
    <row r="136" spans="1:24" ht="15.75" customHeight="1">
      <c r="A136" s="595">
        <v>2</v>
      </c>
      <c r="B136" s="596" t="s">
        <v>377</v>
      </c>
      <c r="C136" s="596" t="s">
        <v>376</v>
      </c>
      <c r="D136" s="599" t="s">
        <v>377</v>
      </c>
      <c r="E136" s="596" t="str">
        <f>VLOOKUP(D136,[8]Sheet1!$D$2:$D$239,1,0)</f>
        <v>RK73H1HTTC1001D</v>
      </c>
      <c r="F136" s="596" t="str">
        <f>VLOOKUP(E136,'[9]EEBOM 512 '!$D$3:$D$169,1,0)</f>
        <v>RK73H1HTTC1001D</v>
      </c>
      <c r="G136" s="598" t="s">
        <v>1072</v>
      </c>
      <c r="H136" s="596" t="s">
        <v>1232</v>
      </c>
      <c r="I136" s="595" t="s">
        <v>1073</v>
      </c>
      <c r="J136" s="598" t="s">
        <v>1074</v>
      </c>
      <c r="K136" s="595" t="s">
        <v>28</v>
      </c>
      <c r="L136" s="595"/>
      <c r="M136" s="595">
        <v>6</v>
      </c>
      <c r="N136" s="616">
        <v>3.0999999999999999E-3</v>
      </c>
      <c r="O136" s="616">
        <f t="shared" si="4"/>
        <v>3.2084999999999995E-3</v>
      </c>
      <c r="P136" s="616">
        <f t="shared" si="5"/>
        <v>0</v>
      </c>
      <c r="Q136" s="616">
        <f>O136*M136</f>
        <v>1.9250999999999997E-2</v>
      </c>
      <c r="R136" s="596" t="s">
        <v>292</v>
      </c>
      <c r="S136" s="618" t="s">
        <v>1092</v>
      </c>
      <c r="T136" s="618"/>
      <c r="U136" s="596"/>
      <c r="V136" s="596"/>
      <c r="W136" s="596"/>
      <c r="X136" s="596"/>
    </row>
    <row r="137" spans="1:24" ht="15.75" customHeight="1">
      <c r="A137" s="595">
        <v>2</v>
      </c>
      <c r="B137" s="596" t="s">
        <v>540</v>
      </c>
      <c r="C137" s="596" t="s">
        <v>532</v>
      </c>
      <c r="D137" s="596" t="s">
        <v>541</v>
      </c>
      <c r="E137" s="596" t="str">
        <f>VLOOKUP(D137,[8]Sheet1!$D$2:$D$239,1,0)</f>
        <v>AC0201FR-07100KL</v>
      </c>
      <c r="F137" s="596" t="str">
        <f>VLOOKUP(E137,'[9]EEBOM 512 '!$D$3:$D$169,1,0)</f>
        <v>AC0201FR-07100KL</v>
      </c>
      <c r="G137" s="598" t="s">
        <v>1072</v>
      </c>
      <c r="H137" s="596" t="s">
        <v>1234</v>
      </c>
      <c r="I137" s="595" t="s">
        <v>1073</v>
      </c>
      <c r="J137" s="598" t="s">
        <v>1074</v>
      </c>
      <c r="K137" s="595" t="s">
        <v>28</v>
      </c>
      <c r="L137" s="595">
        <v>14</v>
      </c>
      <c r="M137" s="595">
        <v>14</v>
      </c>
      <c r="N137" s="616">
        <v>5.9999999999999995E-4</v>
      </c>
      <c r="O137" s="616">
        <f t="shared" si="4"/>
        <v>6.2099999999999992E-4</v>
      </c>
      <c r="P137" s="616">
        <f t="shared" si="5"/>
        <v>0</v>
      </c>
      <c r="Q137" s="616">
        <f>O137*M137</f>
        <v>8.6939999999999986E-3</v>
      </c>
      <c r="R137" s="596" t="s">
        <v>296</v>
      </c>
      <c r="S137" s="618" t="s">
        <v>1127</v>
      </c>
      <c r="T137" s="618"/>
      <c r="U137" s="596"/>
      <c r="V137" s="596"/>
      <c r="W137" s="596"/>
      <c r="X137" s="596" t="s">
        <v>1235</v>
      </c>
    </row>
    <row r="138" spans="1:24" ht="15.75" customHeight="1">
      <c r="A138" s="595">
        <v>2</v>
      </c>
      <c r="B138" s="596" t="s">
        <v>536</v>
      </c>
      <c r="C138" s="596" t="s">
        <v>532</v>
      </c>
      <c r="D138" s="596" t="s">
        <v>537</v>
      </c>
      <c r="E138" s="596" t="str">
        <f>VLOOKUP(D138,[8]Sheet1!$D$2:$D$239,1,0)</f>
        <v>RK73H1HTTC1003F</v>
      </c>
      <c r="F138" s="596" t="str">
        <f>VLOOKUP(E138,'[9]EEBOM 512 '!$D$3:$D$169,1,0)</f>
        <v>RK73H1HTTC1003F</v>
      </c>
      <c r="G138" s="598" t="s">
        <v>1072</v>
      </c>
      <c r="H138" s="596" t="s">
        <v>1234</v>
      </c>
      <c r="I138" s="595" t="s">
        <v>1073</v>
      </c>
      <c r="J138" s="598" t="s">
        <v>1074</v>
      </c>
      <c r="K138" s="595" t="s">
        <v>28</v>
      </c>
      <c r="L138" s="595"/>
      <c r="M138" s="595"/>
      <c r="N138" s="616">
        <v>1.5139999999999999E-3</v>
      </c>
      <c r="O138" s="616">
        <f t="shared" si="4"/>
        <v>1.5669899999999999E-3</v>
      </c>
      <c r="P138" s="616">
        <f t="shared" si="5"/>
        <v>9.4598999999999996E-4</v>
      </c>
      <c r="Q138" s="616"/>
      <c r="R138" s="596" t="s">
        <v>292</v>
      </c>
      <c r="S138" s="618" t="s">
        <v>1092</v>
      </c>
      <c r="T138" s="618"/>
      <c r="U138" s="596"/>
      <c r="V138" s="596"/>
      <c r="W138" s="596"/>
      <c r="X138" s="596"/>
    </row>
    <row r="139" spans="1:24" ht="15.75" customHeight="1">
      <c r="A139" s="595">
        <v>2</v>
      </c>
      <c r="B139" s="596" t="s">
        <v>539</v>
      </c>
      <c r="C139" s="596" t="s">
        <v>532</v>
      </c>
      <c r="D139" s="596" t="s">
        <v>539</v>
      </c>
      <c r="E139" s="596" t="str">
        <f>VLOOKUP(D139,[8]Sheet1!$D$2:$D$239,1,0)</f>
        <v>ERJ1GJF1003C</v>
      </c>
      <c r="F139" s="596" t="str">
        <f>VLOOKUP(E139,'[9]EEBOM 512 '!$D$3:$D$169,1,0)</f>
        <v>ERJ1GJF1003C</v>
      </c>
      <c r="G139" s="598" t="s">
        <v>1072</v>
      </c>
      <c r="H139" s="596" t="s">
        <v>1234</v>
      </c>
      <c r="I139" s="595" t="s">
        <v>1073</v>
      </c>
      <c r="J139" s="598" t="s">
        <v>1074</v>
      </c>
      <c r="K139" s="595" t="s">
        <v>28</v>
      </c>
      <c r="L139" s="595"/>
      <c r="M139" s="595"/>
      <c r="N139" s="616">
        <v>1.52E-2</v>
      </c>
      <c r="O139" s="616">
        <f t="shared" si="4"/>
        <v>1.5731999999999999E-2</v>
      </c>
      <c r="P139" s="616">
        <f t="shared" si="5"/>
        <v>1.5110999999999999E-2</v>
      </c>
      <c r="Q139" s="616"/>
      <c r="R139" s="596" t="s">
        <v>289</v>
      </c>
      <c r="S139" s="618" t="s">
        <v>1094</v>
      </c>
      <c r="T139" s="618"/>
      <c r="U139" s="596"/>
      <c r="V139" s="596"/>
      <c r="W139" s="596"/>
      <c r="X139" s="596"/>
    </row>
    <row r="140" spans="1:24" ht="15.75" customHeight="1">
      <c r="A140" s="595">
        <v>2</v>
      </c>
      <c r="B140" s="596" t="s">
        <v>1236</v>
      </c>
      <c r="C140" s="596" t="s">
        <v>1237</v>
      </c>
      <c r="D140" s="596" t="s">
        <v>1236</v>
      </c>
      <c r="E140" s="596" t="str">
        <f>VLOOKUP(D140,[8]Sheet1!$D$2:$D$239,1,0)</f>
        <v>AC0201FR-073K3L</v>
      </c>
      <c r="F140" s="596" t="e">
        <f>VLOOKUP(E140,'[9]EEBOM 512 '!$D$3:$D$169,1,0)</f>
        <v>#N/A</v>
      </c>
      <c r="G140" s="598" t="s">
        <v>1072</v>
      </c>
      <c r="H140" s="596" t="s">
        <v>1238</v>
      </c>
      <c r="I140" s="595" t="s">
        <v>1073</v>
      </c>
      <c r="J140" s="598" t="s">
        <v>1074</v>
      </c>
      <c r="K140" s="595" t="s">
        <v>28</v>
      </c>
      <c r="L140" s="595">
        <v>2</v>
      </c>
      <c r="M140" s="595">
        <v>2</v>
      </c>
      <c r="N140" s="616">
        <v>5.9999999999999995E-4</v>
      </c>
      <c r="O140" s="616">
        <f t="shared" si="4"/>
        <v>6.2099999999999992E-4</v>
      </c>
      <c r="P140" s="616" t="e">
        <f t="shared" si="5"/>
        <v>#N/A</v>
      </c>
      <c r="Q140" s="616">
        <f>O140*M140</f>
        <v>1.2419999999999998E-3</v>
      </c>
      <c r="R140" s="596" t="s">
        <v>296</v>
      </c>
      <c r="S140" s="618" t="s">
        <v>1127</v>
      </c>
      <c r="T140" s="618"/>
      <c r="U140" s="596"/>
      <c r="V140" s="596"/>
      <c r="W140" s="596"/>
      <c r="X140" s="596" t="s">
        <v>1239</v>
      </c>
    </row>
    <row r="141" spans="1:24" ht="15.75" customHeight="1">
      <c r="A141" s="595">
        <v>2</v>
      </c>
      <c r="B141" s="596" t="s">
        <v>1240</v>
      </c>
      <c r="C141" s="596" t="s">
        <v>1237</v>
      </c>
      <c r="D141" s="596" t="s">
        <v>1240</v>
      </c>
      <c r="E141" s="596" t="str">
        <f>VLOOKUP(D141,[8]Sheet1!$D$2:$D$239,1,0)</f>
        <v>RK73H1HTTC3301F</v>
      </c>
      <c r="F141" s="596" t="e">
        <f>VLOOKUP(E141,'[9]EEBOM 512 '!$D$3:$D$169,1,0)</f>
        <v>#N/A</v>
      </c>
      <c r="G141" s="598" t="s">
        <v>1072</v>
      </c>
      <c r="H141" s="596" t="s">
        <v>1238</v>
      </c>
      <c r="I141" s="595" t="s">
        <v>1073</v>
      </c>
      <c r="J141" s="598" t="s">
        <v>1074</v>
      </c>
      <c r="K141" s="595" t="s">
        <v>28</v>
      </c>
      <c r="L141" s="595"/>
      <c r="M141" s="595"/>
      <c r="N141" s="616">
        <v>1.5139999999999999E-3</v>
      </c>
      <c r="O141" s="616">
        <f t="shared" si="4"/>
        <v>1.5669899999999999E-3</v>
      </c>
      <c r="P141" s="616" t="e">
        <f t="shared" si="5"/>
        <v>#N/A</v>
      </c>
      <c r="Q141" s="616"/>
      <c r="R141" s="596" t="s">
        <v>292</v>
      </c>
      <c r="S141" s="618" t="s">
        <v>1092</v>
      </c>
      <c r="T141" s="618"/>
      <c r="U141" s="596"/>
      <c r="V141" s="596"/>
      <c r="W141" s="596"/>
      <c r="X141" s="596"/>
    </row>
    <row r="142" spans="1:24" ht="15.75" customHeight="1">
      <c r="A142" s="595">
        <v>2</v>
      </c>
      <c r="B142" s="596" t="s">
        <v>1241</v>
      </c>
      <c r="C142" s="596" t="s">
        <v>1237</v>
      </c>
      <c r="D142" s="596" t="s">
        <v>1241</v>
      </c>
      <c r="E142" s="596" t="str">
        <f>VLOOKUP(D142,[8]Sheet1!$D$2:$D$239,1,0)</f>
        <v>RMCH06-332FPA</v>
      </c>
      <c r="F142" s="596" t="e">
        <f>VLOOKUP(E142,'[9]EEBOM 512 '!$D$3:$D$169,1,0)</f>
        <v>#N/A</v>
      </c>
      <c r="G142" s="598" t="s">
        <v>1072</v>
      </c>
      <c r="H142" s="596" t="s">
        <v>1238</v>
      </c>
      <c r="I142" s="595" t="s">
        <v>1073</v>
      </c>
      <c r="J142" s="598" t="s">
        <v>1074</v>
      </c>
      <c r="K142" s="595" t="s">
        <v>28</v>
      </c>
      <c r="L142" s="595"/>
      <c r="M142" s="595"/>
      <c r="N142" s="616">
        <v>2.7390000000000001E-3</v>
      </c>
      <c r="O142" s="616">
        <f t="shared" si="4"/>
        <v>2.8348649999999998E-3</v>
      </c>
      <c r="P142" s="616" t="e">
        <f t="shared" si="5"/>
        <v>#N/A</v>
      </c>
      <c r="Q142" s="616"/>
      <c r="R142" s="596" t="s">
        <v>294</v>
      </c>
      <c r="S142" s="618" t="s">
        <v>1092</v>
      </c>
      <c r="T142" s="618"/>
      <c r="U142" s="596"/>
      <c r="V142" s="596"/>
      <c r="W142" s="596"/>
      <c r="X142" s="596"/>
    </row>
    <row r="143" spans="1:24" ht="15.75" customHeight="1">
      <c r="A143" s="595">
        <v>2</v>
      </c>
      <c r="B143" s="596" t="s">
        <v>1242</v>
      </c>
      <c r="C143" s="596" t="s">
        <v>1237</v>
      </c>
      <c r="D143" s="596" t="s">
        <v>1242</v>
      </c>
      <c r="E143" s="596" t="str">
        <f>VLOOKUP(D143,[8]Sheet1!$D$2:$D$239,1,0)</f>
        <v>ERJ1GJF3301C</v>
      </c>
      <c r="F143" s="596" t="e">
        <f>VLOOKUP(E143,'[9]EEBOM 512 '!$D$3:$D$169,1,0)</f>
        <v>#N/A</v>
      </c>
      <c r="G143" s="598" t="s">
        <v>1072</v>
      </c>
      <c r="H143" s="596" t="s">
        <v>1238</v>
      </c>
      <c r="I143" s="595" t="s">
        <v>1073</v>
      </c>
      <c r="J143" s="598" t="s">
        <v>1074</v>
      </c>
      <c r="K143" s="595" t="s">
        <v>28</v>
      </c>
      <c r="L143" s="595"/>
      <c r="M143" s="595"/>
      <c r="N143" s="616" t="e">
        <v>#N/A</v>
      </c>
      <c r="O143" s="616" t="e">
        <f t="shared" si="4"/>
        <v>#N/A</v>
      </c>
      <c r="P143" s="616" t="e">
        <f t="shared" si="5"/>
        <v>#N/A</v>
      </c>
      <c r="Q143" s="616"/>
      <c r="R143" s="596" t="s">
        <v>289</v>
      </c>
      <c r="S143" s="618" t="e">
        <v>#N/A</v>
      </c>
      <c r="T143" s="618"/>
      <c r="U143" s="596"/>
      <c r="V143" s="596"/>
      <c r="W143" s="596"/>
      <c r="X143" s="596"/>
    </row>
    <row r="144" spans="1:24" ht="15.75" customHeight="1">
      <c r="A144" s="595">
        <v>2</v>
      </c>
      <c r="B144" s="596" t="s">
        <v>1243</v>
      </c>
      <c r="C144" s="596" t="s">
        <v>1244</v>
      </c>
      <c r="D144" s="596" t="s">
        <v>1243</v>
      </c>
      <c r="E144" s="596" t="str">
        <f>VLOOKUP(D144,[8]Sheet1!$D$2:$D$239,1,0)</f>
        <v>AC0201FR-0724K9L</v>
      </c>
      <c r="F144" s="596" t="e">
        <f>VLOOKUP(E144,'[9]EEBOM 512 '!$D$3:$D$169,1,0)</f>
        <v>#N/A</v>
      </c>
      <c r="G144" s="598" t="s">
        <v>1072</v>
      </c>
      <c r="H144" s="596" t="s">
        <v>1245</v>
      </c>
      <c r="I144" s="595" t="s">
        <v>1073</v>
      </c>
      <c r="J144" s="598" t="s">
        <v>1074</v>
      </c>
      <c r="K144" s="595" t="s">
        <v>28</v>
      </c>
      <c r="L144" s="595">
        <v>1</v>
      </c>
      <c r="M144" s="595">
        <v>1</v>
      </c>
      <c r="N144" s="616">
        <v>5.9999999999999995E-4</v>
      </c>
      <c r="O144" s="616">
        <f t="shared" si="4"/>
        <v>6.2099999999999992E-4</v>
      </c>
      <c r="P144" s="616" t="e">
        <f t="shared" si="5"/>
        <v>#N/A</v>
      </c>
      <c r="Q144" s="616">
        <f>O144*M144</f>
        <v>6.2099999999999992E-4</v>
      </c>
      <c r="R144" s="596" t="s">
        <v>296</v>
      </c>
      <c r="S144" s="618" t="s">
        <v>1127</v>
      </c>
      <c r="T144" s="618"/>
      <c r="U144" s="596"/>
      <c r="V144" s="596"/>
      <c r="W144" s="596"/>
      <c r="X144" s="596" t="s">
        <v>1246</v>
      </c>
    </row>
    <row r="145" spans="1:24" ht="15.75" customHeight="1">
      <c r="A145" s="595">
        <v>2</v>
      </c>
      <c r="B145" s="596" t="s">
        <v>1247</v>
      </c>
      <c r="C145" s="596" t="s">
        <v>1244</v>
      </c>
      <c r="D145" s="596" t="s">
        <v>1247</v>
      </c>
      <c r="E145" s="596" t="str">
        <f>VLOOKUP(D145,[8]Sheet1!$D$2:$D$239,1,0)</f>
        <v>RK73H1HTTC2492F</v>
      </c>
      <c r="F145" s="596" t="e">
        <f>VLOOKUP(E145,'[9]EEBOM 512 '!$D$3:$D$169,1,0)</f>
        <v>#N/A</v>
      </c>
      <c r="G145" s="598" t="s">
        <v>1072</v>
      </c>
      <c r="H145" s="596" t="s">
        <v>1245</v>
      </c>
      <c r="I145" s="595" t="s">
        <v>1073</v>
      </c>
      <c r="J145" s="598" t="s">
        <v>1074</v>
      </c>
      <c r="K145" s="595" t="s">
        <v>28</v>
      </c>
      <c r="L145" s="595"/>
      <c r="M145" s="595"/>
      <c r="N145" s="616">
        <v>1.5139999999999999E-3</v>
      </c>
      <c r="O145" s="616">
        <f t="shared" si="4"/>
        <v>1.5669899999999999E-3</v>
      </c>
      <c r="P145" s="616" t="e">
        <f t="shared" si="5"/>
        <v>#N/A</v>
      </c>
      <c r="Q145" s="616"/>
      <c r="R145" s="596" t="s">
        <v>292</v>
      </c>
      <c r="S145" s="618" t="s">
        <v>1092</v>
      </c>
      <c r="T145" s="618"/>
      <c r="U145" s="596"/>
      <c r="V145" s="596"/>
      <c r="W145" s="596"/>
      <c r="X145" s="596"/>
    </row>
    <row r="146" spans="1:24" ht="15.75" customHeight="1">
      <c r="A146" s="595">
        <v>2</v>
      </c>
      <c r="B146" s="596" t="s">
        <v>1248</v>
      </c>
      <c r="C146" s="596" t="s">
        <v>1244</v>
      </c>
      <c r="D146" s="596" t="s">
        <v>1248</v>
      </c>
      <c r="E146" s="596" t="str">
        <f>VLOOKUP(D146,[8]Sheet1!$D$2:$D$239,1,0)</f>
        <v>RMCH06-2492FPA</v>
      </c>
      <c r="F146" s="596" t="e">
        <f>VLOOKUP(E146,'[9]EEBOM 512 '!$D$3:$D$169,1,0)</f>
        <v>#N/A</v>
      </c>
      <c r="G146" s="598" t="s">
        <v>1072</v>
      </c>
      <c r="H146" s="596" t="s">
        <v>1245</v>
      </c>
      <c r="I146" s="595" t="s">
        <v>1073</v>
      </c>
      <c r="J146" s="598" t="s">
        <v>1074</v>
      </c>
      <c r="K146" s="595" t="s">
        <v>28</v>
      </c>
      <c r="L146" s="595"/>
      <c r="M146" s="595"/>
      <c r="N146" s="616">
        <v>2.7390000000000001E-3</v>
      </c>
      <c r="O146" s="616">
        <f t="shared" si="4"/>
        <v>2.8348649999999998E-3</v>
      </c>
      <c r="P146" s="616" t="e">
        <f t="shared" si="5"/>
        <v>#N/A</v>
      </c>
      <c r="Q146" s="616"/>
      <c r="R146" s="596" t="s">
        <v>294</v>
      </c>
      <c r="S146" s="618" t="s">
        <v>1092</v>
      </c>
      <c r="T146" s="618"/>
      <c r="U146" s="596"/>
      <c r="V146" s="596"/>
      <c r="W146" s="596"/>
      <c r="X146" s="596"/>
    </row>
    <row r="147" spans="1:24" ht="15.75" customHeight="1">
      <c r="A147" s="595">
        <v>2</v>
      </c>
      <c r="B147" s="596" t="s">
        <v>1249</v>
      </c>
      <c r="C147" s="596" t="s">
        <v>1244</v>
      </c>
      <c r="D147" s="596" t="s">
        <v>1249</v>
      </c>
      <c r="E147" s="596" t="str">
        <f>VLOOKUP(D147,[8]Sheet1!$D$2:$D$239,1,0)</f>
        <v>ERJ1GJF2492C</v>
      </c>
      <c r="F147" s="596" t="e">
        <f>VLOOKUP(E147,'[9]EEBOM 512 '!$D$3:$D$169,1,0)</f>
        <v>#N/A</v>
      </c>
      <c r="G147" s="598" t="s">
        <v>1072</v>
      </c>
      <c r="H147" s="596" t="s">
        <v>1245</v>
      </c>
      <c r="I147" s="595" t="s">
        <v>1073</v>
      </c>
      <c r="J147" s="598" t="s">
        <v>1074</v>
      </c>
      <c r="K147" s="595" t="s">
        <v>28</v>
      </c>
      <c r="L147" s="595"/>
      <c r="M147" s="595"/>
      <c r="N147" s="616" t="e">
        <v>#N/A</v>
      </c>
      <c r="O147" s="616" t="e">
        <f t="shared" si="4"/>
        <v>#N/A</v>
      </c>
      <c r="P147" s="616" t="e">
        <f t="shared" si="5"/>
        <v>#N/A</v>
      </c>
      <c r="Q147" s="616"/>
      <c r="R147" s="596" t="s">
        <v>289</v>
      </c>
      <c r="S147" s="618" t="e">
        <v>#N/A</v>
      </c>
      <c r="T147" s="618"/>
      <c r="U147" s="596"/>
      <c r="V147" s="596"/>
      <c r="W147" s="596"/>
      <c r="X147" s="596"/>
    </row>
    <row r="148" spans="1:24" ht="15.75" customHeight="1">
      <c r="A148" s="595">
        <v>2</v>
      </c>
      <c r="B148" s="599" t="s">
        <v>1250</v>
      </c>
      <c r="C148" s="599" t="s">
        <v>1251</v>
      </c>
      <c r="D148" s="599" t="s">
        <v>1404</v>
      </c>
      <c r="E148" s="599" t="str">
        <f>VLOOKUP(D148,[8]Sheet1!$D$2:$D$239,1,0)</f>
        <v>ERJ-2BWFR100X</v>
      </c>
      <c r="F148" s="599" t="e">
        <f>VLOOKUP(E148,'[9]EEBOM 512 '!$D$3:$D$169,1,0)</f>
        <v>#N/A</v>
      </c>
      <c r="G148" s="613" t="s">
        <v>1072</v>
      </c>
      <c r="H148" s="599" t="s">
        <v>1252</v>
      </c>
      <c r="I148" s="608" t="s">
        <v>1073</v>
      </c>
      <c r="J148" s="613" t="s">
        <v>1074</v>
      </c>
      <c r="K148" s="608" t="s">
        <v>28</v>
      </c>
      <c r="L148" s="608">
        <v>1</v>
      </c>
      <c r="M148" s="608">
        <v>1</v>
      </c>
      <c r="N148" s="616">
        <v>2.7E-2</v>
      </c>
      <c r="O148" s="616">
        <f t="shared" si="4"/>
        <v>2.7944999999999998E-2</v>
      </c>
      <c r="P148" s="616">
        <f t="shared" si="5"/>
        <v>0</v>
      </c>
      <c r="Q148" s="627">
        <f>O148*M148</f>
        <v>2.7944999999999998E-2</v>
      </c>
      <c r="R148" s="628" t="s">
        <v>289</v>
      </c>
      <c r="S148" s="620" t="e">
        <v>#N/A</v>
      </c>
      <c r="T148" s="617" t="s">
        <v>63</v>
      </c>
      <c r="U148" s="614"/>
      <c r="V148" s="596"/>
      <c r="W148" s="596"/>
      <c r="X148" s="596" t="s">
        <v>1253</v>
      </c>
    </row>
    <row r="149" spans="1:24" ht="15.75" customHeight="1">
      <c r="A149" s="595">
        <v>2</v>
      </c>
      <c r="B149" s="596" t="s">
        <v>1254</v>
      </c>
      <c r="C149" s="596" t="s">
        <v>1255</v>
      </c>
      <c r="D149" s="596" t="s">
        <v>1254</v>
      </c>
      <c r="E149" s="596" t="str">
        <f>VLOOKUP(D149,[8]Sheet1!$D$2:$D$239,1,0)</f>
        <v>CRCW040233K0FKED</v>
      </c>
      <c r="F149" s="596" t="e">
        <f>VLOOKUP(E149,'[9]EEBOM 512 '!$D$3:$D$169,1,0)</f>
        <v>#N/A</v>
      </c>
      <c r="G149" s="598" t="s">
        <v>1072</v>
      </c>
      <c r="H149" s="596" t="s">
        <v>1256</v>
      </c>
      <c r="I149" s="595" t="s">
        <v>1073</v>
      </c>
      <c r="J149" s="598" t="s">
        <v>1074</v>
      </c>
      <c r="K149" s="595" t="s">
        <v>28</v>
      </c>
      <c r="L149" s="595">
        <v>1</v>
      </c>
      <c r="M149" s="595"/>
      <c r="N149" s="616">
        <v>8.3299999999999997E-4</v>
      </c>
      <c r="O149" s="616">
        <f t="shared" si="4"/>
        <v>8.6215499999999987E-4</v>
      </c>
      <c r="P149" s="616">
        <f t="shared" si="5"/>
        <v>5.1025499999999982E-4</v>
      </c>
      <c r="Q149" s="616"/>
      <c r="R149" s="596" t="s">
        <v>368</v>
      </c>
      <c r="S149" s="618" t="s">
        <v>1092</v>
      </c>
      <c r="T149" s="618"/>
      <c r="U149" s="596"/>
      <c r="V149" s="596"/>
      <c r="W149" s="596"/>
      <c r="X149" s="596" t="s">
        <v>1257</v>
      </c>
    </row>
    <row r="150" spans="1:24" ht="15.75" customHeight="1">
      <c r="A150" s="595">
        <v>2</v>
      </c>
      <c r="B150" s="596" t="s">
        <v>1258</v>
      </c>
      <c r="C150" s="596" t="s">
        <v>1255</v>
      </c>
      <c r="D150" s="596" t="s">
        <v>1258</v>
      </c>
      <c r="E150" s="596" t="str">
        <f>VLOOKUP(D150,[8]Sheet1!$D$2:$D$239,1,0)</f>
        <v>AC0402FR-0733KL</v>
      </c>
      <c r="F150" s="596" t="e">
        <f>VLOOKUP(E150,'[9]EEBOM 512 '!$D$3:$D$169,1,0)</f>
        <v>#N/A</v>
      </c>
      <c r="G150" s="598" t="s">
        <v>1072</v>
      </c>
      <c r="H150" s="596" t="s">
        <v>1256</v>
      </c>
      <c r="I150" s="595" t="s">
        <v>1073</v>
      </c>
      <c r="J150" s="598" t="s">
        <v>1074</v>
      </c>
      <c r="K150" s="595" t="s">
        <v>28</v>
      </c>
      <c r="L150" s="595"/>
      <c r="M150" s="595">
        <v>1</v>
      </c>
      <c r="N150" s="616">
        <v>3.4000000000000002E-4</v>
      </c>
      <c r="O150" s="616">
        <f t="shared" si="4"/>
        <v>3.5189999999999999E-4</v>
      </c>
      <c r="P150" s="616">
        <f t="shared" si="5"/>
        <v>0</v>
      </c>
      <c r="Q150" s="616">
        <f>O150*M150</f>
        <v>3.5189999999999999E-4</v>
      </c>
      <c r="R150" s="596" t="s">
        <v>296</v>
      </c>
      <c r="S150" s="618" t="s">
        <v>1127</v>
      </c>
      <c r="T150" s="618"/>
      <c r="U150" s="596"/>
      <c r="V150" s="596"/>
      <c r="W150" s="596"/>
      <c r="X150" s="596"/>
    </row>
    <row r="151" spans="1:24" ht="15.75" customHeight="1">
      <c r="A151" s="595">
        <v>2</v>
      </c>
      <c r="B151" s="596" t="s">
        <v>1259</v>
      </c>
      <c r="C151" s="596" t="s">
        <v>1255</v>
      </c>
      <c r="D151" s="596" t="s">
        <v>1259</v>
      </c>
      <c r="E151" s="596" t="str">
        <f>VLOOKUP(D151,[8]Sheet1!$D$2:$D$239,1,0)</f>
        <v>RMCH10K333FTH</v>
      </c>
      <c r="F151" s="596" t="e">
        <f>VLOOKUP(E151,'[9]EEBOM 512 '!$D$3:$D$169,1,0)</f>
        <v>#N/A</v>
      </c>
      <c r="G151" s="598" t="s">
        <v>1072</v>
      </c>
      <c r="H151" s="596" t="s">
        <v>1256</v>
      </c>
      <c r="I151" s="595" t="s">
        <v>1073</v>
      </c>
      <c r="J151" s="598" t="s">
        <v>1074</v>
      </c>
      <c r="K151" s="595" t="s">
        <v>28</v>
      </c>
      <c r="L151" s="595"/>
      <c r="M151" s="595"/>
      <c r="N151" s="616">
        <v>2.2669999999999999E-3</v>
      </c>
      <c r="O151" s="616">
        <f t="shared" si="4"/>
        <v>2.3463449999999997E-3</v>
      </c>
      <c r="P151" s="616">
        <f t="shared" si="5"/>
        <v>1.9944449999999996E-3</v>
      </c>
      <c r="Q151" s="616"/>
      <c r="R151" s="596" t="s">
        <v>294</v>
      </c>
      <c r="S151" s="618" t="s">
        <v>1092</v>
      </c>
      <c r="T151" s="618"/>
      <c r="U151" s="596"/>
      <c r="V151" s="596"/>
      <c r="W151" s="596"/>
      <c r="X151" s="596"/>
    </row>
    <row r="152" spans="1:24" ht="15.75" customHeight="1">
      <c r="A152" s="595">
        <v>2</v>
      </c>
      <c r="B152" s="596" t="s">
        <v>1260</v>
      </c>
      <c r="C152" s="596" t="s">
        <v>1255</v>
      </c>
      <c r="D152" s="596" t="s">
        <v>1260</v>
      </c>
      <c r="E152" s="596" t="str">
        <f>VLOOKUP(D152,[8]Sheet1!$D$2:$D$239,1,0)</f>
        <v>RK73H1ETTP3302F</v>
      </c>
      <c r="F152" s="596" t="e">
        <f>VLOOKUP(E152,'[9]EEBOM 512 '!$D$3:$D$169,1,0)</f>
        <v>#N/A</v>
      </c>
      <c r="G152" s="598" t="s">
        <v>1072</v>
      </c>
      <c r="H152" s="596" t="s">
        <v>1256</v>
      </c>
      <c r="I152" s="595" t="s">
        <v>1073</v>
      </c>
      <c r="J152" s="598" t="s">
        <v>1074</v>
      </c>
      <c r="K152" s="595" t="s">
        <v>28</v>
      </c>
      <c r="L152" s="595"/>
      <c r="M152" s="595"/>
      <c r="N152" s="616">
        <v>1.047E-3</v>
      </c>
      <c r="O152" s="616">
        <f t="shared" si="4"/>
        <v>1.0836449999999998E-3</v>
      </c>
      <c r="P152" s="616">
        <f t="shared" si="5"/>
        <v>7.3174499999999979E-4</v>
      </c>
      <c r="Q152" s="616"/>
      <c r="R152" s="596" t="s">
        <v>292</v>
      </c>
      <c r="S152" s="618" t="s">
        <v>1092</v>
      </c>
      <c r="T152" s="618"/>
      <c r="U152" s="596"/>
      <c r="V152" s="596"/>
      <c r="W152" s="596"/>
      <c r="X152" s="596"/>
    </row>
    <row r="153" spans="1:24" ht="15.75" customHeight="1">
      <c r="A153" s="595">
        <v>2</v>
      </c>
      <c r="B153" s="596" t="s">
        <v>1261</v>
      </c>
      <c r="C153" s="596" t="s">
        <v>1262</v>
      </c>
      <c r="D153" s="596" t="s">
        <v>1261</v>
      </c>
      <c r="E153" s="596" t="str">
        <f>VLOOKUP(D153,[8]Sheet1!$D$2:$D$239,1,0)</f>
        <v>CRCW0603100KFKEA</v>
      </c>
      <c r="F153" s="596" t="e">
        <f>VLOOKUP(E153,'[9]EEBOM 512 '!$D$3:$D$169,1,0)</f>
        <v>#N/A</v>
      </c>
      <c r="G153" s="598" t="s">
        <v>1072</v>
      </c>
      <c r="H153" s="596" t="s">
        <v>1263</v>
      </c>
      <c r="I153" s="595" t="s">
        <v>1073</v>
      </c>
      <c r="J153" s="598" t="s">
        <v>1074</v>
      </c>
      <c r="K153" s="595" t="s">
        <v>28</v>
      </c>
      <c r="L153" s="595">
        <v>3</v>
      </c>
      <c r="M153" s="595"/>
      <c r="N153" s="616">
        <v>9.5600000000000004E-4</v>
      </c>
      <c r="O153" s="616">
        <f t="shared" si="4"/>
        <v>9.8945999999999995E-4</v>
      </c>
      <c r="P153" s="616">
        <f t="shared" si="5"/>
        <v>3.0635999999999999E-4</v>
      </c>
      <c r="Q153" s="616"/>
      <c r="R153" s="596" t="s">
        <v>368</v>
      </c>
      <c r="S153" s="618" t="s">
        <v>1092</v>
      </c>
      <c r="T153" s="618"/>
      <c r="U153" s="596"/>
      <c r="V153" s="596"/>
      <c r="W153" s="596"/>
      <c r="X153" s="596" t="s">
        <v>1264</v>
      </c>
    </row>
    <row r="154" spans="1:24" ht="15.75" customHeight="1">
      <c r="A154" s="595">
        <v>2</v>
      </c>
      <c r="B154" s="596" t="s">
        <v>1265</v>
      </c>
      <c r="C154" s="596" t="s">
        <v>1262</v>
      </c>
      <c r="D154" s="596" t="s">
        <v>1265</v>
      </c>
      <c r="E154" s="596" t="str">
        <f>VLOOKUP(D154,[8]Sheet1!$D$2:$D$239,1,0)</f>
        <v>AC0603FR-07100KL</v>
      </c>
      <c r="F154" s="596" t="e">
        <f>VLOOKUP(E154,'[9]EEBOM 512 '!$D$3:$D$169,1,0)</f>
        <v>#N/A</v>
      </c>
      <c r="G154" s="598" t="s">
        <v>1072</v>
      </c>
      <c r="H154" s="596" t="s">
        <v>1263</v>
      </c>
      <c r="I154" s="595" t="s">
        <v>1073</v>
      </c>
      <c r="J154" s="598" t="s">
        <v>1074</v>
      </c>
      <c r="K154" s="595" t="s">
        <v>28</v>
      </c>
      <c r="L154" s="595"/>
      <c r="M154" s="595">
        <v>3</v>
      </c>
      <c r="N154" s="616">
        <v>6.6E-4</v>
      </c>
      <c r="O154" s="616">
        <f t="shared" si="4"/>
        <v>6.8309999999999996E-4</v>
      </c>
      <c r="P154" s="616">
        <f t="shared" si="5"/>
        <v>0</v>
      </c>
      <c r="Q154" s="616">
        <f>O154*M154</f>
        <v>2.0493E-3</v>
      </c>
      <c r="R154" s="596" t="s">
        <v>296</v>
      </c>
      <c r="S154" s="618" t="s">
        <v>1127</v>
      </c>
      <c r="T154" s="618"/>
      <c r="U154" s="596"/>
      <c r="V154" s="596"/>
      <c r="W154" s="596"/>
      <c r="X154" s="596"/>
    </row>
    <row r="155" spans="1:24" ht="15.75" customHeight="1">
      <c r="A155" s="595">
        <v>2</v>
      </c>
      <c r="B155" s="596" t="s">
        <v>1266</v>
      </c>
      <c r="C155" s="596" t="s">
        <v>1262</v>
      </c>
      <c r="D155" s="596" t="s">
        <v>1266</v>
      </c>
      <c r="E155" s="596" t="str">
        <f>VLOOKUP(D155,[8]Sheet1!$D$2:$D$239,1,0)</f>
        <v>RMCH16K104FTP</v>
      </c>
      <c r="F155" s="596" t="e">
        <f>VLOOKUP(E155,'[9]EEBOM 512 '!$D$3:$D$169,1,0)</f>
        <v>#N/A</v>
      </c>
      <c r="G155" s="598" t="s">
        <v>1072</v>
      </c>
      <c r="H155" s="596" t="s">
        <v>1263</v>
      </c>
      <c r="I155" s="595" t="s">
        <v>1073</v>
      </c>
      <c r="J155" s="598" t="s">
        <v>1074</v>
      </c>
      <c r="K155" s="595" t="s">
        <v>28</v>
      </c>
      <c r="L155" s="595"/>
      <c r="M155" s="595"/>
      <c r="N155" s="616">
        <v>1.8890000000000001E-3</v>
      </c>
      <c r="O155" s="616">
        <f t="shared" si="4"/>
        <v>1.9551149999999999E-3</v>
      </c>
      <c r="P155" s="616">
        <f t="shared" si="5"/>
        <v>1.272015E-3</v>
      </c>
      <c r="Q155" s="616"/>
      <c r="R155" s="596" t="s">
        <v>294</v>
      </c>
      <c r="S155" s="618" t="s">
        <v>1092</v>
      </c>
      <c r="T155" s="618"/>
      <c r="U155" s="596"/>
      <c r="V155" s="596"/>
      <c r="W155" s="596"/>
      <c r="X155" s="596"/>
    </row>
    <row r="156" spans="1:24" ht="15.75" customHeight="1">
      <c r="A156" s="595">
        <v>2</v>
      </c>
      <c r="B156" s="596" t="s">
        <v>1267</v>
      </c>
      <c r="C156" s="596" t="s">
        <v>1262</v>
      </c>
      <c r="D156" s="596" t="s">
        <v>1267</v>
      </c>
      <c r="E156" s="596" t="str">
        <f>VLOOKUP(D156,[8]Sheet1!$D$2:$D$239,1,0)</f>
        <v>RK73H1JTTD1003F</v>
      </c>
      <c r="F156" s="596" t="e">
        <f>VLOOKUP(E156,'[9]EEBOM 512 '!$D$3:$D$169,1,0)</f>
        <v>#N/A</v>
      </c>
      <c r="G156" s="598" t="s">
        <v>1072</v>
      </c>
      <c r="H156" s="596" t="s">
        <v>1263</v>
      </c>
      <c r="I156" s="595" t="s">
        <v>1073</v>
      </c>
      <c r="J156" s="598" t="s">
        <v>1074</v>
      </c>
      <c r="K156" s="595" t="s">
        <v>28</v>
      </c>
      <c r="L156" s="595"/>
      <c r="M156" s="595"/>
      <c r="N156" s="616">
        <v>1.5139999999999999E-3</v>
      </c>
      <c r="O156" s="616">
        <f t="shared" si="4"/>
        <v>1.5669899999999999E-3</v>
      </c>
      <c r="P156" s="616">
        <f t="shared" si="5"/>
        <v>8.8388999999999991E-4</v>
      </c>
      <c r="Q156" s="616"/>
      <c r="R156" s="596" t="s">
        <v>292</v>
      </c>
      <c r="S156" s="618" t="s">
        <v>1092</v>
      </c>
      <c r="T156" s="618"/>
      <c r="U156" s="596"/>
      <c r="V156" s="596"/>
      <c r="W156" s="596"/>
      <c r="X156" s="596"/>
    </row>
    <row r="157" spans="1:24" ht="15.75" customHeight="1">
      <c r="A157" s="595">
        <v>2</v>
      </c>
      <c r="B157" s="596" t="s">
        <v>1268</v>
      </c>
      <c r="C157" s="596" t="s">
        <v>1269</v>
      </c>
      <c r="D157" s="596" t="s">
        <v>1268</v>
      </c>
      <c r="E157" s="596" t="str">
        <f>VLOOKUP(D157,[8]Sheet1!$D$2:$D$239,1,0)</f>
        <v>CRCW04024K99FKED</v>
      </c>
      <c r="F157" s="596" t="e">
        <f>VLOOKUP(E157,'[9]EEBOM 512 '!$D$3:$D$169,1,0)</f>
        <v>#N/A</v>
      </c>
      <c r="G157" s="598" t="s">
        <v>1072</v>
      </c>
      <c r="H157" s="596" t="s">
        <v>1270</v>
      </c>
      <c r="I157" s="595" t="s">
        <v>1073</v>
      </c>
      <c r="J157" s="598" t="s">
        <v>1074</v>
      </c>
      <c r="K157" s="595" t="s">
        <v>28</v>
      </c>
      <c r="L157" s="595">
        <v>1</v>
      </c>
      <c r="M157" s="595">
        <v>1</v>
      </c>
      <c r="N157" s="616">
        <v>8.3000000000000001E-4</v>
      </c>
      <c r="O157" s="616">
        <f t="shared" si="4"/>
        <v>8.5904999999999998E-4</v>
      </c>
      <c r="P157" s="616" t="e">
        <f t="shared" si="5"/>
        <v>#N/A</v>
      </c>
      <c r="Q157" s="616">
        <f>O157*M157</f>
        <v>8.5904999999999998E-4</v>
      </c>
      <c r="R157" s="596" t="s">
        <v>368</v>
      </c>
      <c r="S157" s="618" t="s">
        <v>1092</v>
      </c>
      <c r="T157" s="618"/>
      <c r="U157" s="596"/>
      <c r="V157" s="596"/>
      <c r="W157" s="596"/>
      <c r="X157" s="596" t="s">
        <v>1271</v>
      </c>
    </row>
    <row r="158" spans="1:24" ht="15.75" customHeight="1">
      <c r="A158" s="595">
        <v>2</v>
      </c>
      <c r="B158" s="596" t="s">
        <v>1272</v>
      </c>
      <c r="C158" s="596" t="s">
        <v>1269</v>
      </c>
      <c r="D158" s="596" t="s">
        <v>1272</v>
      </c>
      <c r="E158" s="596" t="str">
        <f>VLOOKUP(D158,[8]Sheet1!$D$2:$D$239,1,0)</f>
        <v>RMCH10K4991FTH</v>
      </c>
      <c r="F158" s="596" t="e">
        <f>VLOOKUP(E158,'[9]EEBOM 512 '!$D$3:$D$169,1,0)</f>
        <v>#N/A</v>
      </c>
      <c r="G158" s="598" t="s">
        <v>1072</v>
      </c>
      <c r="H158" s="596" t="s">
        <v>1270</v>
      </c>
      <c r="I158" s="595" t="s">
        <v>1073</v>
      </c>
      <c r="J158" s="598" t="s">
        <v>1074</v>
      </c>
      <c r="K158" s="595" t="s">
        <v>28</v>
      </c>
      <c r="L158" s="595"/>
      <c r="M158" s="595"/>
      <c r="N158" s="616">
        <v>2.2669999999999999E-3</v>
      </c>
      <c r="O158" s="616">
        <f t="shared" si="4"/>
        <v>2.3463449999999997E-3</v>
      </c>
      <c r="P158" s="616" t="e">
        <f t="shared" si="5"/>
        <v>#N/A</v>
      </c>
      <c r="Q158" s="616"/>
      <c r="R158" s="596" t="s">
        <v>294</v>
      </c>
      <c r="S158" s="618" t="s">
        <v>1092</v>
      </c>
      <c r="T158" s="618"/>
      <c r="U158" s="596"/>
      <c r="V158" s="596"/>
      <c r="W158" s="596"/>
      <c r="X158" s="596"/>
    </row>
    <row r="159" spans="1:24" ht="15.75" customHeight="1">
      <c r="A159" s="595">
        <v>2</v>
      </c>
      <c r="B159" s="596" t="s">
        <v>1273</v>
      </c>
      <c r="C159" s="596" t="s">
        <v>1269</v>
      </c>
      <c r="D159" s="596" t="s">
        <v>1273</v>
      </c>
      <c r="E159" s="596" t="str">
        <f>VLOOKUP(D159,[8]Sheet1!$D$2:$D$239,1,0)</f>
        <v>RK73H1ETTP4991F</v>
      </c>
      <c r="F159" s="596" t="e">
        <f>VLOOKUP(E159,'[9]EEBOM 512 '!$D$3:$D$169,1,0)</f>
        <v>#N/A</v>
      </c>
      <c r="G159" s="598" t="s">
        <v>1072</v>
      </c>
      <c r="H159" s="596" t="s">
        <v>1270</v>
      </c>
      <c r="I159" s="595" t="s">
        <v>1073</v>
      </c>
      <c r="J159" s="598" t="s">
        <v>1074</v>
      </c>
      <c r="K159" s="595" t="s">
        <v>28</v>
      </c>
      <c r="L159" s="595"/>
      <c r="M159" s="595"/>
      <c r="N159" s="616">
        <v>1.047E-3</v>
      </c>
      <c r="O159" s="616">
        <f t="shared" si="4"/>
        <v>1.0836449999999998E-3</v>
      </c>
      <c r="P159" s="616" t="e">
        <f t="shared" si="5"/>
        <v>#N/A</v>
      </c>
      <c r="Q159" s="616"/>
      <c r="R159" s="596" t="s">
        <v>292</v>
      </c>
      <c r="S159" s="618" t="s">
        <v>1092</v>
      </c>
      <c r="T159" s="618"/>
      <c r="U159" s="596"/>
      <c r="V159" s="596"/>
      <c r="W159" s="596"/>
      <c r="X159" s="596"/>
    </row>
    <row r="160" spans="1:24" ht="15.75" customHeight="1">
      <c r="A160" s="595">
        <v>2</v>
      </c>
      <c r="B160" s="596" t="s">
        <v>1274</v>
      </c>
      <c r="C160" s="596" t="s">
        <v>1269</v>
      </c>
      <c r="D160" s="596" t="s">
        <v>1274</v>
      </c>
      <c r="E160" s="596" t="str">
        <f>VLOOKUP(D160,[8]Sheet1!$D$2:$D$239,1,0)</f>
        <v>ERJ-2RKF4991X</v>
      </c>
      <c r="F160" s="596" t="e">
        <f>VLOOKUP(E160,'[9]EEBOM 512 '!$D$3:$D$169,1,0)</f>
        <v>#N/A</v>
      </c>
      <c r="G160" s="598" t="s">
        <v>1072</v>
      </c>
      <c r="H160" s="596" t="s">
        <v>1270</v>
      </c>
      <c r="I160" s="595" t="s">
        <v>1073</v>
      </c>
      <c r="J160" s="598" t="s">
        <v>1074</v>
      </c>
      <c r="K160" s="595" t="s">
        <v>28</v>
      </c>
      <c r="L160" s="595"/>
      <c r="M160" s="595"/>
      <c r="N160" s="616" t="e">
        <v>#N/A</v>
      </c>
      <c r="O160" s="616" t="e">
        <f t="shared" si="4"/>
        <v>#N/A</v>
      </c>
      <c r="P160" s="616" t="e">
        <f t="shared" si="5"/>
        <v>#N/A</v>
      </c>
      <c r="Q160" s="616"/>
      <c r="R160" s="596" t="s">
        <v>289</v>
      </c>
      <c r="S160" s="618" t="e">
        <v>#N/A</v>
      </c>
      <c r="T160" s="618"/>
      <c r="U160" s="596"/>
      <c r="V160" s="596"/>
      <c r="W160" s="596"/>
      <c r="X160" s="596"/>
    </row>
    <row r="161" spans="1:24" ht="15.75" customHeight="1">
      <c r="A161" s="595">
        <v>2</v>
      </c>
      <c r="B161" s="596" t="s">
        <v>366</v>
      </c>
      <c r="C161" s="596" t="s">
        <v>1275</v>
      </c>
      <c r="D161" s="596" t="s">
        <v>367</v>
      </c>
      <c r="E161" s="596" t="str">
        <f>VLOOKUP(D161,[8]Sheet1!$D$2:$D$239,1,0)</f>
        <v>CRCW04020000Z0ED</v>
      </c>
      <c r="F161" s="596" t="str">
        <f>VLOOKUP(E161,'[9]EEBOM 512 '!$D$3:$D$169,1,0)</f>
        <v>CRCW04020000Z0ED</v>
      </c>
      <c r="G161" s="598" t="s">
        <v>1072</v>
      </c>
      <c r="H161" s="596" t="s">
        <v>1276</v>
      </c>
      <c r="I161" s="595" t="s">
        <v>1073</v>
      </c>
      <c r="J161" s="598" t="s">
        <v>1074</v>
      </c>
      <c r="K161" s="595" t="s">
        <v>28</v>
      </c>
      <c r="L161" s="595">
        <v>4</v>
      </c>
      <c r="M161" s="595"/>
      <c r="N161" s="616">
        <v>5.2999999999999998E-4</v>
      </c>
      <c r="O161" s="616">
        <f t="shared" si="4"/>
        <v>5.4854999999999997E-4</v>
      </c>
      <c r="P161" s="616">
        <f t="shared" si="5"/>
        <v>2.0699999999999999E-4</v>
      </c>
      <c r="Q161" s="616"/>
      <c r="R161" s="596" t="s">
        <v>368</v>
      </c>
      <c r="S161" s="618" t="s">
        <v>1094</v>
      </c>
      <c r="T161" s="618"/>
      <c r="U161" s="596"/>
      <c r="V161" s="596"/>
      <c r="W161" s="596"/>
      <c r="X161" s="596" t="s">
        <v>1277</v>
      </c>
    </row>
    <row r="162" spans="1:24" ht="15.75" customHeight="1">
      <c r="A162" s="595">
        <v>2</v>
      </c>
      <c r="B162" s="596" t="s">
        <v>369</v>
      </c>
      <c r="C162" s="596" t="s">
        <v>1275</v>
      </c>
      <c r="D162" s="596" t="s">
        <v>370</v>
      </c>
      <c r="E162" s="596" t="str">
        <f>VLOOKUP(D162,[8]Sheet1!$D$2:$D$239,1,0)</f>
        <v>AC0402JR-070RL</v>
      </c>
      <c r="F162" s="596" t="str">
        <f>VLOOKUP(E162,'[9]EEBOM 512 '!$D$3:$D$169,1,0)</f>
        <v>AC0402JR-070RL</v>
      </c>
      <c r="G162" s="598" t="s">
        <v>1072</v>
      </c>
      <c r="H162" s="596" t="s">
        <v>1276</v>
      </c>
      <c r="I162" s="595" t="s">
        <v>1073</v>
      </c>
      <c r="J162" s="598" t="s">
        <v>1074</v>
      </c>
      <c r="K162" s="595" t="s">
        <v>28</v>
      </c>
      <c r="L162" s="595"/>
      <c r="M162" s="595">
        <v>4</v>
      </c>
      <c r="N162" s="616">
        <v>3.3E-4</v>
      </c>
      <c r="O162" s="616">
        <f t="shared" si="4"/>
        <v>3.4154999999999998E-4</v>
      </c>
      <c r="P162" s="616">
        <f t="shared" si="5"/>
        <v>0</v>
      </c>
      <c r="Q162" s="616">
        <f>O162*M162</f>
        <v>1.3661999999999999E-3</v>
      </c>
      <c r="R162" s="596" t="s">
        <v>296</v>
      </c>
      <c r="S162" s="618" t="s">
        <v>1076</v>
      </c>
      <c r="T162" s="618"/>
      <c r="U162" s="596"/>
      <c r="V162" s="596"/>
      <c r="W162" s="596"/>
      <c r="X162" s="596"/>
    </row>
    <row r="163" spans="1:24" ht="15.75" customHeight="1">
      <c r="A163" s="595">
        <v>2</v>
      </c>
      <c r="B163" s="596" t="s">
        <v>357</v>
      </c>
      <c r="C163" s="596" t="s">
        <v>1275</v>
      </c>
      <c r="D163" s="596" t="s">
        <v>359</v>
      </c>
      <c r="E163" s="596" t="str">
        <f>VLOOKUP(D163,[8]Sheet1!$D$2:$D$239,1,0)</f>
        <v>RMCH10JPTH</v>
      </c>
      <c r="F163" s="596" t="str">
        <f>VLOOKUP(E163,'[9]EEBOM 512 '!$D$3:$D$169,1,0)</f>
        <v>RMCH10JPTH</v>
      </c>
      <c r="G163" s="598" t="s">
        <v>1072</v>
      </c>
      <c r="H163" s="596" t="s">
        <v>1276</v>
      </c>
      <c r="I163" s="595" t="s">
        <v>1073</v>
      </c>
      <c r="J163" s="598" t="s">
        <v>1074</v>
      </c>
      <c r="K163" s="595" t="s">
        <v>28</v>
      </c>
      <c r="L163" s="595"/>
      <c r="M163" s="595"/>
      <c r="N163" s="616">
        <v>1.1100000000000001E-3</v>
      </c>
      <c r="O163" s="616">
        <f t="shared" si="4"/>
        <v>1.1488500000000001E-3</v>
      </c>
      <c r="P163" s="616">
        <f t="shared" si="5"/>
        <v>8.0730000000000016E-4</v>
      </c>
      <c r="Q163" s="616"/>
      <c r="R163" s="596" t="s">
        <v>294</v>
      </c>
      <c r="S163" s="618" t="s">
        <v>1230</v>
      </c>
      <c r="T163" s="618"/>
      <c r="U163" s="596"/>
      <c r="V163" s="596"/>
      <c r="W163" s="596"/>
      <c r="X163" s="596"/>
    </row>
    <row r="164" spans="1:24" ht="15.75" customHeight="1">
      <c r="A164" s="595">
        <v>2</v>
      </c>
      <c r="B164" s="596" t="s">
        <v>364</v>
      </c>
      <c r="C164" s="596" t="s">
        <v>1275</v>
      </c>
      <c r="D164" s="596" t="s">
        <v>365</v>
      </c>
      <c r="E164" s="596" t="str">
        <f>VLOOKUP(D164,[8]Sheet1!$D$2:$D$239,1,0)</f>
        <v>RK73Z1ETTP</v>
      </c>
      <c r="F164" s="596" t="str">
        <f>VLOOKUP(E164,'[9]EEBOM 512 '!$D$3:$D$169,1,0)</f>
        <v>RK73Z1ETTP</v>
      </c>
      <c r="G164" s="598" t="s">
        <v>1072</v>
      </c>
      <c r="H164" s="596" t="s">
        <v>1276</v>
      </c>
      <c r="I164" s="595" t="s">
        <v>1073</v>
      </c>
      <c r="J164" s="598" t="s">
        <v>1074</v>
      </c>
      <c r="K164" s="595" t="s">
        <v>28</v>
      </c>
      <c r="L164" s="595"/>
      <c r="M164" s="595"/>
      <c r="N164" s="616">
        <v>6.4999999999999997E-4</v>
      </c>
      <c r="O164" s="616">
        <f t="shared" si="4"/>
        <v>6.7274999999999995E-4</v>
      </c>
      <c r="P164" s="616">
        <f t="shared" si="5"/>
        <v>3.3119999999999997E-4</v>
      </c>
      <c r="Q164" s="616"/>
      <c r="R164" s="596" t="s">
        <v>292</v>
      </c>
      <c r="S164" s="618" t="s">
        <v>1231</v>
      </c>
      <c r="T164" s="618"/>
      <c r="U164" s="596"/>
      <c r="V164" s="596"/>
      <c r="W164" s="596"/>
      <c r="X164" s="596"/>
    </row>
    <row r="165" spans="1:24" ht="15.75" customHeight="1">
      <c r="A165" s="595">
        <v>2</v>
      </c>
      <c r="B165" s="596" t="s">
        <v>362</v>
      </c>
      <c r="C165" s="596" t="s">
        <v>1275</v>
      </c>
      <c r="D165" s="596" t="s">
        <v>363</v>
      </c>
      <c r="E165" s="596" t="str">
        <f>VLOOKUP(D165,[8]Sheet1!$D$2:$D$239,1,0)</f>
        <v>ERJ2GE0R00X</v>
      </c>
      <c r="F165" s="596" t="str">
        <f>VLOOKUP(E165,'[9]EEBOM 512 '!$D$3:$D$169,1,0)</f>
        <v>ERJ2GE0R00X</v>
      </c>
      <c r="G165" s="598" t="s">
        <v>1072</v>
      </c>
      <c r="H165" s="596" t="s">
        <v>1276</v>
      </c>
      <c r="I165" s="595" t="s">
        <v>1073</v>
      </c>
      <c r="J165" s="598" t="s">
        <v>1074</v>
      </c>
      <c r="K165" s="595" t="s">
        <v>28</v>
      </c>
      <c r="L165" s="595"/>
      <c r="M165" s="595"/>
      <c r="N165" s="616">
        <v>1.98E-3</v>
      </c>
      <c r="O165" s="616">
        <f t="shared" si="4"/>
        <v>2.0493E-3</v>
      </c>
      <c r="P165" s="616">
        <f t="shared" si="5"/>
        <v>1.7077500000000001E-3</v>
      </c>
      <c r="Q165" s="616"/>
      <c r="R165" s="596" t="s">
        <v>289</v>
      </c>
      <c r="S165" s="618" t="s">
        <v>1094</v>
      </c>
      <c r="T165" s="618"/>
      <c r="U165" s="596"/>
      <c r="V165" s="596"/>
      <c r="W165" s="596"/>
      <c r="X165" s="596"/>
    </row>
    <row r="166" spans="1:24" ht="15.75" customHeight="1">
      <c r="A166" s="595">
        <v>2</v>
      </c>
      <c r="B166" s="596" t="s">
        <v>1278</v>
      </c>
      <c r="C166" s="596" t="s">
        <v>1279</v>
      </c>
      <c r="D166" s="596" t="s">
        <v>1280</v>
      </c>
      <c r="E166" s="596" t="str">
        <f>VLOOKUP(D166,[8]Sheet1!$D$2:$D$239,1,0)</f>
        <v>RMCH06JPPA</v>
      </c>
      <c r="F166" s="596" t="e">
        <f>VLOOKUP(E166,'[9]EEBOM 512 '!$D$3:$D$169,1,0)</f>
        <v>#N/A</v>
      </c>
      <c r="G166" s="598" t="s">
        <v>1072</v>
      </c>
      <c r="H166" s="596" t="s">
        <v>1281</v>
      </c>
      <c r="I166" s="595" t="s">
        <v>1073</v>
      </c>
      <c r="J166" s="598" t="s">
        <v>1074</v>
      </c>
      <c r="K166" s="595" t="s">
        <v>28</v>
      </c>
      <c r="L166" s="595">
        <v>2</v>
      </c>
      <c r="M166" s="595">
        <v>2</v>
      </c>
      <c r="N166" s="616">
        <v>1.1329999999999999E-3</v>
      </c>
      <c r="O166" s="616">
        <f t="shared" si="4"/>
        <v>1.1726549999999999E-3</v>
      </c>
      <c r="P166" s="616" t="e">
        <f t="shared" si="5"/>
        <v>#N/A</v>
      </c>
      <c r="Q166" s="616">
        <f>O166*M166</f>
        <v>2.3453099999999998E-3</v>
      </c>
      <c r="R166" s="596" t="s">
        <v>294</v>
      </c>
      <c r="S166" s="618" t="s">
        <v>1092</v>
      </c>
      <c r="T166" s="618"/>
      <c r="U166" s="596"/>
      <c r="V166" s="596"/>
      <c r="W166" s="596"/>
      <c r="X166" s="596" t="s">
        <v>1282</v>
      </c>
    </row>
    <row r="167" spans="1:24" ht="15.75" customHeight="1">
      <c r="A167" s="595">
        <v>2</v>
      </c>
      <c r="B167" s="596" t="s">
        <v>1283</v>
      </c>
      <c r="C167" s="596" t="s">
        <v>1279</v>
      </c>
      <c r="D167" s="605" t="s">
        <v>1284</v>
      </c>
      <c r="E167" s="605" t="s">
        <v>1285</v>
      </c>
      <c r="F167" s="596" t="e">
        <f>VLOOKUP(E167,'[9]EEBOM 512 '!$D$3:$D$169,1,0)</f>
        <v>#N/A</v>
      </c>
      <c r="G167" s="598" t="s">
        <v>1072</v>
      </c>
      <c r="H167" s="596" t="s">
        <v>1281</v>
      </c>
      <c r="I167" s="595" t="s">
        <v>1073</v>
      </c>
      <c r="J167" s="598" t="s">
        <v>1074</v>
      </c>
      <c r="K167" s="595" t="s">
        <v>28</v>
      </c>
      <c r="L167" s="595"/>
      <c r="M167" s="595"/>
      <c r="N167" s="616" t="e">
        <v>#N/A</v>
      </c>
      <c r="O167" s="616" t="e">
        <f t="shared" si="4"/>
        <v>#N/A</v>
      </c>
      <c r="P167" s="616" t="e">
        <f t="shared" si="5"/>
        <v>#N/A</v>
      </c>
      <c r="Q167" s="616"/>
      <c r="R167" s="596" t="s">
        <v>292</v>
      </c>
      <c r="S167" s="618" t="e">
        <v>#N/A</v>
      </c>
      <c r="T167" s="618"/>
      <c r="U167" s="596"/>
      <c r="V167" s="596"/>
      <c r="W167" s="596"/>
      <c r="X167" s="596"/>
    </row>
    <row r="168" spans="1:24" ht="15.75" customHeight="1">
      <c r="A168" s="595">
        <v>2</v>
      </c>
      <c r="B168" s="596" t="s">
        <v>1286</v>
      </c>
      <c r="C168" s="596" t="s">
        <v>1279</v>
      </c>
      <c r="D168" s="596" t="s">
        <v>1286</v>
      </c>
      <c r="E168" s="596" t="str">
        <f>VLOOKUP(D168,[8]Sheet1!$D$2:$D$239,1,0)</f>
        <v>ERJ1GJ0R00C</v>
      </c>
      <c r="F168" s="596" t="e">
        <f>VLOOKUP(E168,'[9]EEBOM 512 '!$D$3:$D$169,1,0)</f>
        <v>#N/A</v>
      </c>
      <c r="G168" s="598" t="s">
        <v>1072</v>
      </c>
      <c r="H168" s="596" t="s">
        <v>1281</v>
      </c>
      <c r="I168" s="595" t="s">
        <v>1073</v>
      </c>
      <c r="J168" s="598" t="s">
        <v>1074</v>
      </c>
      <c r="K168" s="595" t="s">
        <v>28</v>
      </c>
      <c r="L168" s="595"/>
      <c r="M168" s="595"/>
      <c r="N168" s="616">
        <v>9.7599999999999996E-3</v>
      </c>
      <c r="O168" s="616">
        <f t="shared" si="4"/>
        <v>1.0101599999999999E-2</v>
      </c>
      <c r="P168" s="616" t="e">
        <f t="shared" si="5"/>
        <v>#N/A</v>
      </c>
      <c r="Q168" s="616"/>
      <c r="R168" s="596" t="s">
        <v>289</v>
      </c>
      <c r="S168" s="618" t="s">
        <v>1231</v>
      </c>
      <c r="T168" s="618"/>
      <c r="U168" s="596"/>
      <c r="V168" s="596"/>
      <c r="W168" s="596"/>
      <c r="X168" s="596"/>
    </row>
    <row r="169" spans="1:24" ht="15.75" customHeight="1">
      <c r="A169" s="595">
        <v>2</v>
      </c>
      <c r="B169" s="596" t="s">
        <v>385</v>
      </c>
      <c r="C169" s="596" t="s">
        <v>382</v>
      </c>
      <c r="D169" s="596" t="s">
        <v>385</v>
      </c>
      <c r="E169" s="596" t="str">
        <f>VLOOKUP(D169,[8]Sheet1!$D$2:$D$239,1,0)</f>
        <v>CRCW060349R9FKEA</v>
      </c>
      <c r="F169" s="596" t="str">
        <f>VLOOKUP(E169,'[9]EEBOM 512 '!$D$3:$D$169,1,0)</f>
        <v>CRCW060349R9FKEA</v>
      </c>
      <c r="G169" s="598" t="s">
        <v>1072</v>
      </c>
      <c r="H169" s="596" t="s">
        <v>1287</v>
      </c>
      <c r="I169" s="595" t="s">
        <v>1073</v>
      </c>
      <c r="J169" s="598" t="s">
        <v>1074</v>
      </c>
      <c r="K169" s="595" t="s">
        <v>28</v>
      </c>
      <c r="L169" s="595">
        <v>2</v>
      </c>
      <c r="M169" s="595"/>
      <c r="N169" s="616">
        <v>9.5600000000000004E-4</v>
      </c>
      <c r="O169" s="616">
        <f t="shared" si="4"/>
        <v>9.8945999999999995E-4</v>
      </c>
      <c r="P169" s="616">
        <f t="shared" si="5"/>
        <v>3.0635999999999999E-4</v>
      </c>
      <c r="Q169" s="616"/>
      <c r="R169" s="596" t="s">
        <v>368</v>
      </c>
      <c r="S169" s="618" t="s">
        <v>1092</v>
      </c>
      <c r="T169" s="618"/>
      <c r="U169" s="596"/>
      <c r="V169" s="596"/>
      <c r="W169" s="596"/>
      <c r="X169" s="596" t="s">
        <v>1288</v>
      </c>
    </row>
    <row r="170" spans="1:24" ht="15.75" customHeight="1">
      <c r="A170" s="595">
        <v>2</v>
      </c>
      <c r="B170" s="596" t="s">
        <v>387</v>
      </c>
      <c r="C170" s="596" t="s">
        <v>382</v>
      </c>
      <c r="D170" s="596" t="s">
        <v>387</v>
      </c>
      <c r="E170" s="596" t="str">
        <f>VLOOKUP(D170,[8]Sheet1!$D$2:$D$239,1,0)</f>
        <v>AC0603FR-0749R9L</v>
      </c>
      <c r="F170" s="596" t="str">
        <f>VLOOKUP(E170,'[9]EEBOM 512 '!$D$3:$D$169,1,0)</f>
        <v>AC0603FR-0749R9L</v>
      </c>
      <c r="G170" s="598" t="s">
        <v>1072</v>
      </c>
      <c r="H170" s="596" t="s">
        <v>1287</v>
      </c>
      <c r="I170" s="595" t="s">
        <v>1073</v>
      </c>
      <c r="J170" s="598" t="s">
        <v>1074</v>
      </c>
      <c r="K170" s="595" t="s">
        <v>28</v>
      </c>
      <c r="L170" s="595"/>
      <c r="M170" s="595">
        <v>2</v>
      </c>
      <c r="N170" s="616">
        <v>6.6E-4</v>
      </c>
      <c r="O170" s="616">
        <f t="shared" si="4"/>
        <v>6.8309999999999996E-4</v>
      </c>
      <c r="P170" s="616">
        <f t="shared" si="5"/>
        <v>0</v>
      </c>
      <c r="Q170" s="616">
        <f>O170*M170</f>
        <v>1.3661999999999999E-3</v>
      </c>
      <c r="R170" s="596" t="s">
        <v>296</v>
      </c>
      <c r="S170" s="618" t="s">
        <v>1127</v>
      </c>
      <c r="T170" s="618"/>
      <c r="U170" s="596"/>
      <c r="V170" s="596"/>
      <c r="W170" s="596"/>
      <c r="X170" s="596"/>
    </row>
    <row r="171" spans="1:24" ht="15.75" customHeight="1">
      <c r="A171" s="595">
        <v>2</v>
      </c>
      <c r="B171" s="596" t="s">
        <v>381</v>
      </c>
      <c r="C171" s="596" t="s">
        <v>382</v>
      </c>
      <c r="D171" s="596" t="s">
        <v>381</v>
      </c>
      <c r="E171" s="596" t="str">
        <f>VLOOKUP(D171,[8]Sheet1!$D$2:$D$239,1,0)</f>
        <v>RK73H1JTTD49R9F</v>
      </c>
      <c r="F171" s="596" t="str">
        <f>VLOOKUP(E171,'[9]EEBOM 512 '!$D$3:$D$169,1,0)</f>
        <v>RK73H1JTTD49R9F</v>
      </c>
      <c r="G171" s="598" t="s">
        <v>1072</v>
      </c>
      <c r="H171" s="596" t="s">
        <v>1287</v>
      </c>
      <c r="I171" s="595" t="s">
        <v>1073</v>
      </c>
      <c r="J171" s="598" t="s">
        <v>1074</v>
      </c>
      <c r="K171" s="595" t="s">
        <v>28</v>
      </c>
      <c r="L171" s="595"/>
      <c r="M171" s="595"/>
      <c r="N171" s="616">
        <v>9.8200000000000002E-4</v>
      </c>
      <c r="O171" s="616">
        <f t="shared" si="4"/>
        <v>1.0163699999999999E-3</v>
      </c>
      <c r="P171" s="616">
        <f t="shared" si="5"/>
        <v>3.3326999999999999E-4</v>
      </c>
      <c r="Q171" s="616"/>
      <c r="R171" s="596" t="s">
        <v>292</v>
      </c>
      <c r="S171" s="618" t="s">
        <v>1092</v>
      </c>
      <c r="T171" s="618"/>
      <c r="U171" s="596"/>
      <c r="V171" s="596"/>
      <c r="W171" s="596"/>
      <c r="X171" s="596"/>
    </row>
    <row r="172" spans="1:24" ht="15.75" customHeight="1">
      <c r="A172" s="595">
        <v>2</v>
      </c>
      <c r="B172" s="596" t="s">
        <v>386</v>
      </c>
      <c r="C172" s="596" t="s">
        <v>382</v>
      </c>
      <c r="D172" s="596" t="s">
        <v>386</v>
      </c>
      <c r="E172" s="596" t="str">
        <f>VLOOKUP(D172,[8]Sheet1!$D$2:$D$239,1,0)</f>
        <v>RMCH16K49R9FTP</v>
      </c>
      <c r="F172" s="596" t="str">
        <f>VLOOKUP(E172,'[9]EEBOM 512 '!$D$3:$D$169,1,0)</f>
        <v>RMCH16K49R9FTP</v>
      </c>
      <c r="G172" s="598" t="s">
        <v>1072</v>
      </c>
      <c r="H172" s="596" t="s">
        <v>1287</v>
      </c>
      <c r="I172" s="595" t="s">
        <v>1073</v>
      </c>
      <c r="J172" s="598" t="s">
        <v>1074</v>
      </c>
      <c r="K172" s="595" t="s">
        <v>28</v>
      </c>
      <c r="L172" s="595"/>
      <c r="M172" s="595"/>
      <c r="N172" s="616">
        <v>1.4499999999999999E-3</v>
      </c>
      <c r="O172" s="616">
        <f t="shared" si="4"/>
        <v>1.5007499999999997E-3</v>
      </c>
      <c r="P172" s="616">
        <f t="shared" si="5"/>
        <v>8.1764999999999974E-4</v>
      </c>
      <c r="Q172" s="616"/>
      <c r="R172" s="596" t="s">
        <v>294</v>
      </c>
      <c r="S172" s="618" t="s">
        <v>1230</v>
      </c>
      <c r="T172" s="618"/>
      <c r="U172" s="596"/>
      <c r="V172" s="596"/>
      <c r="W172" s="596"/>
      <c r="X172" s="596"/>
    </row>
    <row r="173" spans="1:24" ht="15.75" customHeight="1">
      <c r="A173" s="595">
        <v>2</v>
      </c>
      <c r="B173" s="596" t="s">
        <v>630</v>
      </c>
      <c r="C173" s="596" t="s">
        <v>622</v>
      </c>
      <c r="D173" s="596" t="s">
        <v>1289</v>
      </c>
      <c r="E173" s="596" t="str">
        <f>VLOOKUP(D173,[8]Sheet1!$D$2:$D$239,1,0)</f>
        <v>CRCW0402100KFKED</v>
      </c>
      <c r="F173" s="596" t="e">
        <f>VLOOKUP(E173,'[9]EEBOM 512 '!$D$3:$D$169,1,0)</f>
        <v>#N/A</v>
      </c>
      <c r="G173" s="598" t="s">
        <v>1072</v>
      </c>
      <c r="H173" s="596" t="s">
        <v>1290</v>
      </c>
      <c r="I173" s="595" t="s">
        <v>1073</v>
      </c>
      <c r="J173" s="598" t="s">
        <v>1074</v>
      </c>
      <c r="K173" s="595" t="s">
        <v>28</v>
      </c>
      <c r="L173" s="595">
        <v>1</v>
      </c>
      <c r="M173" s="595"/>
      <c r="N173" s="616">
        <v>9.5600000000000004E-4</v>
      </c>
      <c r="O173" s="616">
        <f t="shared" si="4"/>
        <v>9.8945999999999995E-4</v>
      </c>
      <c r="P173" s="616">
        <f t="shared" si="5"/>
        <v>6.3755999999999991E-4</v>
      </c>
      <c r="Q173" s="616"/>
      <c r="R173" s="596" t="s">
        <v>368</v>
      </c>
      <c r="S173" s="618" t="s">
        <v>1092</v>
      </c>
      <c r="T173" s="618"/>
      <c r="U173" s="596"/>
      <c r="V173" s="596"/>
      <c r="W173" s="596"/>
      <c r="X173" s="596" t="s">
        <v>1291</v>
      </c>
    </row>
    <row r="174" spans="1:24" ht="15.75" customHeight="1">
      <c r="A174" s="595">
        <v>2</v>
      </c>
      <c r="B174" s="596" t="s">
        <v>632</v>
      </c>
      <c r="C174" s="596" t="s">
        <v>622</v>
      </c>
      <c r="D174" s="596" t="s">
        <v>633</v>
      </c>
      <c r="E174" s="596" t="str">
        <f>VLOOKUP(D174,[8]Sheet1!$D$2:$D$239,1,0)</f>
        <v>AC0402FR-07100KL</v>
      </c>
      <c r="F174" s="596" t="str">
        <f>VLOOKUP(E174,'[9]EEBOM 512 '!$D$3:$D$169,1,0)</f>
        <v>AC0402FR-07100KL</v>
      </c>
      <c r="G174" s="598" t="s">
        <v>1072</v>
      </c>
      <c r="H174" s="596" t="s">
        <v>1290</v>
      </c>
      <c r="I174" s="595" t="s">
        <v>1073</v>
      </c>
      <c r="J174" s="598" t="s">
        <v>1074</v>
      </c>
      <c r="K174" s="595" t="s">
        <v>28</v>
      </c>
      <c r="L174" s="595"/>
      <c r="M174" s="595">
        <v>1</v>
      </c>
      <c r="N174" s="616">
        <v>3.4000000000000002E-4</v>
      </c>
      <c r="O174" s="616">
        <f t="shared" si="4"/>
        <v>3.5189999999999999E-4</v>
      </c>
      <c r="P174" s="616">
        <f t="shared" si="5"/>
        <v>0</v>
      </c>
      <c r="Q174" s="616">
        <f>O174*M174</f>
        <v>3.5189999999999999E-4</v>
      </c>
      <c r="R174" s="596" t="s">
        <v>296</v>
      </c>
      <c r="S174" s="618" t="s">
        <v>1292</v>
      </c>
      <c r="T174" s="618"/>
      <c r="U174" s="596"/>
      <c r="V174" s="596"/>
      <c r="W174" s="596"/>
      <c r="X174" s="596"/>
    </row>
    <row r="175" spans="1:24" ht="15.75" customHeight="1">
      <c r="A175" s="595">
        <v>2</v>
      </c>
      <c r="B175" s="596" t="s">
        <v>626</v>
      </c>
      <c r="C175" s="596" t="s">
        <v>622</v>
      </c>
      <c r="D175" s="596" t="s">
        <v>627</v>
      </c>
      <c r="E175" s="596" t="str">
        <f>VLOOKUP(D175,[8]Sheet1!$D$2:$D$239,1,0)</f>
        <v>RMCH10K104FTH</v>
      </c>
      <c r="F175" s="596" t="str">
        <f>VLOOKUP(E175,'[9]EEBOM 512 '!$D$3:$D$169,1,0)</f>
        <v>RMCH10K104FTH</v>
      </c>
      <c r="G175" s="598" t="s">
        <v>1072</v>
      </c>
      <c r="H175" s="596" t="s">
        <v>1290</v>
      </c>
      <c r="I175" s="595" t="s">
        <v>1073</v>
      </c>
      <c r="J175" s="598" t="s">
        <v>1074</v>
      </c>
      <c r="K175" s="595" t="s">
        <v>28</v>
      </c>
      <c r="L175" s="595"/>
      <c r="M175" s="595"/>
      <c r="N175" s="616">
        <v>1.1100000000000001E-3</v>
      </c>
      <c r="O175" s="616">
        <f t="shared" si="4"/>
        <v>1.1488500000000001E-3</v>
      </c>
      <c r="P175" s="616">
        <f t="shared" si="5"/>
        <v>7.9695000000000005E-4</v>
      </c>
      <c r="Q175" s="616"/>
      <c r="R175" s="596" t="s">
        <v>294</v>
      </c>
      <c r="S175" s="618" t="s">
        <v>1230</v>
      </c>
      <c r="T175" s="618"/>
      <c r="U175" s="596"/>
      <c r="V175" s="596"/>
      <c r="W175" s="596"/>
      <c r="X175" s="596"/>
    </row>
    <row r="176" spans="1:24" ht="15.75" customHeight="1">
      <c r="A176" s="595">
        <v>2</v>
      </c>
      <c r="B176" s="596" t="s">
        <v>621</v>
      </c>
      <c r="C176" s="596" t="s">
        <v>622</v>
      </c>
      <c r="D176" s="596" t="s">
        <v>623</v>
      </c>
      <c r="E176" s="596" t="str">
        <f>VLOOKUP(D176,[8]Sheet1!$D$2:$D$239,1,0)</f>
        <v>RK73H1ETTP1003F</v>
      </c>
      <c r="F176" s="596" t="str">
        <f>VLOOKUP(E176,'[9]EEBOM 512 '!$D$3:$D$169,1,0)</f>
        <v>RK73H1ETTP1003F</v>
      </c>
      <c r="G176" s="598" t="s">
        <v>1072</v>
      </c>
      <c r="H176" s="596" t="s">
        <v>1290</v>
      </c>
      <c r="I176" s="595" t="s">
        <v>1073</v>
      </c>
      <c r="J176" s="598" t="s">
        <v>1074</v>
      </c>
      <c r="K176" s="595" t="s">
        <v>28</v>
      </c>
      <c r="L176" s="595"/>
      <c r="M176" s="595"/>
      <c r="N176" s="616">
        <v>9.1E-4</v>
      </c>
      <c r="O176" s="616">
        <f t="shared" si="4"/>
        <v>9.4184999999999994E-4</v>
      </c>
      <c r="P176" s="616">
        <f t="shared" si="5"/>
        <v>5.8994999999999989E-4</v>
      </c>
      <c r="Q176" s="616"/>
      <c r="R176" s="596" t="s">
        <v>292</v>
      </c>
      <c r="S176" s="618" t="s">
        <v>1094</v>
      </c>
      <c r="T176" s="618"/>
      <c r="U176" s="596"/>
      <c r="V176" s="596"/>
      <c r="W176" s="596"/>
      <c r="X176" s="596"/>
    </row>
    <row r="177" spans="1:24" ht="15.75" customHeight="1">
      <c r="A177" s="595">
        <v>2</v>
      </c>
      <c r="B177" s="596" t="s">
        <v>628</v>
      </c>
      <c r="C177" s="596" t="s">
        <v>622</v>
      </c>
      <c r="D177" s="596" t="s">
        <v>629</v>
      </c>
      <c r="E177" s="596" t="str">
        <f>VLOOKUP(D177,[8]Sheet1!$D$2:$D$239,1,0)</f>
        <v>ERJ-2RKF1003X</v>
      </c>
      <c r="F177" s="596" t="str">
        <f>VLOOKUP(E177,'[9]EEBOM 512 '!$D$3:$D$169,1,0)</f>
        <v>ERJ-2RKF1003X</v>
      </c>
      <c r="G177" s="598" t="s">
        <v>1072</v>
      </c>
      <c r="H177" s="596" t="s">
        <v>1290</v>
      </c>
      <c r="I177" s="595" t="s">
        <v>1073</v>
      </c>
      <c r="J177" s="598" t="s">
        <v>1074</v>
      </c>
      <c r="K177" s="595" t="s">
        <v>28</v>
      </c>
      <c r="L177" s="595"/>
      <c r="M177" s="595"/>
      <c r="N177" s="616">
        <v>2.33E-3</v>
      </c>
      <c r="O177" s="616">
        <f t="shared" si="4"/>
        <v>2.4115499999999997E-3</v>
      </c>
      <c r="P177" s="616">
        <f t="shared" si="5"/>
        <v>2.0596499999999997E-3</v>
      </c>
      <c r="Q177" s="616"/>
      <c r="R177" s="596" t="s">
        <v>289</v>
      </c>
      <c r="S177" s="618" t="s">
        <v>1094</v>
      </c>
      <c r="T177" s="618"/>
      <c r="U177" s="596"/>
      <c r="V177" s="596"/>
      <c r="W177" s="596"/>
      <c r="X177" s="596"/>
    </row>
    <row r="178" spans="1:24" ht="15.75" customHeight="1">
      <c r="A178" s="595">
        <v>2</v>
      </c>
      <c r="B178" s="596" t="s">
        <v>564</v>
      </c>
      <c r="C178" s="596" t="s">
        <v>560</v>
      </c>
      <c r="D178" s="596" t="s">
        <v>564</v>
      </c>
      <c r="E178" s="596" t="str">
        <f>VLOOKUP(D178,[8]Sheet1!$D$2:$D$239,1,0)</f>
        <v>CRCW25121R00KNEGIF</v>
      </c>
      <c r="F178" s="596" t="str">
        <f>VLOOKUP(E178,'[9]EEBOM 512 '!$D$3:$D$169,1,0)</f>
        <v>CRCW25121R00KNEGIF</v>
      </c>
      <c r="G178" s="598" t="s">
        <v>1072</v>
      </c>
      <c r="H178" s="596" t="s">
        <v>1293</v>
      </c>
      <c r="I178" s="595" t="s">
        <v>1073</v>
      </c>
      <c r="J178" s="598" t="s">
        <v>1074</v>
      </c>
      <c r="K178" s="595" t="s">
        <v>28</v>
      </c>
      <c r="L178" s="595">
        <v>2</v>
      </c>
      <c r="M178" s="595">
        <v>2</v>
      </c>
      <c r="N178" s="616">
        <v>5.1777999999999998E-2</v>
      </c>
      <c r="O178" s="616">
        <f t="shared" si="4"/>
        <v>5.3590229999999996E-2</v>
      </c>
      <c r="P178" s="616" t="e">
        <f t="shared" si="5"/>
        <v>#N/A</v>
      </c>
      <c r="Q178" s="616">
        <f>O178*M178</f>
        <v>0.10718045999999999</v>
      </c>
      <c r="R178" s="596" t="s">
        <v>368</v>
      </c>
      <c r="S178" s="618" t="s">
        <v>1092</v>
      </c>
      <c r="T178" s="618"/>
      <c r="U178" s="596"/>
      <c r="V178" s="596"/>
      <c r="W178" s="596"/>
      <c r="X178" s="596" t="s">
        <v>1294</v>
      </c>
    </row>
    <row r="179" spans="1:24" ht="15.75" customHeight="1">
      <c r="A179" s="595">
        <v>2</v>
      </c>
      <c r="B179" s="596" t="s">
        <v>561</v>
      </c>
      <c r="C179" s="596" t="s">
        <v>560</v>
      </c>
      <c r="D179" s="596" t="s">
        <v>561</v>
      </c>
      <c r="E179" s="596" t="str">
        <f>VLOOKUP(D179,[8]Sheet1!$D$2:$D$239,1,0)</f>
        <v>SR2512KK-071RL</v>
      </c>
      <c r="F179" s="596" t="str">
        <f>VLOOKUP(E179,'[9]EEBOM 512 '!$D$3:$D$169,1,0)</f>
        <v>SR2512KK-071RL</v>
      </c>
      <c r="G179" s="598" t="s">
        <v>1072</v>
      </c>
      <c r="H179" s="596" t="s">
        <v>1293</v>
      </c>
      <c r="I179" s="595" t="s">
        <v>1073</v>
      </c>
      <c r="J179" s="598" t="s">
        <v>1074</v>
      </c>
      <c r="K179" s="595" t="s">
        <v>28</v>
      </c>
      <c r="L179" s="595"/>
      <c r="M179" s="595"/>
      <c r="N179" s="616">
        <v>0.1</v>
      </c>
      <c r="O179" s="616">
        <f t="shared" si="4"/>
        <v>0.10349999999999999</v>
      </c>
      <c r="P179" s="616" t="e">
        <f t="shared" si="5"/>
        <v>#N/A</v>
      </c>
      <c r="Q179" s="616"/>
      <c r="R179" s="596" t="s">
        <v>296</v>
      </c>
      <c r="S179" s="618" t="s">
        <v>1127</v>
      </c>
      <c r="T179" s="618"/>
      <c r="U179" s="596"/>
      <c r="V179" s="596"/>
      <c r="W179" s="596"/>
      <c r="X179" s="596"/>
    </row>
    <row r="180" spans="1:24" ht="15.75" customHeight="1">
      <c r="A180" s="595">
        <v>2</v>
      </c>
      <c r="B180" s="596" t="s">
        <v>566</v>
      </c>
      <c r="C180" s="596" t="s">
        <v>560</v>
      </c>
      <c r="D180" s="596" t="s">
        <v>566</v>
      </c>
      <c r="E180" s="596" t="str">
        <f>VLOOKUP(D180,[8]Sheet1!$D$2:$D$239,1,0)</f>
        <v>RPC2512JT1R00</v>
      </c>
      <c r="F180" s="596" t="str">
        <f>VLOOKUP(E180,'[9]EEBOM 512 '!$D$3:$D$169,1,0)</f>
        <v>RPC2512JT1R00</v>
      </c>
      <c r="G180" s="598" t="s">
        <v>1072</v>
      </c>
      <c r="H180" s="596" t="s">
        <v>1293</v>
      </c>
      <c r="I180" s="595" t="s">
        <v>1073</v>
      </c>
      <c r="J180" s="598" t="s">
        <v>1074</v>
      </c>
      <c r="K180" s="595" t="s">
        <v>28</v>
      </c>
      <c r="L180" s="595"/>
      <c r="M180" s="595"/>
      <c r="N180" s="616" t="e">
        <v>#N/A</v>
      </c>
      <c r="O180" s="616" t="e">
        <f t="shared" si="4"/>
        <v>#N/A</v>
      </c>
      <c r="P180" s="616" t="e">
        <f t="shared" si="5"/>
        <v>#N/A</v>
      </c>
      <c r="Q180" s="616"/>
      <c r="R180" s="596" t="s">
        <v>567</v>
      </c>
      <c r="S180" s="618" t="e">
        <v>#N/A</v>
      </c>
      <c r="T180" s="618"/>
      <c r="U180" s="596"/>
      <c r="V180" s="596"/>
      <c r="W180" s="596"/>
      <c r="X180" s="596"/>
    </row>
    <row r="181" spans="1:24" ht="15.75" customHeight="1">
      <c r="A181" s="595">
        <v>2</v>
      </c>
      <c r="B181" s="596" t="s">
        <v>565</v>
      </c>
      <c r="C181" s="596" t="s">
        <v>560</v>
      </c>
      <c r="D181" s="596" t="s">
        <v>565</v>
      </c>
      <c r="E181" s="596" t="str">
        <f>VLOOKUP(D181,[8]Sheet1!$D$2:$D$239,1,0)</f>
        <v>SG73W3ATTE1R0K</v>
      </c>
      <c r="F181" s="596" t="str">
        <f>VLOOKUP(E181,'[9]EEBOM 512 '!$D$3:$D$169,1,0)</f>
        <v>SG73W3ATTE1R0K</v>
      </c>
      <c r="G181" s="598" t="s">
        <v>1072</v>
      </c>
      <c r="H181" s="596" t="s">
        <v>1293</v>
      </c>
      <c r="I181" s="595" t="s">
        <v>1073</v>
      </c>
      <c r="J181" s="598" t="s">
        <v>1074</v>
      </c>
      <c r="K181" s="595" t="s">
        <v>28</v>
      </c>
      <c r="L181" s="595"/>
      <c r="M181" s="595"/>
      <c r="N181" s="616">
        <v>8.4847000000000006E-2</v>
      </c>
      <c r="O181" s="616">
        <f t="shared" si="4"/>
        <v>8.7816644999999999E-2</v>
      </c>
      <c r="P181" s="616" t="e">
        <f t="shared" si="5"/>
        <v>#N/A</v>
      </c>
      <c r="Q181" s="616"/>
      <c r="R181" s="596" t="s">
        <v>292</v>
      </c>
      <c r="S181" s="618" t="s">
        <v>1092</v>
      </c>
      <c r="T181" s="618"/>
      <c r="U181" s="596"/>
      <c r="V181" s="596"/>
      <c r="W181" s="596"/>
      <c r="X181" s="596"/>
    </row>
    <row r="182" spans="1:24" ht="15.75" customHeight="1">
      <c r="A182" s="595">
        <v>2</v>
      </c>
      <c r="B182" s="596" t="s">
        <v>1295</v>
      </c>
      <c r="C182" s="596" t="s">
        <v>1296</v>
      </c>
      <c r="D182" s="596" t="s">
        <v>1295</v>
      </c>
      <c r="E182" s="596" t="str">
        <f>VLOOKUP(D182,[8]Sheet1!$D$2:$D$239,1,0)</f>
        <v>AC0201FR-0726K7L</v>
      </c>
      <c r="F182" s="596" t="e">
        <f>VLOOKUP(E182,'[9]EEBOM 512 '!$D$3:$D$169,1,0)</f>
        <v>#N/A</v>
      </c>
      <c r="G182" s="598" t="s">
        <v>1072</v>
      </c>
      <c r="H182" s="596" t="s">
        <v>1297</v>
      </c>
      <c r="I182" s="595" t="s">
        <v>1073</v>
      </c>
      <c r="J182" s="598" t="s">
        <v>1074</v>
      </c>
      <c r="K182" s="595" t="s">
        <v>28</v>
      </c>
      <c r="L182" s="595">
        <v>1</v>
      </c>
      <c r="M182" s="595">
        <v>1</v>
      </c>
      <c r="N182" s="616">
        <v>5.9999999999999995E-4</v>
      </c>
      <c r="O182" s="616">
        <f t="shared" si="4"/>
        <v>6.2099999999999992E-4</v>
      </c>
      <c r="P182" s="616" t="e">
        <f t="shared" si="5"/>
        <v>#N/A</v>
      </c>
      <c r="Q182" s="616">
        <f>O182*M182</f>
        <v>6.2099999999999992E-4</v>
      </c>
      <c r="R182" s="596" t="s">
        <v>296</v>
      </c>
      <c r="S182" s="618" t="s">
        <v>1127</v>
      </c>
      <c r="T182" s="618"/>
      <c r="U182" s="596"/>
      <c r="V182" s="596"/>
      <c r="W182" s="596"/>
      <c r="X182" s="596" t="s">
        <v>437</v>
      </c>
    </row>
    <row r="183" spans="1:24" ht="15.75" customHeight="1">
      <c r="A183" s="595">
        <v>2</v>
      </c>
      <c r="B183" s="596" t="s">
        <v>1298</v>
      </c>
      <c r="C183" s="596" t="s">
        <v>1296</v>
      </c>
      <c r="D183" s="596" t="s">
        <v>1298</v>
      </c>
      <c r="E183" s="596" t="str">
        <f>VLOOKUP(D183,[8]Sheet1!$D$2:$D$239,1,0)</f>
        <v>RK73H1HTTC2672F</v>
      </c>
      <c r="F183" s="596" t="e">
        <f>VLOOKUP(E183,'[9]EEBOM 512 '!$D$3:$D$169,1,0)</f>
        <v>#N/A</v>
      </c>
      <c r="G183" s="598" t="s">
        <v>1072</v>
      </c>
      <c r="H183" s="596" t="s">
        <v>1297</v>
      </c>
      <c r="I183" s="595" t="s">
        <v>1073</v>
      </c>
      <c r="J183" s="598" t="s">
        <v>1074</v>
      </c>
      <c r="K183" s="595" t="s">
        <v>28</v>
      </c>
      <c r="L183" s="595"/>
      <c r="M183" s="595"/>
      <c r="N183" s="616">
        <v>1.5139999999999999E-3</v>
      </c>
      <c r="O183" s="616">
        <f t="shared" si="4"/>
        <v>1.5669899999999999E-3</v>
      </c>
      <c r="P183" s="616" t="e">
        <f t="shared" si="5"/>
        <v>#N/A</v>
      </c>
      <c r="Q183" s="616"/>
      <c r="R183" s="596" t="s">
        <v>292</v>
      </c>
      <c r="S183" s="618" t="s">
        <v>1092</v>
      </c>
      <c r="T183" s="618"/>
      <c r="U183" s="596"/>
      <c r="V183" s="596"/>
      <c r="W183" s="596"/>
      <c r="X183" s="596"/>
    </row>
    <row r="184" spans="1:24" ht="15.75" customHeight="1">
      <c r="A184" s="595">
        <v>2</v>
      </c>
      <c r="B184" s="596" t="s">
        <v>1299</v>
      </c>
      <c r="C184" s="596" t="s">
        <v>1296</v>
      </c>
      <c r="D184" s="596" t="s">
        <v>1299</v>
      </c>
      <c r="E184" s="596" t="str">
        <f>VLOOKUP(D184,[8]Sheet1!$D$2:$D$239,1,0)</f>
        <v>RMCH06-2672FPA</v>
      </c>
      <c r="F184" s="596" t="e">
        <f>VLOOKUP(E184,'[9]EEBOM 512 '!$D$3:$D$169,1,0)</f>
        <v>#N/A</v>
      </c>
      <c r="G184" s="598" t="s">
        <v>1072</v>
      </c>
      <c r="H184" s="596" t="s">
        <v>1297</v>
      </c>
      <c r="I184" s="595" t="s">
        <v>1073</v>
      </c>
      <c r="J184" s="598" t="s">
        <v>1074</v>
      </c>
      <c r="K184" s="595" t="s">
        <v>28</v>
      </c>
      <c r="L184" s="595"/>
      <c r="M184" s="595"/>
      <c r="N184" s="616">
        <v>2.7390000000000001E-3</v>
      </c>
      <c r="O184" s="616">
        <f t="shared" si="4"/>
        <v>2.8348649999999998E-3</v>
      </c>
      <c r="P184" s="616" t="e">
        <f t="shared" si="5"/>
        <v>#N/A</v>
      </c>
      <c r="Q184" s="616"/>
      <c r="R184" s="596" t="s">
        <v>294</v>
      </c>
      <c r="S184" s="618" t="s">
        <v>1092</v>
      </c>
      <c r="T184" s="618"/>
      <c r="U184" s="596"/>
      <c r="V184" s="596"/>
      <c r="W184" s="596"/>
      <c r="X184" s="596"/>
    </row>
    <row r="185" spans="1:24" ht="15.75" customHeight="1">
      <c r="A185" s="595">
        <v>2</v>
      </c>
      <c r="B185" s="596" t="s">
        <v>1300</v>
      </c>
      <c r="C185" s="596" t="s">
        <v>1296</v>
      </c>
      <c r="D185" s="596" t="s">
        <v>1300</v>
      </c>
      <c r="E185" s="596" t="str">
        <f>VLOOKUP(D185,[8]Sheet1!$D$2:$D$239,1,0)</f>
        <v>ERJ1GJF2672C</v>
      </c>
      <c r="F185" s="596" t="e">
        <f>VLOOKUP(E185,'[9]EEBOM 512 '!$D$3:$D$169,1,0)</f>
        <v>#N/A</v>
      </c>
      <c r="G185" s="598" t="s">
        <v>1072</v>
      </c>
      <c r="H185" s="596" t="s">
        <v>1297</v>
      </c>
      <c r="I185" s="595" t="s">
        <v>1073</v>
      </c>
      <c r="J185" s="598" t="s">
        <v>1074</v>
      </c>
      <c r="K185" s="595" t="s">
        <v>28</v>
      </c>
      <c r="L185" s="595"/>
      <c r="M185" s="595"/>
      <c r="N185" s="616" t="e">
        <v>#N/A</v>
      </c>
      <c r="O185" s="616" t="e">
        <f t="shared" si="4"/>
        <v>#N/A</v>
      </c>
      <c r="P185" s="616" t="e">
        <f t="shared" si="5"/>
        <v>#N/A</v>
      </c>
      <c r="Q185" s="616"/>
      <c r="R185" s="596" t="s">
        <v>289</v>
      </c>
      <c r="S185" s="618" t="e">
        <v>#N/A</v>
      </c>
      <c r="T185" s="618"/>
      <c r="U185" s="596"/>
      <c r="V185" s="596"/>
      <c r="W185" s="596"/>
      <c r="X185" s="596"/>
    </row>
    <row r="186" spans="1:24" ht="15.75" customHeight="1">
      <c r="A186" s="595">
        <v>2</v>
      </c>
      <c r="B186" s="596" t="s">
        <v>1301</v>
      </c>
      <c r="C186" s="596" t="s">
        <v>1302</v>
      </c>
      <c r="D186" s="596" t="s">
        <v>1301</v>
      </c>
      <c r="E186" s="596" t="str">
        <f>VLOOKUP(D186,[8]Sheet1!$D$2:$D$239,1,0)</f>
        <v>RK73H1HTTC9092D</v>
      </c>
      <c r="F186" s="596" t="e">
        <f>VLOOKUP(E186,'[9]EEBOM 512 '!$D$3:$D$169,1,0)</f>
        <v>#N/A</v>
      </c>
      <c r="G186" s="598" t="s">
        <v>1072</v>
      </c>
      <c r="H186" s="596" t="s">
        <v>1303</v>
      </c>
      <c r="I186" s="595" t="s">
        <v>1073</v>
      </c>
      <c r="J186" s="598" t="s">
        <v>1074</v>
      </c>
      <c r="K186" s="595" t="s">
        <v>28</v>
      </c>
      <c r="L186" s="595">
        <v>1</v>
      </c>
      <c r="M186" s="595"/>
      <c r="N186" s="616">
        <v>1.0999999999999999E-2</v>
      </c>
      <c r="O186" s="616">
        <f t="shared" si="4"/>
        <v>1.1384999999999999E-2</v>
      </c>
      <c r="P186" s="616">
        <f t="shared" si="5"/>
        <v>4.3676999999999952E-4</v>
      </c>
      <c r="Q186" s="616"/>
      <c r="R186" s="596" t="s">
        <v>292</v>
      </c>
      <c r="S186" s="618" t="s">
        <v>1092</v>
      </c>
      <c r="T186" s="618"/>
      <c r="U186" s="596"/>
      <c r="V186" s="596"/>
      <c r="W186" s="596"/>
      <c r="X186" s="596" t="s">
        <v>600</v>
      </c>
    </row>
    <row r="187" spans="1:24" ht="15.75" customHeight="1">
      <c r="A187" s="595">
        <v>2</v>
      </c>
      <c r="B187" s="596" t="s">
        <v>1304</v>
      </c>
      <c r="C187" s="596" t="s">
        <v>1302</v>
      </c>
      <c r="D187" s="596" t="s">
        <v>1304</v>
      </c>
      <c r="E187" s="596" t="str">
        <f>VLOOKUP(D187,[8]Sheet1!$D$2:$D$239,1,0)</f>
        <v>RMCH06-9092DPA</v>
      </c>
      <c r="F187" s="596" t="e">
        <f>VLOOKUP(E187,'[9]EEBOM 512 '!$D$3:$D$169,1,0)</f>
        <v>#N/A</v>
      </c>
      <c r="G187" s="598" t="s">
        <v>1072</v>
      </c>
      <c r="H187" s="596" t="s">
        <v>1303</v>
      </c>
      <c r="I187" s="595" t="s">
        <v>1073</v>
      </c>
      <c r="J187" s="598" t="s">
        <v>1074</v>
      </c>
      <c r="K187" s="595" t="s">
        <v>28</v>
      </c>
      <c r="L187" s="595"/>
      <c r="M187" s="595">
        <v>1</v>
      </c>
      <c r="N187" s="616">
        <v>1.0578000000000001E-2</v>
      </c>
      <c r="O187" s="616">
        <f t="shared" si="4"/>
        <v>1.094823E-2</v>
      </c>
      <c r="P187" s="616">
        <f t="shared" si="5"/>
        <v>0</v>
      </c>
      <c r="Q187" s="616">
        <f>O187*M187</f>
        <v>1.094823E-2</v>
      </c>
      <c r="R187" s="596" t="s">
        <v>294</v>
      </c>
      <c r="S187" s="618" t="s">
        <v>1092</v>
      </c>
      <c r="T187" s="618"/>
      <c r="U187" s="596"/>
      <c r="V187" s="596"/>
      <c r="W187" s="596"/>
      <c r="X187" s="596"/>
    </row>
    <row r="188" spans="1:24" ht="15.75" customHeight="1">
      <c r="A188" s="595">
        <v>2</v>
      </c>
      <c r="B188" s="596" t="s">
        <v>1305</v>
      </c>
      <c r="C188" s="596" t="s">
        <v>1306</v>
      </c>
      <c r="D188" s="596" t="s">
        <v>1305</v>
      </c>
      <c r="E188" s="596" t="str">
        <f>VLOOKUP(D188,[8]Sheet1!$D$2:$D$239,1,0)</f>
        <v>AC0201FR-0757K6L</v>
      </c>
      <c r="F188" s="596" t="e">
        <f>VLOOKUP(E188,'[9]EEBOM 512 '!$D$3:$D$169,1,0)</f>
        <v>#N/A</v>
      </c>
      <c r="G188" s="598" t="s">
        <v>1072</v>
      </c>
      <c r="H188" s="596" t="s">
        <v>1307</v>
      </c>
      <c r="I188" s="595" t="s">
        <v>1073</v>
      </c>
      <c r="J188" s="598" t="s">
        <v>1074</v>
      </c>
      <c r="K188" s="595" t="s">
        <v>28</v>
      </c>
      <c r="L188" s="595">
        <v>1</v>
      </c>
      <c r="M188" s="595">
        <v>1</v>
      </c>
      <c r="N188" s="616">
        <v>5.9999999999999995E-4</v>
      </c>
      <c r="O188" s="616">
        <f t="shared" si="4"/>
        <v>6.2099999999999992E-4</v>
      </c>
      <c r="P188" s="616" t="e">
        <f t="shared" si="5"/>
        <v>#N/A</v>
      </c>
      <c r="Q188" s="616">
        <f>O188*M188</f>
        <v>6.2099999999999992E-4</v>
      </c>
      <c r="R188" s="596" t="s">
        <v>296</v>
      </c>
      <c r="S188" s="618" t="s">
        <v>1127</v>
      </c>
      <c r="T188" s="618"/>
      <c r="U188" s="596"/>
      <c r="V188" s="596"/>
      <c r="W188" s="596"/>
      <c r="X188" s="596" t="s">
        <v>1308</v>
      </c>
    </row>
    <row r="189" spans="1:24" ht="15.75" customHeight="1">
      <c r="A189" s="595">
        <v>2</v>
      </c>
      <c r="B189" s="596" t="s">
        <v>1309</v>
      </c>
      <c r="C189" s="596" t="s">
        <v>1306</v>
      </c>
      <c r="D189" s="596" t="s">
        <v>1309</v>
      </c>
      <c r="E189" s="596" t="str">
        <f>VLOOKUP(D189,[8]Sheet1!$D$2:$D$239,1,0)</f>
        <v>ERJ1GJF5762C</v>
      </c>
      <c r="F189" s="596" t="e">
        <f>VLOOKUP(E189,'[9]EEBOM 512 '!$D$3:$D$169,1,0)</f>
        <v>#N/A</v>
      </c>
      <c r="G189" s="598" t="s">
        <v>1072</v>
      </c>
      <c r="H189" s="596" t="s">
        <v>1307</v>
      </c>
      <c r="I189" s="595" t="s">
        <v>1073</v>
      </c>
      <c r="J189" s="598" t="s">
        <v>1074</v>
      </c>
      <c r="K189" s="595" t="s">
        <v>28</v>
      </c>
      <c r="L189" s="595"/>
      <c r="M189" s="595"/>
      <c r="N189" s="616" t="e">
        <v>#N/A</v>
      </c>
      <c r="O189" s="616" t="e">
        <f t="shared" si="4"/>
        <v>#N/A</v>
      </c>
      <c r="P189" s="616" t="e">
        <f t="shared" si="5"/>
        <v>#N/A</v>
      </c>
      <c r="Q189" s="616"/>
      <c r="R189" s="596" t="s">
        <v>289</v>
      </c>
      <c r="S189" s="618" t="e">
        <v>#N/A</v>
      </c>
      <c r="T189" s="618"/>
      <c r="U189" s="596"/>
      <c r="V189" s="596"/>
      <c r="W189" s="596"/>
      <c r="X189" s="596"/>
    </row>
    <row r="190" spans="1:24" ht="15.75" customHeight="1">
      <c r="A190" s="595">
        <v>2</v>
      </c>
      <c r="B190" s="596" t="s">
        <v>1310</v>
      </c>
      <c r="C190" s="596" t="s">
        <v>1306</v>
      </c>
      <c r="D190" s="596" t="s">
        <v>1310</v>
      </c>
      <c r="E190" s="596" t="str">
        <f>VLOOKUP(D190,[8]Sheet1!$D$2:$D$239,1,0)</f>
        <v>RK73H1HTTC5762F</v>
      </c>
      <c r="F190" s="596" t="e">
        <f>VLOOKUP(E190,'[9]EEBOM 512 '!$D$3:$D$169,1,0)</f>
        <v>#N/A</v>
      </c>
      <c r="G190" s="598" t="s">
        <v>1072</v>
      </c>
      <c r="H190" s="596" t="s">
        <v>1307</v>
      </c>
      <c r="I190" s="595" t="s">
        <v>1073</v>
      </c>
      <c r="J190" s="598" t="s">
        <v>1074</v>
      </c>
      <c r="K190" s="595" t="s">
        <v>28</v>
      </c>
      <c r="L190" s="595"/>
      <c r="M190" s="595"/>
      <c r="N190" s="616">
        <v>1.5139999999999999E-3</v>
      </c>
      <c r="O190" s="616">
        <f t="shared" si="4"/>
        <v>1.5669899999999999E-3</v>
      </c>
      <c r="P190" s="616" t="e">
        <f t="shared" si="5"/>
        <v>#N/A</v>
      </c>
      <c r="Q190" s="616"/>
      <c r="R190" s="596" t="s">
        <v>292</v>
      </c>
      <c r="S190" s="618" t="s">
        <v>1092</v>
      </c>
      <c r="T190" s="618"/>
      <c r="U190" s="596"/>
      <c r="V190" s="596"/>
      <c r="W190" s="596"/>
      <c r="X190" s="596"/>
    </row>
    <row r="191" spans="1:24" ht="15.75" customHeight="1">
      <c r="A191" s="595">
        <v>2</v>
      </c>
      <c r="B191" s="596" t="s">
        <v>1311</v>
      </c>
      <c r="C191" s="596" t="s">
        <v>1306</v>
      </c>
      <c r="D191" s="596" t="s">
        <v>1311</v>
      </c>
      <c r="E191" s="596" t="str">
        <f>VLOOKUP(D191,[8]Sheet1!$D$2:$D$239,1,0)</f>
        <v>RMCH06-5762FPA</v>
      </c>
      <c r="F191" s="596" t="e">
        <f>VLOOKUP(E191,'[9]EEBOM 512 '!$D$3:$D$169,1,0)</f>
        <v>#N/A</v>
      </c>
      <c r="G191" s="598" t="s">
        <v>1072</v>
      </c>
      <c r="H191" s="596" t="s">
        <v>1307</v>
      </c>
      <c r="I191" s="595" t="s">
        <v>1073</v>
      </c>
      <c r="J191" s="598" t="s">
        <v>1074</v>
      </c>
      <c r="K191" s="595" t="s">
        <v>28</v>
      </c>
      <c r="L191" s="595"/>
      <c r="M191" s="595"/>
      <c r="N191" s="616">
        <v>2.7390000000000001E-3</v>
      </c>
      <c r="O191" s="616">
        <f t="shared" si="4"/>
        <v>2.8348649999999998E-3</v>
      </c>
      <c r="P191" s="616" t="e">
        <f t="shared" si="5"/>
        <v>#N/A</v>
      </c>
      <c r="Q191" s="616"/>
      <c r="R191" s="596" t="s">
        <v>294</v>
      </c>
      <c r="S191" s="618" t="s">
        <v>1092</v>
      </c>
      <c r="T191" s="618"/>
      <c r="U191" s="596"/>
      <c r="V191" s="596"/>
      <c r="W191" s="596"/>
      <c r="X191" s="596"/>
    </row>
    <row r="192" spans="1:24" ht="25.5" customHeight="1">
      <c r="A192" s="595">
        <v>2</v>
      </c>
      <c r="B192" s="596" t="s">
        <v>388</v>
      </c>
      <c r="C192" s="596" t="s">
        <v>389</v>
      </c>
      <c r="D192" s="596" t="s">
        <v>388</v>
      </c>
      <c r="E192" s="596" t="str">
        <f>VLOOKUP(D192,[8]Sheet1!$D$2:$D$239,1,0)</f>
        <v>CRCW0603510RFKEA</v>
      </c>
      <c r="F192" s="596" t="str">
        <f>VLOOKUP(E192,'[9]EEBOM 512 '!$D$3:$D$169,1,0)</f>
        <v>CRCW0603510RFKEA</v>
      </c>
      <c r="G192" s="598" t="s">
        <v>1072</v>
      </c>
      <c r="H192" s="596" t="s">
        <v>1312</v>
      </c>
      <c r="I192" s="595" t="s">
        <v>1073</v>
      </c>
      <c r="J192" s="598" t="s">
        <v>1074</v>
      </c>
      <c r="K192" s="595" t="s">
        <v>28</v>
      </c>
      <c r="L192" s="595">
        <v>2</v>
      </c>
      <c r="M192" s="595"/>
      <c r="N192" s="616">
        <v>3.0000000000000001E-3</v>
      </c>
      <c r="O192" s="616">
        <f t="shared" si="4"/>
        <v>3.1049999999999997E-3</v>
      </c>
      <c r="P192" s="616">
        <f t="shared" si="5"/>
        <v>2.4218999999999998E-3</v>
      </c>
      <c r="Q192" s="616"/>
      <c r="R192" s="596" t="s">
        <v>368</v>
      </c>
      <c r="S192" s="618" t="s">
        <v>1081</v>
      </c>
      <c r="T192" s="618"/>
      <c r="U192" s="596"/>
      <c r="V192" s="596"/>
      <c r="W192" s="596"/>
      <c r="X192" s="596" t="s">
        <v>1313</v>
      </c>
    </row>
    <row r="193" spans="1:24" ht="15.75" customHeight="1">
      <c r="A193" s="595">
        <v>2</v>
      </c>
      <c r="B193" s="596" t="s">
        <v>394</v>
      </c>
      <c r="C193" s="596" t="s">
        <v>389</v>
      </c>
      <c r="D193" s="596" t="s">
        <v>394</v>
      </c>
      <c r="E193" s="596" t="str">
        <f>VLOOKUP(D193,[8]Sheet1!$D$2:$D$239,1,0)</f>
        <v>AC0603FR-07510RL</v>
      </c>
      <c r="F193" s="596" t="str">
        <f>VLOOKUP(E193,'[9]EEBOM 512 '!$D$3:$D$169,1,0)</f>
        <v>AC0603FR-07510RL</v>
      </c>
      <c r="G193" s="598" t="s">
        <v>1072</v>
      </c>
      <c r="H193" s="596" t="s">
        <v>1312</v>
      </c>
      <c r="I193" s="595" t="s">
        <v>1073</v>
      </c>
      <c r="J193" s="598" t="s">
        <v>1074</v>
      </c>
      <c r="K193" s="595" t="s">
        <v>28</v>
      </c>
      <c r="L193" s="595"/>
      <c r="M193" s="595">
        <v>2</v>
      </c>
      <c r="N193" s="616">
        <v>6.6E-4</v>
      </c>
      <c r="O193" s="616">
        <f t="shared" si="4"/>
        <v>6.8309999999999996E-4</v>
      </c>
      <c r="P193" s="616">
        <f t="shared" si="5"/>
        <v>0</v>
      </c>
      <c r="Q193" s="616">
        <f>O193*M193</f>
        <v>1.3661999999999999E-3</v>
      </c>
      <c r="R193" s="596" t="s">
        <v>296</v>
      </c>
      <c r="S193" s="618" t="s">
        <v>1076</v>
      </c>
      <c r="T193" s="618"/>
      <c r="U193" s="596"/>
      <c r="V193" s="596"/>
      <c r="W193" s="596"/>
      <c r="X193" s="596"/>
    </row>
    <row r="194" spans="1:24" ht="15.75" customHeight="1">
      <c r="A194" s="595">
        <v>2</v>
      </c>
      <c r="B194" s="596" t="s">
        <v>392</v>
      </c>
      <c r="C194" s="596" t="s">
        <v>389</v>
      </c>
      <c r="D194" s="596" t="s">
        <v>392</v>
      </c>
      <c r="E194" s="596" t="str">
        <f>VLOOKUP(D194,[8]Sheet1!$D$2:$D$239,1,0)</f>
        <v>RK73H1JTTD5100F</v>
      </c>
      <c r="F194" s="596" t="str">
        <f>VLOOKUP(E194,'[9]EEBOM 512 '!$D$3:$D$169,1,0)</f>
        <v>RK73H1JTTD5100F</v>
      </c>
      <c r="G194" s="598" t="s">
        <v>1072</v>
      </c>
      <c r="H194" s="596" t="s">
        <v>1312</v>
      </c>
      <c r="I194" s="595" t="s">
        <v>1073</v>
      </c>
      <c r="J194" s="598" t="s">
        <v>1074</v>
      </c>
      <c r="K194" s="595" t="s">
        <v>28</v>
      </c>
      <c r="L194" s="595"/>
      <c r="M194" s="595"/>
      <c r="N194" s="616">
        <v>1E-3</v>
      </c>
      <c r="O194" s="616">
        <f t="shared" ref="O194:O239" si="6">N194*1.035</f>
        <v>1.0349999999999999E-3</v>
      </c>
      <c r="P194" s="616">
        <f t="shared" si="5"/>
        <v>3.5189999999999993E-4</v>
      </c>
      <c r="Q194" s="616"/>
      <c r="R194" s="596" t="s">
        <v>292</v>
      </c>
      <c r="S194" s="618" t="s">
        <v>1081</v>
      </c>
      <c r="T194" s="618"/>
      <c r="U194" s="596"/>
      <c r="V194" s="596"/>
      <c r="W194" s="596"/>
      <c r="X194" s="596"/>
    </row>
    <row r="195" spans="1:24" ht="15.75" customHeight="1">
      <c r="A195" s="595">
        <v>2</v>
      </c>
      <c r="B195" s="596" t="s">
        <v>393</v>
      </c>
      <c r="C195" s="596" t="s">
        <v>389</v>
      </c>
      <c r="D195" s="596" t="s">
        <v>393</v>
      </c>
      <c r="E195" s="596" t="str">
        <f>VLOOKUP(D195,[8]Sheet1!$D$2:$D$239,1,0)</f>
        <v>RMCH16K511FTP</v>
      </c>
      <c r="F195" s="596" t="str">
        <f>VLOOKUP(E195,'[9]EEBOM 512 '!$D$3:$D$169,1,0)</f>
        <v>RMCH16K511FTP</v>
      </c>
      <c r="G195" s="598" t="s">
        <v>1072</v>
      </c>
      <c r="H195" s="596" t="s">
        <v>1312</v>
      </c>
      <c r="I195" s="595" t="s">
        <v>1073</v>
      </c>
      <c r="J195" s="598" t="s">
        <v>1074</v>
      </c>
      <c r="K195" s="595" t="s">
        <v>28</v>
      </c>
      <c r="L195" s="595"/>
      <c r="M195" s="595"/>
      <c r="N195" s="616">
        <v>1.4499999999999999E-3</v>
      </c>
      <c r="O195" s="616">
        <f t="shared" si="6"/>
        <v>1.5007499999999997E-3</v>
      </c>
      <c r="P195" s="616">
        <f t="shared" ref="P195:P239" si="7">O195-_xlfn.MINIFS(O:O,C:C,C195)</f>
        <v>8.1764999999999974E-4</v>
      </c>
      <c r="Q195" s="616"/>
      <c r="R195" s="596" t="s">
        <v>294</v>
      </c>
      <c r="S195" s="618" t="s">
        <v>1230</v>
      </c>
      <c r="T195" s="618"/>
      <c r="U195" s="596"/>
      <c r="V195" s="596"/>
      <c r="W195" s="596"/>
      <c r="X195" s="596"/>
    </row>
    <row r="196" spans="1:24" ht="15.75" customHeight="1">
      <c r="A196" s="595">
        <v>2</v>
      </c>
      <c r="B196" s="596" t="s">
        <v>1314</v>
      </c>
      <c r="C196" s="596" t="s">
        <v>1315</v>
      </c>
      <c r="D196" s="596" t="s">
        <v>1314</v>
      </c>
      <c r="E196" s="596" t="str">
        <f>VLOOKUP(D196,[8]Sheet1!$D$2:$D$239,1,0)</f>
        <v>AC0201FR-0714K7L</v>
      </c>
      <c r="F196" s="596" t="e">
        <f>VLOOKUP(E196,'[9]EEBOM 512 '!$D$3:$D$169,1,0)</f>
        <v>#N/A</v>
      </c>
      <c r="G196" s="598" t="s">
        <v>1072</v>
      </c>
      <c r="H196" s="596" t="s">
        <v>1316</v>
      </c>
      <c r="I196" s="595" t="s">
        <v>1073</v>
      </c>
      <c r="J196" s="598" t="s">
        <v>1074</v>
      </c>
      <c r="K196" s="595" t="s">
        <v>28</v>
      </c>
      <c r="L196" s="595">
        <v>1</v>
      </c>
      <c r="M196" s="595">
        <v>1</v>
      </c>
      <c r="N196" s="616">
        <v>5.9999999999999995E-4</v>
      </c>
      <c r="O196" s="616">
        <f t="shared" si="6"/>
        <v>6.2099999999999992E-4</v>
      </c>
      <c r="P196" s="616" t="e">
        <f t="shared" si="7"/>
        <v>#N/A</v>
      </c>
      <c r="Q196" s="616">
        <f>O196*M196</f>
        <v>6.2099999999999992E-4</v>
      </c>
      <c r="R196" s="596" t="s">
        <v>296</v>
      </c>
      <c r="S196" s="618" t="s">
        <v>1127</v>
      </c>
      <c r="T196" s="618"/>
      <c r="U196" s="596"/>
      <c r="V196" s="596"/>
      <c r="W196" s="596"/>
      <c r="X196" s="596" t="s">
        <v>1317</v>
      </c>
    </row>
    <row r="197" spans="1:24" ht="15.75" customHeight="1">
      <c r="A197" s="595">
        <v>2</v>
      </c>
      <c r="B197" s="596" t="s">
        <v>1318</v>
      </c>
      <c r="C197" s="596" t="s">
        <v>1315</v>
      </c>
      <c r="D197" s="596" t="s">
        <v>1318</v>
      </c>
      <c r="E197" s="596" t="str">
        <f>VLOOKUP(D197,[8]Sheet1!$D$2:$D$239,1,0)</f>
        <v>RK73H1HTTC1472F</v>
      </c>
      <c r="F197" s="596" t="e">
        <f>VLOOKUP(E197,'[9]EEBOM 512 '!$D$3:$D$169,1,0)</f>
        <v>#N/A</v>
      </c>
      <c r="G197" s="598" t="s">
        <v>1072</v>
      </c>
      <c r="H197" s="596" t="s">
        <v>1316</v>
      </c>
      <c r="I197" s="595" t="s">
        <v>1073</v>
      </c>
      <c r="J197" s="598" t="s">
        <v>1074</v>
      </c>
      <c r="K197" s="595" t="s">
        <v>28</v>
      </c>
      <c r="L197" s="595"/>
      <c r="M197" s="595"/>
      <c r="N197" s="616">
        <v>1.5139999999999999E-3</v>
      </c>
      <c r="O197" s="616">
        <f t="shared" si="6"/>
        <v>1.5669899999999999E-3</v>
      </c>
      <c r="P197" s="616" t="e">
        <f t="shared" si="7"/>
        <v>#N/A</v>
      </c>
      <c r="Q197" s="616"/>
      <c r="R197" s="596" t="s">
        <v>292</v>
      </c>
      <c r="S197" s="618" t="s">
        <v>1092</v>
      </c>
      <c r="T197" s="618"/>
      <c r="U197" s="596"/>
      <c r="V197" s="596"/>
      <c r="W197" s="596"/>
      <c r="X197" s="596"/>
    </row>
    <row r="198" spans="1:24" ht="15.75" customHeight="1">
      <c r="A198" s="595">
        <v>2</v>
      </c>
      <c r="B198" s="596" t="s">
        <v>1319</v>
      </c>
      <c r="C198" s="596" t="s">
        <v>1315</v>
      </c>
      <c r="D198" s="596" t="s">
        <v>1319</v>
      </c>
      <c r="E198" s="596" t="str">
        <f>VLOOKUP(D198,[8]Sheet1!$D$2:$D$239,1,0)</f>
        <v>RMCH06-1472FPA</v>
      </c>
      <c r="F198" s="596" t="e">
        <f>VLOOKUP(E198,'[9]EEBOM 512 '!$D$3:$D$169,1,0)</f>
        <v>#N/A</v>
      </c>
      <c r="G198" s="598" t="s">
        <v>1072</v>
      </c>
      <c r="H198" s="596" t="s">
        <v>1316</v>
      </c>
      <c r="I198" s="595" t="s">
        <v>1073</v>
      </c>
      <c r="J198" s="598" t="s">
        <v>1074</v>
      </c>
      <c r="K198" s="595" t="s">
        <v>28</v>
      </c>
      <c r="L198" s="595"/>
      <c r="M198" s="595"/>
      <c r="N198" s="616">
        <v>2.7390000000000001E-3</v>
      </c>
      <c r="O198" s="616">
        <f t="shared" si="6"/>
        <v>2.8348649999999998E-3</v>
      </c>
      <c r="P198" s="616" t="e">
        <f t="shared" si="7"/>
        <v>#N/A</v>
      </c>
      <c r="Q198" s="616"/>
      <c r="R198" s="596" t="s">
        <v>294</v>
      </c>
      <c r="S198" s="618" t="s">
        <v>1092</v>
      </c>
      <c r="T198" s="618"/>
      <c r="U198" s="596"/>
      <c r="V198" s="596"/>
      <c r="W198" s="596"/>
      <c r="X198" s="596"/>
    </row>
    <row r="199" spans="1:24" ht="15.75" customHeight="1">
      <c r="A199" s="595">
        <v>2</v>
      </c>
      <c r="B199" s="596" t="s">
        <v>1320</v>
      </c>
      <c r="C199" s="596" t="s">
        <v>1315</v>
      </c>
      <c r="D199" s="596" t="s">
        <v>1320</v>
      </c>
      <c r="E199" s="596" t="str">
        <f>VLOOKUP(D199,[8]Sheet1!$D$2:$D$239,1,0)</f>
        <v>ERJ1GJF1472C</v>
      </c>
      <c r="F199" s="596" t="e">
        <f>VLOOKUP(E199,'[9]EEBOM 512 '!$D$3:$D$169,1,0)</f>
        <v>#N/A</v>
      </c>
      <c r="G199" s="598" t="s">
        <v>1072</v>
      </c>
      <c r="H199" s="596" t="s">
        <v>1316</v>
      </c>
      <c r="I199" s="595" t="s">
        <v>1073</v>
      </c>
      <c r="J199" s="598" t="s">
        <v>1074</v>
      </c>
      <c r="K199" s="595" t="s">
        <v>28</v>
      </c>
      <c r="L199" s="595"/>
      <c r="M199" s="595"/>
      <c r="N199" s="616" t="e">
        <v>#N/A</v>
      </c>
      <c r="O199" s="616" t="e">
        <f t="shared" si="6"/>
        <v>#N/A</v>
      </c>
      <c r="P199" s="616" t="e">
        <f t="shared" si="7"/>
        <v>#N/A</v>
      </c>
      <c r="Q199" s="616"/>
      <c r="R199" s="596" t="s">
        <v>289</v>
      </c>
      <c r="S199" s="618" t="e">
        <v>#N/A</v>
      </c>
      <c r="T199" s="618"/>
      <c r="U199" s="596"/>
      <c r="V199" s="596"/>
      <c r="W199" s="596"/>
      <c r="X199" s="596"/>
    </row>
    <row r="200" spans="1:24" ht="15.75" customHeight="1">
      <c r="A200" s="595">
        <v>2</v>
      </c>
      <c r="B200" s="596" t="s">
        <v>449</v>
      </c>
      <c r="C200" s="596" t="s">
        <v>441</v>
      </c>
      <c r="D200" s="596" t="s">
        <v>449</v>
      </c>
      <c r="E200" s="596" t="str">
        <f>VLOOKUP(D200,[8]Sheet1!$D$2:$D$239,1,0)</f>
        <v>AC0201FR-0711KL</v>
      </c>
      <c r="F200" s="596" t="str">
        <f>VLOOKUP(E200,'[9]EEBOM 512 '!$D$3:$D$169,1,0)</f>
        <v>AC0201FR-0711KL</v>
      </c>
      <c r="G200" s="598" t="s">
        <v>1072</v>
      </c>
      <c r="H200" s="596" t="s">
        <v>1321</v>
      </c>
      <c r="I200" s="595" t="s">
        <v>1073</v>
      </c>
      <c r="J200" s="598" t="s">
        <v>1074</v>
      </c>
      <c r="K200" s="595" t="s">
        <v>28</v>
      </c>
      <c r="L200" s="595">
        <v>1</v>
      </c>
      <c r="M200" s="595">
        <v>1</v>
      </c>
      <c r="N200" s="616">
        <v>5.9999999999999995E-4</v>
      </c>
      <c r="O200" s="616">
        <f t="shared" si="6"/>
        <v>6.2099999999999992E-4</v>
      </c>
      <c r="P200" s="616">
        <f t="shared" si="7"/>
        <v>0</v>
      </c>
      <c r="Q200" s="616">
        <f>O200*M200</f>
        <v>6.2099999999999992E-4</v>
      </c>
      <c r="R200" s="596" t="s">
        <v>296</v>
      </c>
      <c r="S200" s="618" t="s">
        <v>1127</v>
      </c>
      <c r="T200" s="618"/>
      <c r="U200" s="596"/>
      <c r="V200" s="596"/>
      <c r="W200" s="596"/>
      <c r="X200" s="596" t="s">
        <v>1322</v>
      </c>
    </row>
    <row r="201" spans="1:24" ht="15.75" customHeight="1">
      <c r="A201" s="595">
        <v>2</v>
      </c>
      <c r="B201" s="596" t="s">
        <v>445</v>
      </c>
      <c r="C201" s="596" t="s">
        <v>441</v>
      </c>
      <c r="D201" s="596" t="s">
        <v>445</v>
      </c>
      <c r="E201" s="596" t="str">
        <f>VLOOKUP(D201,[8]Sheet1!$D$2:$D$239,1,0)</f>
        <v>RK73H1HTTC1102F</v>
      </c>
      <c r="F201" s="596" t="str">
        <f>VLOOKUP(E201,'[9]EEBOM 512 '!$D$3:$D$169,1,0)</f>
        <v>RK73H1HTTC1102F</v>
      </c>
      <c r="G201" s="598" t="s">
        <v>1072</v>
      </c>
      <c r="H201" s="596" t="s">
        <v>1321</v>
      </c>
      <c r="I201" s="595" t="s">
        <v>1073</v>
      </c>
      <c r="J201" s="598" t="s">
        <v>1074</v>
      </c>
      <c r="K201" s="595" t="s">
        <v>28</v>
      </c>
      <c r="L201" s="595"/>
      <c r="M201" s="595"/>
      <c r="N201" s="616">
        <v>1.5139999999999999E-3</v>
      </c>
      <c r="O201" s="616">
        <f t="shared" si="6"/>
        <v>1.5669899999999999E-3</v>
      </c>
      <c r="P201" s="616">
        <f t="shared" si="7"/>
        <v>9.4598999999999996E-4</v>
      </c>
      <c r="Q201" s="616"/>
      <c r="R201" s="596" t="s">
        <v>292</v>
      </c>
      <c r="S201" s="618" t="s">
        <v>1092</v>
      </c>
      <c r="T201" s="618"/>
      <c r="U201" s="596"/>
      <c r="V201" s="596"/>
      <c r="W201" s="596"/>
      <c r="X201" s="596"/>
    </row>
    <row r="202" spans="1:24" ht="15.75" customHeight="1">
      <c r="A202" s="595">
        <v>2</v>
      </c>
      <c r="B202" s="596" t="s">
        <v>448</v>
      </c>
      <c r="C202" s="596" t="s">
        <v>441</v>
      </c>
      <c r="D202" s="596" t="s">
        <v>448</v>
      </c>
      <c r="E202" s="596" t="str">
        <f>VLOOKUP(D202,[8]Sheet1!$D$2:$D$239,1,0)</f>
        <v>RMCH06-113FPA</v>
      </c>
      <c r="F202" s="596" t="str">
        <f>VLOOKUP(E202,'[9]EEBOM 512 '!$D$3:$D$169,1,0)</f>
        <v>RMCH06-113FPA</v>
      </c>
      <c r="G202" s="598" t="s">
        <v>1072</v>
      </c>
      <c r="H202" s="596" t="s">
        <v>1321</v>
      </c>
      <c r="I202" s="595" t="s">
        <v>1073</v>
      </c>
      <c r="J202" s="598" t="s">
        <v>1074</v>
      </c>
      <c r="K202" s="595" t="s">
        <v>28</v>
      </c>
      <c r="L202" s="595"/>
      <c r="M202" s="595"/>
      <c r="N202" s="616">
        <v>2.7390000000000001E-3</v>
      </c>
      <c r="O202" s="616">
        <f t="shared" si="6"/>
        <v>2.8348649999999998E-3</v>
      </c>
      <c r="P202" s="616">
        <f t="shared" si="7"/>
        <v>2.2138649999999998E-3</v>
      </c>
      <c r="Q202" s="616"/>
      <c r="R202" s="596" t="s">
        <v>294</v>
      </c>
      <c r="S202" s="618" t="s">
        <v>1092</v>
      </c>
      <c r="T202" s="618"/>
      <c r="U202" s="596"/>
      <c r="V202" s="596"/>
      <c r="W202" s="596"/>
      <c r="X202" s="596"/>
    </row>
    <row r="203" spans="1:24" ht="15.75" customHeight="1">
      <c r="A203" s="595">
        <v>2</v>
      </c>
      <c r="B203" s="596" t="s">
        <v>447</v>
      </c>
      <c r="C203" s="596" t="s">
        <v>441</v>
      </c>
      <c r="D203" s="596" t="s">
        <v>447</v>
      </c>
      <c r="E203" s="596" t="str">
        <f>VLOOKUP(D203,[8]Sheet1!$D$2:$D$239,1,0)</f>
        <v>ERJ1GJF1102C</v>
      </c>
      <c r="F203" s="596" t="str">
        <f>VLOOKUP(E203,'[9]EEBOM 512 '!$D$3:$D$169,1,0)</f>
        <v>ERJ1GJF1102C</v>
      </c>
      <c r="G203" s="598" t="s">
        <v>1072</v>
      </c>
      <c r="H203" s="596" t="s">
        <v>1321</v>
      </c>
      <c r="I203" s="595" t="s">
        <v>1073</v>
      </c>
      <c r="J203" s="598" t="s">
        <v>1074</v>
      </c>
      <c r="K203" s="595" t="s">
        <v>28</v>
      </c>
      <c r="L203" s="595"/>
      <c r="M203" s="595"/>
      <c r="N203" s="616">
        <v>1.4800000000000001E-2</v>
      </c>
      <c r="O203" s="616">
        <f t="shared" si="6"/>
        <v>1.5318E-2</v>
      </c>
      <c r="P203" s="616">
        <f t="shared" si="7"/>
        <v>1.4697E-2</v>
      </c>
      <c r="Q203" s="616"/>
      <c r="R203" s="596" t="s">
        <v>289</v>
      </c>
      <c r="S203" s="618" t="s">
        <v>1129</v>
      </c>
      <c r="T203" s="618"/>
      <c r="U203" s="596"/>
      <c r="V203" s="596"/>
      <c r="W203" s="596"/>
      <c r="X203" s="596"/>
    </row>
    <row r="204" spans="1:24" ht="15.75" customHeight="1">
      <c r="A204" s="595">
        <v>2</v>
      </c>
      <c r="B204" s="596" t="s">
        <v>1323</v>
      </c>
      <c r="C204" s="596" t="s">
        <v>1324</v>
      </c>
      <c r="D204" s="596" t="s">
        <v>1323</v>
      </c>
      <c r="E204" s="596" t="str">
        <f>VLOOKUP(D204,[8]Sheet1!$D$2:$D$239,1,0)</f>
        <v>AC0201FR-072K2L</v>
      </c>
      <c r="F204" s="596" t="e">
        <f>VLOOKUP(E204,'[9]EEBOM 512 '!$D$3:$D$169,1,0)</f>
        <v>#N/A</v>
      </c>
      <c r="G204" s="598" t="s">
        <v>1072</v>
      </c>
      <c r="H204" s="596" t="s">
        <v>1325</v>
      </c>
      <c r="I204" s="595" t="s">
        <v>1073</v>
      </c>
      <c r="J204" s="598" t="s">
        <v>1074</v>
      </c>
      <c r="K204" s="595" t="s">
        <v>28</v>
      </c>
      <c r="L204" s="595">
        <v>3</v>
      </c>
      <c r="M204" s="595">
        <v>3</v>
      </c>
      <c r="N204" s="616">
        <v>5.9999999999999995E-4</v>
      </c>
      <c r="O204" s="616">
        <f t="shared" si="6"/>
        <v>6.2099999999999992E-4</v>
      </c>
      <c r="P204" s="616" t="e">
        <f t="shared" si="7"/>
        <v>#N/A</v>
      </c>
      <c r="Q204" s="616">
        <f>O204*M204</f>
        <v>1.8629999999999996E-3</v>
      </c>
      <c r="R204" s="596" t="s">
        <v>296</v>
      </c>
      <c r="S204" s="618" t="s">
        <v>1127</v>
      </c>
      <c r="T204" s="618"/>
      <c r="U204" s="596"/>
      <c r="V204" s="596"/>
      <c r="W204" s="596"/>
      <c r="X204" s="596" t="s">
        <v>1326</v>
      </c>
    </row>
    <row r="205" spans="1:24" ht="15.75" customHeight="1">
      <c r="A205" s="595">
        <v>2</v>
      </c>
      <c r="B205" s="596" t="s">
        <v>1327</v>
      </c>
      <c r="C205" s="596" t="s">
        <v>1324</v>
      </c>
      <c r="D205" s="596" t="s">
        <v>1327</v>
      </c>
      <c r="E205" s="596" t="str">
        <f>VLOOKUP(D205,[8]Sheet1!$D$2:$D$239,1,0)</f>
        <v>RK73H1HTTC2201F</v>
      </c>
      <c r="F205" s="596" t="e">
        <f>VLOOKUP(E205,'[9]EEBOM 512 '!$D$3:$D$169,1,0)</f>
        <v>#N/A</v>
      </c>
      <c r="G205" s="598" t="s">
        <v>1072</v>
      </c>
      <c r="H205" s="596" t="s">
        <v>1325</v>
      </c>
      <c r="I205" s="595" t="s">
        <v>1073</v>
      </c>
      <c r="J205" s="598" t="s">
        <v>1074</v>
      </c>
      <c r="K205" s="595" t="s">
        <v>28</v>
      </c>
      <c r="L205" s="595"/>
      <c r="M205" s="595"/>
      <c r="N205" s="616">
        <v>1.5139999999999999E-3</v>
      </c>
      <c r="O205" s="616">
        <f t="shared" si="6"/>
        <v>1.5669899999999999E-3</v>
      </c>
      <c r="P205" s="616" t="e">
        <f t="shared" si="7"/>
        <v>#N/A</v>
      </c>
      <c r="Q205" s="616"/>
      <c r="R205" s="596" t="s">
        <v>292</v>
      </c>
      <c r="S205" s="618" t="s">
        <v>1092</v>
      </c>
      <c r="T205" s="618"/>
      <c r="U205" s="596"/>
      <c r="V205" s="596"/>
      <c r="W205" s="596"/>
      <c r="X205" s="596"/>
    </row>
    <row r="206" spans="1:24" ht="15.75" customHeight="1">
      <c r="A206" s="595">
        <v>2</v>
      </c>
      <c r="B206" s="596" t="s">
        <v>1328</v>
      </c>
      <c r="C206" s="596" t="s">
        <v>1324</v>
      </c>
      <c r="D206" s="596" t="s">
        <v>1328</v>
      </c>
      <c r="E206" s="596" t="str">
        <f>VLOOKUP(D206,[8]Sheet1!$D$2:$D$239,1,0)</f>
        <v>RMCH06-222FPA</v>
      </c>
      <c r="F206" s="596" t="e">
        <f>VLOOKUP(E206,'[9]EEBOM 512 '!$D$3:$D$169,1,0)</f>
        <v>#N/A</v>
      </c>
      <c r="G206" s="598" t="s">
        <v>1072</v>
      </c>
      <c r="H206" s="596" t="s">
        <v>1325</v>
      </c>
      <c r="I206" s="595" t="s">
        <v>1073</v>
      </c>
      <c r="J206" s="598" t="s">
        <v>1074</v>
      </c>
      <c r="K206" s="595" t="s">
        <v>28</v>
      </c>
      <c r="L206" s="595"/>
      <c r="M206" s="595"/>
      <c r="N206" s="616">
        <v>2.7390000000000001E-3</v>
      </c>
      <c r="O206" s="616">
        <f t="shared" si="6"/>
        <v>2.8348649999999998E-3</v>
      </c>
      <c r="P206" s="616" t="e">
        <f t="shared" si="7"/>
        <v>#N/A</v>
      </c>
      <c r="Q206" s="616"/>
      <c r="R206" s="596" t="s">
        <v>294</v>
      </c>
      <c r="S206" s="618" t="s">
        <v>1092</v>
      </c>
      <c r="T206" s="618"/>
      <c r="U206" s="596"/>
      <c r="V206" s="596"/>
      <c r="W206" s="596"/>
      <c r="X206" s="596"/>
    </row>
    <row r="207" spans="1:24" ht="15.75" customHeight="1">
      <c r="A207" s="595">
        <v>2</v>
      </c>
      <c r="B207" s="596" t="s">
        <v>1329</v>
      </c>
      <c r="C207" s="596" t="s">
        <v>1324</v>
      </c>
      <c r="D207" s="596" t="s">
        <v>1329</v>
      </c>
      <c r="E207" s="596" t="str">
        <f>VLOOKUP(D207,[8]Sheet1!$D$2:$D$239,1,0)</f>
        <v>ERJ1GJF2201C</v>
      </c>
      <c r="F207" s="596" t="e">
        <f>VLOOKUP(E207,'[9]EEBOM 512 '!$D$3:$D$169,1,0)</f>
        <v>#N/A</v>
      </c>
      <c r="G207" s="598" t="s">
        <v>1072</v>
      </c>
      <c r="H207" s="596" t="s">
        <v>1325</v>
      </c>
      <c r="I207" s="595" t="s">
        <v>1073</v>
      </c>
      <c r="J207" s="598" t="s">
        <v>1074</v>
      </c>
      <c r="K207" s="595" t="s">
        <v>28</v>
      </c>
      <c r="L207" s="595"/>
      <c r="M207" s="595"/>
      <c r="N207" s="616" t="e">
        <v>#N/A</v>
      </c>
      <c r="O207" s="616" t="e">
        <f t="shared" si="6"/>
        <v>#N/A</v>
      </c>
      <c r="P207" s="616" t="e">
        <f t="shared" si="7"/>
        <v>#N/A</v>
      </c>
      <c r="Q207" s="616"/>
      <c r="R207" s="596" t="s">
        <v>289</v>
      </c>
      <c r="S207" s="618" t="e">
        <v>#N/A</v>
      </c>
      <c r="T207" s="618"/>
      <c r="U207" s="596"/>
      <c r="V207" s="596"/>
      <c r="W207" s="596"/>
      <c r="X207" s="596"/>
    </row>
    <row r="208" spans="1:24">
      <c r="A208" s="595">
        <v>2</v>
      </c>
      <c r="B208" s="596" t="s">
        <v>1330</v>
      </c>
      <c r="C208" s="596" t="s">
        <v>1331</v>
      </c>
      <c r="D208" s="596" t="s">
        <v>1330</v>
      </c>
      <c r="E208" s="596" t="str">
        <f>VLOOKUP(D208,[8]Sheet1!$D$2:$D$239,1,0)</f>
        <v>AC0201FR-07330KL</v>
      </c>
      <c r="F208" s="596" t="e">
        <f>VLOOKUP(E208,'[9]EEBOM 512 '!$D$3:$D$169,1,0)</f>
        <v>#N/A</v>
      </c>
      <c r="G208" s="598" t="s">
        <v>1072</v>
      </c>
      <c r="H208" s="596" t="s">
        <v>1332</v>
      </c>
      <c r="I208" s="595" t="s">
        <v>1073</v>
      </c>
      <c r="J208" s="598" t="s">
        <v>1074</v>
      </c>
      <c r="K208" s="595" t="s">
        <v>28</v>
      </c>
      <c r="L208" s="595">
        <v>1</v>
      </c>
      <c r="M208" s="595">
        <v>1</v>
      </c>
      <c r="N208" s="616">
        <v>5.9999999999999995E-4</v>
      </c>
      <c r="O208" s="616">
        <f t="shared" si="6"/>
        <v>6.2099999999999992E-4</v>
      </c>
      <c r="P208" s="616" t="e">
        <f t="shared" si="7"/>
        <v>#N/A</v>
      </c>
      <c r="Q208" s="616">
        <f>O208*M208</f>
        <v>6.2099999999999992E-4</v>
      </c>
      <c r="R208" s="596" t="s">
        <v>296</v>
      </c>
      <c r="S208" s="618" t="s">
        <v>1127</v>
      </c>
      <c r="T208" s="618"/>
      <c r="U208" s="596"/>
      <c r="V208" s="596"/>
      <c r="W208" s="596"/>
      <c r="X208" s="596" t="s">
        <v>1333</v>
      </c>
    </row>
    <row r="209" spans="1:24" ht="15.75" customHeight="1">
      <c r="A209" s="595">
        <v>2</v>
      </c>
      <c r="B209" s="596" t="s">
        <v>1334</v>
      </c>
      <c r="C209" s="596" t="s">
        <v>1331</v>
      </c>
      <c r="D209" s="596" t="s">
        <v>1334</v>
      </c>
      <c r="E209" s="596" t="str">
        <f>VLOOKUP(D209,[8]Sheet1!$D$2:$D$239,1,0)</f>
        <v>RK73H1HTTC3303F</v>
      </c>
      <c r="F209" s="596" t="e">
        <f>VLOOKUP(E209,'[9]EEBOM 512 '!$D$3:$D$169,1,0)</f>
        <v>#N/A</v>
      </c>
      <c r="G209" s="598" t="s">
        <v>1072</v>
      </c>
      <c r="H209" s="596" t="s">
        <v>1332</v>
      </c>
      <c r="I209" s="595" t="s">
        <v>1073</v>
      </c>
      <c r="J209" s="598" t="s">
        <v>1074</v>
      </c>
      <c r="K209" s="595" t="s">
        <v>28</v>
      </c>
      <c r="L209" s="595"/>
      <c r="M209" s="595"/>
      <c r="N209" s="616">
        <v>1.5139999999999999E-3</v>
      </c>
      <c r="O209" s="616">
        <f t="shared" si="6"/>
        <v>1.5669899999999999E-3</v>
      </c>
      <c r="P209" s="616" t="e">
        <f t="shared" si="7"/>
        <v>#N/A</v>
      </c>
      <c r="Q209" s="616"/>
      <c r="R209" s="596" t="s">
        <v>292</v>
      </c>
      <c r="S209" s="618" t="s">
        <v>1092</v>
      </c>
      <c r="T209" s="618"/>
      <c r="U209" s="596"/>
      <c r="V209" s="596"/>
      <c r="W209" s="596"/>
      <c r="X209" s="596"/>
    </row>
    <row r="210" spans="1:24" ht="15.75" customHeight="1">
      <c r="A210" s="595">
        <v>2</v>
      </c>
      <c r="B210" s="596" t="s">
        <v>1335</v>
      </c>
      <c r="C210" s="596" t="s">
        <v>1331</v>
      </c>
      <c r="D210" s="596" t="s">
        <v>1335</v>
      </c>
      <c r="E210" s="596" t="str">
        <f>VLOOKUP(D210,[8]Sheet1!$D$2:$D$239,1,0)</f>
        <v>ERJ1GJF3303C</v>
      </c>
      <c r="F210" s="596" t="e">
        <f>VLOOKUP(E210,'[9]EEBOM 512 '!$D$3:$D$169,1,0)</f>
        <v>#N/A</v>
      </c>
      <c r="G210" s="598" t="s">
        <v>1072</v>
      </c>
      <c r="H210" s="596" t="s">
        <v>1332</v>
      </c>
      <c r="I210" s="595" t="s">
        <v>1073</v>
      </c>
      <c r="J210" s="598" t="s">
        <v>1074</v>
      </c>
      <c r="K210" s="595" t="s">
        <v>28</v>
      </c>
      <c r="L210" s="595"/>
      <c r="M210" s="595"/>
      <c r="N210" s="616" t="e">
        <v>#N/A</v>
      </c>
      <c r="O210" s="616" t="e">
        <f t="shared" si="6"/>
        <v>#N/A</v>
      </c>
      <c r="P210" s="616" t="e">
        <f t="shared" si="7"/>
        <v>#N/A</v>
      </c>
      <c r="Q210" s="616"/>
      <c r="R210" s="596" t="s">
        <v>289</v>
      </c>
      <c r="S210" s="618" t="e">
        <v>#N/A</v>
      </c>
      <c r="T210" s="618"/>
      <c r="U210" s="596"/>
      <c r="V210" s="596"/>
      <c r="W210" s="596"/>
      <c r="X210" s="596"/>
    </row>
    <row r="211" spans="1:24" ht="15.75" customHeight="1">
      <c r="A211" s="595">
        <v>2</v>
      </c>
      <c r="B211" s="596" t="s">
        <v>1336</v>
      </c>
      <c r="C211" s="596" t="s">
        <v>1331</v>
      </c>
      <c r="D211" s="596" t="s">
        <v>1336</v>
      </c>
      <c r="E211" s="596" t="str">
        <f>VLOOKUP(D211,[8]Sheet1!$D$2:$D$239,1,0)</f>
        <v>RMCH06-334FPA</v>
      </c>
      <c r="F211" s="596" t="e">
        <f>VLOOKUP(E211,'[9]EEBOM 512 '!$D$3:$D$169,1,0)</f>
        <v>#N/A</v>
      </c>
      <c r="G211" s="598" t="s">
        <v>1072</v>
      </c>
      <c r="H211" s="596" t="s">
        <v>1332</v>
      </c>
      <c r="I211" s="595" t="s">
        <v>1073</v>
      </c>
      <c r="J211" s="598" t="s">
        <v>1074</v>
      </c>
      <c r="K211" s="595" t="s">
        <v>28</v>
      </c>
      <c r="L211" s="595"/>
      <c r="M211" s="595"/>
      <c r="N211" s="616">
        <v>2.7390000000000001E-3</v>
      </c>
      <c r="O211" s="616">
        <f t="shared" si="6"/>
        <v>2.8348649999999998E-3</v>
      </c>
      <c r="P211" s="616" t="e">
        <f t="shared" si="7"/>
        <v>#N/A</v>
      </c>
      <c r="Q211" s="616"/>
      <c r="R211" s="596" t="s">
        <v>294</v>
      </c>
      <c r="S211" s="618" t="s">
        <v>1092</v>
      </c>
      <c r="T211" s="618"/>
      <c r="U211" s="596"/>
      <c r="V211" s="596"/>
      <c r="W211" s="596"/>
      <c r="X211" s="596"/>
    </row>
    <row r="212" spans="1:24" ht="15.75" customHeight="1">
      <c r="A212" s="595">
        <v>2</v>
      </c>
      <c r="B212" s="596" t="s">
        <v>1337</v>
      </c>
      <c r="C212" s="596" t="s">
        <v>1338</v>
      </c>
      <c r="D212" s="596" t="s">
        <v>1337</v>
      </c>
      <c r="E212" s="596" t="str">
        <f>VLOOKUP(D212,[8]Sheet1!$D$2:$D$239,1,0)</f>
        <v>CRCW0603220KFKEA</v>
      </c>
      <c r="F212" s="596" t="e">
        <f>VLOOKUP(E212,'[9]EEBOM 512 '!$D$3:$D$169,1,0)</f>
        <v>#N/A</v>
      </c>
      <c r="G212" s="598" t="s">
        <v>1072</v>
      </c>
      <c r="H212" s="596" t="s">
        <v>1339</v>
      </c>
      <c r="I212" s="595" t="s">
        <v>1073</v>
      </c>
      <c r="J212" s="598" t="s">
        <v>1074</v>
      </c>
      <c r="K212" s="595" t="s">
        <v>28</v>
      </c>
      <c r="L212" s="595">
        <v>1</v>
      </c>
      <c r="M212" s="595"/>
      <c r="N212" s="616">
        <v>9.5600000000000004E-4</v>
      </c>
      <c r="O212" s="616">
        <f t="shared" si="6"/>
        <v>9.8945999999999995E-4</v>
      </c>
      <c r="P212" s="616">
        <f t="shared" si="7"/>
        <v>3.6846000000000003E-4</v>
      </c>
      <c r="Q212" s="616"/>
      <c r="R212" s="596" t="s">
        <v>368</v>
      </c>
      <c r="S212" s="618" t="s">
        <v>1092</v>
      </c>
      <c r="T212" s="618"/>
      <c r="U212" s="596"/>
      <c r="V212" s="596"/>
      <c r="W212" s="596"/>
      <c r="X212" s="596" t="s">
        <v>1340</v>
      </c>
    </row>
    <row r="213" spans="1:24" ht="15.75" customHeight="1">
      <c r="A213" s="595">
        <v>2</v>
      </c>
      <c r="B213" s="596" t="s">
        <v>1341</v>
      </c>
      <c r="C213" s="596" t="s">
        <v>1338</v>
      </c>
      <c r="D213" s="596" t="s">
        <v>1341</v>
      </c>
      <c r="E213" s="596" t="str">
        <f>VLOOKUP(D213,[8]Sheet1!$D$2:$D$239,1,0)</f>
        <v>AC0603FR-07220KL</v>
      </c>
      <c r="F213" s="596" t="e">
        <f>VLOOKUP(E213,'[9]EEBOM 512 '!$D$3:$D$169,1,0)</f>
        <v>#N/A</v>
      </c>
      <c r="G213" s="598" t="s">
        <v>1072</v>
      </c>
      <c r="H213" s="596" t="s">
        <v>1339</v>
      </c>
      <c r="I213" s="595" t="s">
        <v>1073</v>
      </c>
      <c r="J213" s="598" t="s">
        <v>1074</v>
      </c>
      <c r="K213" s="595" t="s">
        <v>28</v>
      </c>
      <c r="L213" s="595"/>
      <c r="M213" s="595">
        <v>1</v>
      </c>
      <c r="N213" s="616">
        <v>5.9999999999999995E-4</v>
      </c>
      <c r="O213" s="616">
        <f t="shared" si="6"/>
        <v>6.2099999999999992E-4</v>
      </c>
      <c r="P213" s="616">
        <f t="shared" si="7"/>
        <v>0</v>
      </c>
      <c r="Q213" s="616">
        <f>O213*M213</f>
        <v>6.2099999999999992E-4</v>
      </c>
      <c r="R213" s="596" t="s">
        <v>296</v>
      </c>
      <c r="S213" s="618" t="s">
        <v>1127</v>
      </c>
      <c r="T213" s="618"/>
      <c r="U213" s="596"/>
      <c r="V213" s="596"/>
      <c r="W213" s="596"/>
      <c r="X213" s="596"/>
    </row>
    <row r="214" spans="1:24" ht="15.75" customHeight="1">
      <c r="A214" s="595">
        <v>2</v>
      </c>
      <c r="B214" s="596" t="s">
        <v>1342</v>
      </c>
      <c r="C214" s="596" t="s">
        <v>1338</v>
      </c>
      <c r="D214" s="596" t="s">
        <v>1342</v>
      </c>
      <c r="E214" s="596" t="str">
        <f>VLOOKUP(D214,[8]Sheet1!$D$2:$D$239,1,0)</f>
        <v>RK73H1JTTD2203F</v>
      </c>
      <c r="F214" s="596" t="e">
        <f>VLOOKUP(E214,'[9]EEBOM 512 '!$D$3:$D$169,1,0)</f>
        <v>#N/A</v>
      </c>
      <c r="G214" s="598" t="s">
        <v>1072</v>
      </c>
      <c r="H214" s="596" t="s">
        <v>1339</v>
      </c>
      <c r="I214" s="595" t="s">
        <v>1073</v>
      </c>
      <c r="J214" s="598" t="s">
        <v>1074</v>
      </c>
      <c r="K214" s="595" t="s">
        <v>28</v>
      </c>
      <c r="L214" s="595"/>
      <c r="M214" s="595"/>
      <c r="N214" s="616">
        <v>9.8200000000000002E-4</v>
      </c>
      <c r="O214" s="616">
        <f t="shared" si="6"/>
        <v>1.0163699999999999E-3</v>
      </c>
      <c r="P214" s="616">
        <f t="shared" si="7"/>
        <v>3.9537000000000003E-4</v>
      </c>
      <c r="Q214" s="616"/>
      <c r="R214" s="596" t="s">
        <v>292</v>
      </c>
      <c r="S214" s="618" t="s">
        <v>1092</v>
      </c>
      <c r="T214" s="618"/>
      <c r="U214" s="596"/>
      <c r="V214" s="596"/>
      <c r="W214" s="596"/>
      <c r="X214" s="596"/>
    </row>
    <row r="215" spans="1:24" ht="15.75" customHeight="1">
      <c r="A215" s="595">
        <v>2</v>
      </c>
      <c r="B215" s="596" t="s">
        <v>1343</v>
      </c>
      <c r="C215" s="596" t="s">
        <v>1338</v>
      </c>
      <c r="D215" s="596" t="s">
        <v>1343</v>
      </c>
      <c r="E215" s="596" t="str">
        <f>VLOOKUP(D215,[8]Sheet1!$D$2:$D$239,1,0)</f>
        <v>RMCH16K224FTP</v>
      </c>
      <c r="F215" s="596" t="e">
        <f>VLOOKUP(E215,'[9]EEBOM 512 '!$D$3:$D$169,1,0)</f>
        <v>#N/A</v>
      </c>
      <c r="G215" s="598" t="s">
        <v>1072</v>
      </c>
      <c r="H215" s="596" t="s">
        <v>1339</v>
      </c>
      <c r="I215" s="595" t="s">
        <v>1073</v>
      </c>
      <c r="J215" s="598" t="s">
        <v>1074</v>
      </c>
      <c r="K215" s="595" t="s">
        <v>28</v>
      </c>
      <c r="L215" s="595"/>
      <c r="M215" s="595"/>
      <c r="N215" s="616">
        <v>1.8890000000000001E-3</v>
      </c>
      <c r="O215" s="616">
        <f t="shared" si="6"/>
        <v>1.9551149999999999E-3</v>
      </c>
      <c r="P215" s="616">
        <f t="shared" si="7"/>
        <v>1.3341149999999999E-3</v>
      </c>
      <c r="Q215" s="616"/>
      <c r="R215" s="596" t="s">
        <v>294</v>
      </c>
      <c r="S215" s="618" t="s">
        <v>1092</v>
      </c>
      <c r="T215" s="618"/>
      <c r="U215" s="596"/>
      <c r="V215" s="596"/>
      <c r="W215" s="596"/>
      <c r="X215" s="596"/>
    </row>
    <row r="216" spans="1:24" ht="15.75" customHeight="1">
      <c r="A216" s="595">
        <v>2</v>
      </c>
      <c r="B216" s="596" t="s">
        <v>1344</v>
      </c>
      <c r="C216" s="596" t="s">
        <v>1345</v>
      </c>
      <c r="D216" s="596" t="s">
        <v>1344</v>
      </c>
      <c r="E216" s="596" t="str">
        <f>VLOOKUP(D216,[8]Sheet1!$D$2:$D$239,1,0)</f>
        <v>AC0201FR-076K8L</v>
      </c>
      <c r="F216" s="596" t="e">
        <f>VLOOKUP(E216,'[9]EEBOM 512 '!$D$3:$D$169,1,0)</f>
        <v>#N/A</v>
      </c>
      <c r="G216" s="598" t="s">
        <v>1072</v>
      </c>
      <c r="H216" s="596" t="s">
        <v>1346</v>
      </c>
      <c r="I216" s="595" t="s">
        <v>1073</v>
      </c>
      <c r="J216" s="598" t="s">
        <v>1074</v>
      </c>
      <c r="K216" s="595" t="s">
        <v>28</v>
      </c>
      <c r="L216" s="595">
        <v>2</v>
      </c>
      <c r="M216" s="595">
        <v>2</v>
      </c>
      <c r="N216" s="616">
        <v>5.9999999999999995E-4</v>
      </c>
      <c r="O216" s="616">
        <f t="shared" si="6"/>
        <v>6.2099999999999992E-4</v>
      </c>
      <c r="P216" s="616" t="e">
        <f t="shared" si="7"/>
        <v>#N/A</v>
      </c>
      <c r="Q216" s="616">
        <f>O216*M216</f>
        <v>1.2419999999999998E-3</v>
      </c>
      <c r="R216" s="596" t="s">
        <v>296</v>
      </c>
      <c r="S216" s="618" t="s">
        <v>1127</v>
      </c>
      <c r="T216" s="618"/>
      <c r="U216" s="596"/>
      <c r="V216" s="596"/>
      <c r="W216" s="596"/>
      <c r="X216" s="596" t="s">
        <v>1347</v>
      </c>
    </row>
    <row r="217" spans="1:24" ht="15.75" customHeight="1">
      <c r="A217" s="595">
        <v>2</v>
      </c>
      <c r="B217" s="596" t="s">
        <v>1348</v>
      </c>
      <c r="C217" s="596" t="s">
        <v>1345</v>
      </c>
      <c r="D217" s="596" t="s">
        <v>1348</v>
      </c>
      <c r="E217" s="596" t="str">
        <f>VLOOKUP(D217,[8]Sheet1!$D$2:$D$239,1,0)</f>
        <v>RK73H1HTTC6801F</v>
      </c>
      <c r="F217" s="596" t="e">
        <f>VLOOKUP(E217,'[9]EEBOM 512 '!$D$3:$D$169,1,0)</f>
        <v>#N/A</v>
      </c>
      <c r="G217" s="598" t="s">
        <v>1072</v>
      </c>
      <c r="H217" s="596" t="s">
        <v>1346</v>
      </c>
      <c r="I217" s="595" t="s">
        <v>1073</v>
      </c>
      <c r="J217" s="598" t="s">
        <v>1074</v>
      </c>
      <c r="K217" s="595" t="s">
        <v>28</v>
      </c>
      <c r="L217" s="595"/>
      <c r="M217" s="595"/>
      <c r="N217" s="616">
        <v>1.5139999999999999E-3</v>
      </c>
      <c r="O217" s="616">
        <f t="shared" si="6"/>
        <v>1.5669899999999999E-3</v>
      </c>
      <c r="P217" s="616" t="e">
        <f t="shared" si="7"/>
        <v>#N/A</v>
      </c>
      <c r="Q217" s="616"/>
      <c r="R217" s="596" t="s">
        <v>292</v>
      </c>
      <c r="S217" s="618" t="s">
        <v>1092</v>
      </c>
      <c r="T217" s="618"/>
      <c r="U217" s="596"/>
      <c r="V217" s="596"/>
      <c r="W217" s="596"/>
      <c r="X217" s="596"/>
    </row>
    <row r="218" spans="1:24" ht="15.75" customHeight="1">
      <c r="A218" s="595">
        <v>2</v>
      </c>
      <c r="B218" s="596" t="s">
        <v>1349</v>
      </c>
      <c r="C218" s="596" t="s">
        <v>1345</v>
      </c>
      <c r="D218" s="596" t="s">
        <v>1349</v>
      </c>
      <c r="E218" s="596" t="str">
        <f>VLOOKUP(D218,[8]Sheet1!$D$2:$D$239,1,0)</f>
        <v>RMCH06-682FPA</v>
      </c>
      <c r="F218" s="596" t="e">
        <f>VLOOKUP(E218,'[9]EEBOM 512 '!$D$3:$D$169,1,0)</f>
        <v>#N/A</v>
      </c>
      <c r="G218" s="598" t="s">
        <v>1072</v>
      </c>
      <c r="H218" s="596" t="s">
        <v>1346</v>
      </c>
      <c r="I218" s="595" t="s">
        <v>1073</v>
      </c>
      <c r="J218" s="598" t="s">
        <v>1074</v>
      </c>
      <c r="K218" s="595" t="s">
        <v>28</v>
      </c>
      <c r="L218" s="595"/>
      <c r="M218" s="595"/>
      <c r="N218" s="616">
        <v>2.7390000000000001E-3</v>
      </c>
      <c r="O218" s="616">
        <f t="shared" si="6"/>
        <v>2.8348649999999998E-3</v>
      </c>
      <c r="P218" s="616" t="e">
        <f t="shared" si="7"/>
        <v>#N/A</v>
      </c>
      <c r="Q218" s="616"/>
      <c r="R218" s="596" t="s">
        <v>294</v>
      </c>
      <c r="S218" s="618" t="s">
        <v>1092</v>
      </c>
      <c r="T218" s="618"/>
      <c r="U218" s="596"/>
      <c r="V218" s="596"/>
      <c r="W218" s="596"/>
      <c r="X218" s="596"/>
    </row>
    <row r="219" spans="1:24" ht="15.75" customHeight="1">
      <c r="A219" s="595">
        <v>2</v>
      </c>
      <c r="B219" s="596" t="s">
        <v>1350</v>
      </c>
      <c r="C219" s="596" t="s">
        <v>1345</v>
      </c>
      <c r="D219" s="596" t="s">
        <v>1350</v>
      </c>
      <c r="E219" s="596" t="str">
        <f>VLOOKUP(D219,[8]Sheet1!$D$2:$D$239,1,0)</f>
        <v>ERJ1GJF6801C</v>
      </c>
      <c r="F219" s="596" t="e">
        <f>VLOOKUP(E219,'[9]EEBOM 512 '!$D$3:$D$169,1,0)</f>
        <v>#N/A</v>
      </c>
      <c r="G219" s="598" t="s">
        <v>1072</v>
      </c>
      <c r="H219" s="596" t="s">
        <v>1346</v>
      </c>
      <c r="I219" s="595" t="s">
        <v>1073</v>
      </c>
      <c r="J219" s="598" t="s">
        <v>1074</v>
      </c>
      <c r="K219" s="595" t="s">
        <v>28</v>
      </c>
      <c r="L219" s="595"/>
      <c r="M219" s="595"/>
      <c r="N219" s="616" t="e">
        <v>#N/A</v>
      </c>
      <c r="O219" s="616" t="e">
        <f t="shared" si="6"/>
        <v>#N/A</v>
      </c>
      <c r="P219" s="616" t="e">
        <f t="shared" si="7"/>
        <v>#N/A</v>
      </c>
      <c r="Q219" s="616"/>
      <c r="R219" s="596" t="s">
        <v>289</v>
      </c>
      <c r="S219" s="618" t="e">
        <v>#N/A</v>
      </c>
      <c r="T219" s="618"/>
      <c r="U219" s="596"/>
      <c r="V219" s="596"/>
      <c r="W219" s="596"/>
      <c r="X219" s="596"/>
    </row>
    <row r="220" spans="1:24" ht="15.75" customHeight="1">
      <c r="A220" s="595">
        <v>2</v>
      </c>
      <c r="B220" s="596" t="s">
        <v>261</v>
      </c>
      <c r="C220" s="596" t="s">
        <v>262</v>
      </c>
      <c r="D220" s="596" t="s">
        <v>261</v>
      </c>
      <c r="E220" s="596" t="str">
        <f>VLOOKUP(D220,[8]Sheet1!$D$2:$D$239,1,0)</f>
        <v>TPS1HC100BQPWPRQ1</v>
      </c>
      <c r="F220" s="596" t="str">
        <f>VLOOKUP(E220,'[9]EEBOM 512 '!$D$3:$D$169,1,0)</f>
        <v>TPS1HC100BQPWPRQ1</v>
      </c>
      <c r="G220" s="598" t="s">
        <v>1072</v>
      </c>
      <c r="H220" s="596" t="s">
        <v>263</v>
      </c>
      <c r="I220" s="595" t="s">
        <v>1073</v>
      </c>
      <c r="J220" s="598" t="s">
        <v>1074</v>
      </c>
      <c r="K220" s="595" t="s">
        <v>28</v>
      </c>
      <c r="L220" s="595">
        <v>3</v>
      </c>
      <c r="M220" s="595">
        <v>3</v>
      </c>
      <c r="N220" s="616">
        <v>0.17299999999999999</v>
      </c>
      <c r="O220" s="616">
        <f t="shared" si="6"/>
        <v>0.17905499999999996</v>
      </c>
      <c r="P220" s="616">
        <f t="shared" si="7"/>
        <v>0</v>
      </c>
      <c r="Q220" s="616">
        <f t="shared" ref="Q220:Q228" si="8">O220*M220</f>
        <v>0.53716499999999989</v>
      </c>
      <c r="R220" s="596" t="s">
        <v>264</v>
      </c>
      <c r="S220" s="618" t="s">
        <v>1169</v>
      </c>
      <c r="T220" s="618"/>
      <c r="U220" s="596"/>
      <c r="V220" s="596"/>
      <c r="W220" s="596"/>
      <c r="X220" s="596" t="s">
        <v>1351</v>
      </c>
    </row>
    <row r="221" spans="1:24" ht="15.75" customHeight="1">
      <c r="A221" s="595">
        <v>2</v>
      </c>
      <c r="B221" s="596" t="s">
        <v>422</v>
      </c>
      <c r="C221" s="596" t="s">
        <v>423</v>
      </c>
      <c r="D221" s="596" t="s">
        <v>422</v>
      </c>
      <c r="E221" s="596" t="str">
        <f>VLOOKUP(D221,[8]Sheet1!$D$2:$D$239,1,0)</f>
        <v>TPS7B4255QDBVRQ1</v>
      </c>
      <c r="F221" s="596" t="str">
        <f>VLOOKUP(E221,'[9]EEBOM 512 '!$D$3:$D$169,1,0)</f>
        <v>TPS7B4255QDBVRQ1</v>
      </c>
      <c r="G221" s="598" t="s">
        <v>1072</v>
      </c>
      <c r="H221" s="596" t="s">
        <v>424</v>
      </c>
      <c r="I221" s="595" t="s">
        <v>1073</v>
      </c>
      <c r="J221" s="598" t="s">
        <v>1074</v>
      </c>
      <c r="K221" s="595" t="s">
        <v>28</v>
      </c>
      <c r="L221" s="595">
        <v>2</v>
      </c>
      <c r="M221" s="595">
        <v>2</v>
      </c>
      <c r="N221" s="616">
        <v>8.8999999999999996E-2</v>
      </c>
      <c r="O221" s="616">
        <f t="shared" si="6"/>
        <v>9.2114999999999989E-2</v>
      </c>
      <c r="P221" s="616">
        <f t="shared" si="7"/>
        <v>0</v>
      </c>
      <c r="Q221" s="616">
        <f t="shared" si="8"/>
        <v>0.18422999999999998</v>
      </c>
      <c r="R221" s="596" t="s">
        <v>264</v>
      </c>
      <c r="S221" s="618" t="s">
        <v>1169</v>
      </c>
      <c r="T221" s="618"/>
      <c r="U221" s="596"/>
      <c r="V221" s="596"/>
      <c r="W221" s="596"/>
      <c r="X221" s="596" t="s">
        <v>1352</v>
      </c>
    </row>
    <row r="222" spans="1:24" ht="15.75" customHeight="1">
      <c r="A222" s="595">
        <v>2</v>
      </c>
      <c r="B222" s="596" t="s">
        <v>1353</v>
      </c>
      <c r="C222" s="596" t="s">
        <v>1354</v>
      </c>
      <c r="D222" s="596" t="s">
        <v>1353</v>
      </c>
      <c r="E222" s="596" t="str">
        <f>VLOOKUP(D222,[8]Sheet1!$D$2:$D$239,1,0)</f>
        <v>LMR36503MSCQRPERQ1</v>
      </c>
      <c r="F222" s="596" t="e">
        <f>VLOOKUP(E222,'[9]EEBOM 512 '!$D$3:$D$169,1,0)</f>
        <v>#N/A</v>
      </c>
      <c r="G222" s="598" t="s">
        <v>1072</v>
      </c>
      <c r="H222" s="596" t="s">
        <v>1355</v>
      </c>
      <c r="I222" s="595" t="s">
        <v>1073</v>
      </c>
      <c r="J222" s="598" t="s">
        <v>1074</v>
      </c>
      <c r="K222" s="595" t="s">
        <v>28</v>
      </c>
      <c r="L222" s="595">
        <v>1</v>
      </c>
      <c r="M222" s="595">
        <v>1</v>
      </c>
      <c r="N222" s="616">
        <v>0.34899999999999998</v>
      </c>
      <c r="O222" s="616">
        <f t="shared" si="6"/>
        <v>0.36121499999999995</v>
      </c>
      <c r="P222" s="616">
        <f t="shared" si="7"/>
        <v>0</v>
      </c>
      <c r="Q222" s="616">
        <f t="shared" si="8"/>
        <v>0.36121499999999995</v>
      </c>
      <c r="R222" s="596" t="s">
        <v>264</v>
      </c>
      <c r="S222" s="618" t="s">
        <v>1169</v>
      </c>
      <c r="T222" s="618"/>
      <c r="U222" s="596"/>
      <c r="V222" s="596"/>
      <c r="W222" s="596"/>
      <c r="X222" s="596" t="s">
        <v>559</v>
      </c>
    </row>
    <row r="223" spans="1:24" ht="15.75" customHeight="1">
      <c r="A223" s="595">
        <v>2</v>
      </c>
      <c r="B223" s="596" t="s">
        <v>1356</v>
      </c>
      <c r="C223" s="596" t="s">
        <v>1357</v>
      </c>
      <c r="D223" s="610" t="s">
        <v>1405</v>
      </c>
      <c r="E223" s="596" t="str">
        <f>VLOOKUP(D223,[8]Sheet1!$D$2:$D$239,1,0)</f>
        <v>INA241A3QDDFRQ1</v>
      </c>
      <c r="F223" s="596" t="e">
        <f>VLOOKUP(E223,'[9]EEBOM 512 '!$D$3:$D$169,1,0)</f>
        <v>#N/A</v>
      </c>
      <c r="G223" s="598" t="s">
        <v>1072</v>
      </c>
      <c r="H223" s="596" t="s">
        <v>1358</v>
      </c>
      <c r="I223" s="595" t="s">
        <v>1073</v>
      </c>
      <c r="J223" s="598" t="s">
        <v>1074</v>
      </c>
      <c r="K223" s="595" t="s">
        <v>28</v>
      </c>
      <c r="L223" s="595">
        <v>1</v>
      </c>
      <c r="M223" s="595">
        <v>1</v>
      </c>
      <c r="N223" s="616">
        <v>0.7</v>
      </c>
      <c r="O223" s="616">
        <f t="shared" si="6"/>
        <v>0.72449999999999992</v>
      </c>
      <c r="P223" s="616">
        <f t="shared" si="7"/>
        <v>0</v>
      </c>
      <c r="Q223" s="627">
        <f t="shared" si="8"/>
        <v>0.72449999999999992</v>
      </c>
      <c r="R223" s="628" t="s">
        <v>264</v>
      </c>
      <c r="S223" s="620" t="e">
        <v>#N/A</v>
      </c>
      <c r="T223" s="617" t="s">
        <v>63</v>
      </c>
      <c r="U223" s="614"/>
      <c r="V223" s="596"/>
      <c r="W223" s="596"/>
      <c r="X223" s="596" t="s">
        <v>1359</v>
      </c>
    </row>
    <row r="224" spans="1:24" ht="15.75" customHeight="1">
      <c r="A224" s="595">
        <v>2</v>
      </c>
      <c r="B224" s="596" t="s">
        <v>1360</v>
      </c>
      <c r="C224" s="596" t="s">
        <v>1361</v>
      </c>
      <c r="D224" s="610" t="s">
        <v>1406</v>
      </c>
      <c r="E224" s="596" t="str">
        <f>VLOOKUP(D224,[8]Sheet1!$D$2:$D$239,1,0)</f>
        <v>TCA9517DGKRQ1</v>
      </c>
      <c r="F224" s="596" t="e">
        <f>VLOOKUP(E224,'[9]EEBOM 512 '!$D$3:$D$169,1,0)</f>
        <v>#N/A</v>
      </c>
      <c r="G224" s="598" t="s">
        <v>1072</v>
      </c>
      <c r="H224" s="596" t="s">
        <v>1362</v>
      </c>
      <c r="I224" s="595" t="s">
        <v>1073</v>
      </c>
      <c r="J224" s="598" t="s">
        <v>1074</v>
      </c>
      <c r="K224" s="595" t="s">
        <v>28</v>
      </c>
      <c r="L224" s="595">
        <v>3</v>
      </c>
      <c r="M224" s="595">
        <v>3</v>
      </c>
      <c r="N224" s="616">
        <v>0.25</v>
      </c>
      <c r="O224" s="616">
        <f t="shared" si="6"/>
        <v>0.25874999999999998</v>
      </c>
      <c r="P224" s="616">
        <f t="shared" si="7"/>
        <v>0</v>
      </c>
      <c r="Q224" s="627">
        <f t="shared" si="8"/>
        <v>0.77624999999999988</v>
      </c>
      <c r="R224" s="628" t="s">
        <v>264</v>
      </c>
      <c r="S224" s="620" t="e">
        <v>#N/A</v>
      </c>
      <c r="T224" s="617" t="s">
        <v>63</v>
      </c>
      <c r="U224" s="614"/>
      <c r="V224" s="596"/>
      <c r="W224" s="596"/>
      <c r="X224" s="596" t="s">
        <v>1363</v>
      </c>
    </row>
    <row r="225" spans="1:24" ht="15.75" customHeight="1">
      <c r="A225" s="595">
        <v>2</v>
      </c>
      <c r="B225" s="596" t="s">
        <v>569</v>
      </c>
      <c r="C225" s="596" t="s">
        <v>568</v>
      </c>
      <c r="D225" s="596" t="s">
        <v>569</v>
      </c>
      <c r="E225" s="596" t="str">
        <f>VLOOKUP(D225,[8]Sheet1!$D$2:$D$239,1,0)</f>
        <v>TMUX1308QBQBRQ1</v>
      </c>
      <c r="F225" s="596" t="str">
        <f>VLOOKUP(E225,'[9]EEBOM 512 '!$D$3:$D$169,1,0)</f>
        <v>TMUX1308QBQBRQ1</v>
      </c>
      <c r="G225" s="598" t="s">
        <v>1072</v>
      </c>
      <c r="H225" s="596" t="s">
        <v>570</v>
      </c>
      <c r="I225" s="595" t="s">
        <v>1073</v>
      </c>
      <c r="J225" s="598" t="s">
        <v>1074</v>
      </c>
      <c r="K225" s="595" t="s">
        <v>28</v>
      </c>
      <c r="L225" s="595">
        <v>2</v>
      </c>
      <c r="M225" s="595">
        <v>2</v>
      </c>
      <c r="N225" s="616">
        <v>6.3E-2</v>
      </c>
      <c r="O225" s="616">
        <f t="shared" si="6"/>
        <v>6.5204999999999999E-2</v>
      </c>
      <c r="P225" s="616">
        <f t="shared" si="7"/>
        <v>0</v>
      </c>
      <c r="Q225" s="616">
        <f t="shared" si="8"/>
        <v>0.13041</v>
      </c>
      <c r="R225" s="596" t="s">
        <v>264</v>
      </c>
      <c r="S225" s="618" t="s">
        <v>1169</v>
      </c>
      <c r="T225" s="618"/>
      <c r="U225" s="596"/>
      <c r="V225" s="596"/>
      <c r="W225" s="596"/>
      <c r="X225" s="596" t="s">
        <v>1364</v>
      </c>
    </row>
    <row r="226" spans="1:24" ht="15.75" customHeight="1">
      <c r="A226" s="595">
        <v>2</v>
      </c>
      <c r="B226" s="596" t="s">
        <v>1365</v>
      </c>
      <c r="C226" s="596" t="s">
        <v>613</v>
      </c>
      <c r="D226" s="596" t="s">
        <v>1365</v>
      </c>
      <c r="E226" s="596" t="str">
        <f>VLOOKUP(D226,[8]Sheet1!$D$2:$D$239,1,0)</f>
        <v>AD3301WBPCZ-AA-RL</v>
      </c>
      <c r="F226" s="596" t="e">
        <f>VLOOKUP(E226,'[9]EEBOM 512 '!$D$3:$D$169,1,0)</f>
        <v>#N/A</v>
      </c>
      <c r="G226" s="598" t="s">
        <v>1072</v>
      </c>
      <c r="H226" s="596" t="s">
        <v>614</v>
      </c>
      <c r="I226" s="595" t="s">
        <v>1073</v>
      </c>
      <c r="J226" s="598" t="s">
        <v>1074</v>
      </c>
      <c r="K226" s="595" t="s">
        <v>28</v>
      </c>
      <c r="L226" s="595">
        <v>1</v>
      </c>
      <c r="M226" s="595">
        <v>1</v>
      </c>
      <c r="N226" s="616">
        <v>0.83499999999999996</v>
      </c>
      <c r="O226" s="616">
        <f t="shared" si="6"/>
        <v>0.86422499999999991</v>
      </c>
      <c r="P226" s="616">
        <f t="shared" si="7"/>
        <v>0</v>
      </c>
      <c r="Q226" s="616">
        <f t="shared" si="8"/>
        <v>0.86422499999999991</v>
      </c>
      <c r="R226" s="596" t="s">
        <v>615</v>
      </c>
      <c r="S226" s="618" t="s">
        <v>1079</v>
      </c>
      <c r="T226" s="618"/>
      <c r="U226" s="596"/>
      <c r="V226" s="596"/>
      <c r="W226" s="596"/>
      <c r="X226" s="596" t="s">
        <v>616</v>
      </c>
    </row>
    <row r="227" spans="1:24" ht="15.75" customHeight="1">
      <c r="A227" s="595">
        <v>2</v>
      </c>
      <c r="B227" s="596" t="s">
        <v>1366</v>
      </c>
      <c r="C227" s="596" t="s">
        <v>1367</v>
      </c>
      <c r="D227" s="610" t="s">
        <v>1407</v>
      </c>
      <c r="E227" s="596" t="str">
        <f>VLOOKUP(D227,[8]Sheet1!$D$2:$D$239,1,0)</f>
        <v>TCAL9539RTWRQ1.A</v>
      </c>
      <c r="F227" s="596" t="e">
        <f>VLOOKUP(E227,'[9]EEBOM 512 '!$D$3:$D$169,1,0)</f>
        <v>#N/A</v>
      </c>
      <c r="G227" s="598" t="s">
        <v>1072</v>
      </c>
      <c r="H227" s="596" t="s">
        <v>1368</v>
      </c>
      <c r="I227" s="595" t="s">
        <v>1073</v>
      </c>
      <c r="J227" s="598" t="s">
        <v>1074</v>
      </c>
      <c r="K227" s="595" t="s">
        <v>28</v>
      </c>
      <c r="L227" s="595">
        <v>1</v>
      </c>
      <c r="M227" s="595">
        <v>1</v>
      </c>
      <c r="N227" s="616">
        <v>0.5</v>
      </c>
      <c r="O227" s="616">
        <f t="shared" si="6"/>
        <v>0.51749999999999996</v>
      </c>
      <c r="P227" s="616">
        <f t="shared" si="7"/>
        <v>0</v>
      </c>
      <c r="Q227" s="627">
        <f t="shared" si="8"/>
        <v>0.51749999999999996</v>
      </c>
      <c r="R227" s="628" t="s">
        <v>264</v>
      </c>
      <c r="S227" s="620" t="e">
        <v>#N/A</v>
      </c>
      <c r="T227" s="617" t="s">
        <v>63</v>
      </c>
      <c r="U227" s="614"/>
      <c r="V227" s="596"/>
      <c r="W227" s="596"/>
      <c r="X227" s="596" t="s">
        <v>1369</v>
      </c>
    </row>
    <row r="228" spans="1:24" ht="15.75" customHeight="1">
      <c r="A228" s="595">
        <v>2</v>
      </c>
      <c r="B228" s="596" t="s">
        <v>500</v>
      </c>
      <c r="C228" s="596" t="s">
        <v>499</v>
      </c>
      <c r="D228" s="596" t="s">
        <v>1408</v>
      </c>
      <c r="E228" s="596" t="str">
        <f>VLOOKUP(D228,[8]Sheet1!$D$2:$D$239,1,0)</f>
        <v>LMR38025SQDRRRQ1</v>
      </c>
      <c r="F228" s="596" t="str">
        <f>VLOOKUP(E228,'[9]EEBOM 512 '!$D$3:$D$169,1,0)</f>
        <v>LMR38025SQDRRRQ1</v>
      </c>
      <c r="G228" s="598" t="s">
        <v>1072</v>
      </c>
      <c r="H228" s="596" t="s">
        <v>501</v>
      </c>
      <c r="I228" s="595" t="s">
        <v>1073</v>
      </c>
      <c r="J228" s="598" t="s">
        <v>1074</v>
      </c>
      <c r="K228" s="595" t="s">
        <v>28</v>
      </c>
      <c r="L228" s="595">
        <v>1</v>
      </c>
      <c r="M228" s="595">
        <v>1</v>
      </c>
      <c r="N228" s="616">
        <v>0.55200000000000005</v>
      </c>
      <c r="O228" s="616">
        <f t="shared" si="6"/>
        <v>0.57132000000000005</v>
      </c>
      <c r="P228" s="616">
        <f t="shared" si="7"/>
        <v>0</v>
      </c>
      <c r="Q228" s="616">
        <f t="shared" si="8"/>
        <v>0.57132000000000005</v>
      </c>
      <c r="R228" s="596" t="s">
        <v>264</v>
      </c>
      <c r="S228" s="618" t="s">
        <v>1169</v>
      </c>
      <c r="T228" s="618"/>
      <c r="U228" s="596"/>
      <c r="V228" s="596"/>
      <c r="W228" s="596"/>
      <c r="X228" s="596" t="s">
        <v>502</v>
      </c>
    </row>
    <row r="229" spans="1:24" ht="15.75" customHeight="1">
      <c r="A229" s="595">
        <v>2</v>
      </c>
      <c r="B229" s="596" t="s">
        <v>1370</v>
      </c>
      <c r="C229" s="596" t="s">
        <v>1371</v>
      </c>
      <c r="D229" s="615" t="s">
        <v>1370</v>
      </c>
      <c r="E229" s="596" t="str">
        <f>VLOOKUP(D229,[8]Sheet1!$D$2:$D$239,1,0)</f>
        <v>LP2951-50QDRM3Q1</v>
      </c>
      <c r="F229" s="596" t="e">
        <f>VLOOKUP(E229,'[9]EEBOM 512 '!$D$3:$D$169,1,0)</f>
        <v>#N/A</v>
      </c>
      <c r="G229" s="598" t="s">
        <v>1072</v>
      </c>
      <c r="H229" s="596" t="s">
        <v>1372</v>
      </c>
      <c r="I229" s="595" t="s">
        <v>1073</v>
      </c>
      <c r="J229" s="598" t="s">
        <v>1074</v>
      </c>
      <c r="K229" s="595" t="s">
        <v>28</v>
      </c>
      <c r="L229" s="595">
        <v>2</v>
      </c>
      <c r="M229" s="595"/>
      <c r="N229" s="616" t="e">
        <v>#N/A</v>
      </c>
      <c r="O229" s="616" t="e">
        <f t="shared" si="6"/>
        <v>#N/A</v>
      </c>
      <c r="P229" s="616" t="e">
        <f t="shared" si="7"/>
        <v>#N/A</v>
      </c>
      <c r="Q229" s="616"/>
      <c r="R229" s="596" t="s">
        <v>264</v>
      </c>
      <c r="S229" s="618" t="e">
        <v>#N/A</v>
      </c>
      <c r="T229" s="618"/>
      <c r="U229" s="596"/>
      <c r="V229" s="596"/>
      <c r="W229" s="596"/>
      <c r="X229" s="596" t="s">
        <v>1373</v>
      </c>
    </row>
    <row r="230" spans="1:24" ht="15.75" customHeight="1">
      <c r="A230" s="595">
        <v>2</v>
      </c>
      <c r="B230" s="596" t="s">
        <v>1374</v>
      </c>
      <c r="C230" s="596" t="s">
        <v>1371</v>
      </c>
      <c r="D230" s="596" t="s">
        <v>1374</v>
      </c>
      <c r="E230" s="596" t="str">
        <f>VLOOKUP(D230,[8]Sheet1!$D$2:$D$239,1,0)</f>
        <v>NCV2951CDR2G</v>
      </c>
      <c r="F230" s="596" t="e">
        <f>VLOOKUP(E230,'[9]EEBOM 512 '!$D$3:$D$169,1,0)</f>
        <v>#N/A</v>
      </c>
      <c r="G230" s="598" t="s">
        <v>1072</v>
      </c>
      <c r="H230" s="596" t="s">
        <v>1372</v>
      </c>
      <c r="I230" s="595" t="s">
        <v>1073</v>
      </c>
      <c r="J230" s="598" t="s">
        <v>1074</v>
      </c>
      <c r="K230" s="595" t="s">
        <v>28</v>
      </c>
      <c r="L230" s="595"/>
      <c r="M230" s="595">
        <v>2</v>
      </c>
      <c r="N230" s="616">
        <v>0.1236</v>
      </c>
      <c r="O230" s="616">
        <f t="shared" si="6"/>
        <v>0.12792599999999998</v>
      </c>
      <c r="P230" s="616" t="e">
        <f t="shared" si="7"/>
        <v>#N/A</v>
      </c>
      <c r="Q230" s="616">
        <f t="shared" ref="Q230:Q232" si="9">O230*M230</f>
        <v>0.25585199999999997</v>
      </c>
      <c r="R230" s="596" t="s">
        <v>1153</v>
      </c>
      <c r="S230" s="618" t="s">
        <v>1089</v>
      </c>
      <c r="T230" s="618"/>
      <c r="U230" s="596"/>
      <c r="V230" s="596"/>
      <c r="W230" s="596"/>
      <c r="X230" s="596"/>
    </row>
    <row r="231" spans="1:24" ht="15.75" customHeight="1">
      <c r="A231" s="595">
        <v>2</v>
      </c>
      <c r="B231" s="596" t="s">
        <v>573</v>
      </c>
      <c r="C231" s="596" t="s">
        <v>572</v>
      </c>
      <c r="D231" s="596" t="s">
        <v>573</v>
      </c>
      <c r="E231" s="596" t="str">
        <f>VLOOKUP(D231,[8]Sheet1!$D$2:$D$239,1,0)</f>
        <v>TPS1HTC30AQPWPRQ1</v>
      </c>
      <c r="F231" s="596" t="str">
        <f>VLOOKUP(E231,'[9]EEBOM 512 '!$D$3:$D$169,1,0)</f>
        <v>TPS1HTC30AQPWPRQ1</v>
      </c>
      <c r="G231" s="598" t="s">
        <v>1072</v>
      </c>
      <c r="H231" s="596" t="s">
        <v>1375</v>
      </c>
      <c r="I231" s="595" t="s">
        <v>1073</v>
      </c>
      <c r="J231" s="598" t="s">
        <v>1074</v>
      </c>
      <c r="K231" s="595" t="s">
        <v>28</v>
      </c>
      <c r="L231" s="595">
        <v>2</v>
      </c>
      <c r="M231" s="595">
        <v>2</v>
      </c>
      <c r="N231" s="616">
        <v>0.53</v>
      </c>
      <c r="O231" s="616">
        <f t="shared" si="6"/>
        <v>0.54854999999999998</v>
      </c>
      <c r="P231" s="616">
        <f t="shared" si="7"/>
        <v>0</v>
      </c>
      <c r="Q231" s="616">
        <f t="shared" si="9"/>
        <v>1.0971</v>
      </c>
      <c r="R231" s="596" t="s">
        <v>264</v>
      </c>
      <c r="S231" s="618" t="s">
        <v>1169</v>
      </c>
      <c r="T231" s="618"/>
      <c r="U231" s="596"/>
      <c r="V231" s="596"/>
      <c r="W231" s="596"/>
      <c r="X231" s="596" t="s">
        <v>1376</v>
      </c>
    </row>
    <row r="232" spans="1:24" ht="15.75" customHeight="1">
      <c r="A232" s="595">
        <v>2</v>
      </c>
      <c r="B232" s="596" t="s">
        <v>1377</v>
      </c>
      <c r="C232" s="596" t="s">
        <v>1378</v>
      </c>
      <c r="D232" s="610" t="s">
        <v>1409</v>
      </c>
      <c r="E232" s="596" t="str">
        <f>VLOOKUP(D232,[8]Sheet1!$D$2:$D$239,1,0)</f>
        <v>LM2904BQDGKRQ1</v>
      </c>
      <c r="F232" s="596" t="e">
        <f>VLOOKUP(E232,'[9]EEBOM 512 '!$D$3:$D$169,1,0)</f>
        <v>#N/A</v>
      </c>
      <c r="G232" s="598" t="s">
        <v>1072</v>
      </c>
      <c r="H232" s="596" t="s">
        <v>1379</v>
      </c>
      <c r="I232" s="595" t="s">
        <v>1073</v>
      </c>
      <c r="J232" s="598" t="s">
        <v>1074</v>
      </c>
      <c r="K232" s="595" t="s">
        <v>28</v>
      </c>
      <c r="L232" s="595">
        <v>1</v>
      </c>
      <c r="M232" s="595">
        <v>1</v>
      </c>
      <c r="N232" s="616">
        <v>7.0000000000000007E-2</v>
      </c>
      <c r="O232" s="616">
        <f t="shared" si="6"/>
        <v>7.2450000000000001E-2</v>
      </c>
      <c r="P232" s="616" t="e">
        <f t="shared" si="7"/>
        <v>#N/A</v>
      </c>
      <c r="Q232" s="627">
        <f t="shared" si="9"/>
        <v>7.2450000000000001E-2</v>
      </c>
      <c r="R232" s="628" t="s">
        <v>264</v>
      </c>
      <c r="S232" s="620" t="e">
        <v>#N/A</v>
      </c>
      <c r="T232" s="617" t="s">
        <v>63</v>
      </c>
      <c r="U232" s="614"/>
      <c r="V232" s="596"/>
      <c r="W232" s="596"/>
      <c r="X232" s="596" t="s">
        <v>1380</v>
      </c>
    </row>
    <row r="233" spans="1:24" ht="15.75" customHeight="1">
      <c r="A233" s="595">
        <v>2</v>
      </c>
      <c r="B233" s="596" t="s">
        <v>1381</v>
      </c>
      <c r="C233" s="596" t="s">
        <v>1378</v>
      </c>
      <c r="D233" s="610" t="s">
        <v>1410</v>
      </c>
      <c r="E233" s="596" t="str">
        <f>VLOOKUP(D233,[8]Sheet1!$D$2:$D$239,1,0)</f>
        <v>LM2904BYST</v>
      </c>
      <c r="F233" s="596" t="e">
        <f>VLOOKUP(E233,'[9]EEBOM 512 '!$D$3:$D$169,1,0)</f>
        <v>#N/A</v>
      </c>
      <c r="G233" s="598" t="s">
        <v>1072</v>
      </c>
      <c r="H233" s="596" t="s">
        <v>1379</v>
      </c>
      <c r="I233" s="595" t="s">
        <v>1073</v>
      </c>
      <c r="J233" s="598" t="s">
        <v>1074</v>
      </c>
      <c r="K233" s="595" t="s">
        <v>28</v>
      </c>
      <c r="L233" s="595"/>
      <c r="M233" s="595"/>
      <c r="N233" s="616" t="e">
        <v>#N/A</v>
      </c>
      <c r="O233" s="616" t="e">
        <f t="shared" si="6"/>
        <v>#N/A</v>
      </c>
      <c r="P233" s="616" t="e">
        <f t="shared" si="7"/>
        <v>#N/A</v>
      </c>
      <c r="Q233" s="616"/>
      <c r="R233" s="596" t="s">
        <v>1382</v>
      </c>
      <c r="S233" s="618" t="e">
        <v>#N/A</v>
      </c>
      <c r="T233" s="618"/>
      <c r="U233" s="596"/>
      <c r="V233" s="596"/>
      <c r="W233" s="596"/>
      <c r="X233" s="596"/>
    </row>
    <row r="234" spans="1:24" ht="15.75" customHeight="1">
      <c r="A234" s="595">
        <v>2</v>
      </c>
      <c r="B234" s="596" t="s">
        <v>317</v>
      </c>
      <c r="C234" s="596" t="s">
        <v>312</v>
      </c>
      <c r="D234" s="596" t="s">
        <v>317</v>
      </c>
      <c r="E234" s="596" t="str">
        <f>VLOOKUP(D234,[8]Sheet1!$D$2:$D$239,1,0)</f>
        <v>SHT41A-BD1B-R3</v>
      </c>
      <c r="F234" s="596" t="str">
        <f>VLOOKUP(E234,'[9]EEBOM 512 '!$D$3:$D$169,1,0)</f>
        <v>SHT41A-BD1B-R3</v>
      </c>
      <c r="G234" s="598" t="s">
        <v>1072</v>
      </c>
      <c r="H234" s="596" t="s">
        <v>314</v>
      </c>
      <c r="I234" s="595" t="s">
        <v>1073</v>
      </c>
      <c r="J234" s="598" t="s">
        <v>1074</v>
      </c>
      <c r="K234" s="595" t="s">
        <v>28</v>
      </c>
      <c r="L234" s="595">
        <v>1</v>
      </c>
      <c r="M234" s="595">
        <v>1</v>
      </c>
      <c r="N234" s="616">
        <v>0.42</v>
      </c>
      <c r="O234" s="616">
        <f t="shared" si="6"/>
        <v>0.43469999999999998</v>
      </c>
      <c r="P234" s="616">
        <f t="shared" si="7"/>
        <v>0</v>
      </c>
      <c r="Q234" s="616">
        <f>O234*M234</f>
        <v>0.43469999999999998</v>
      </c>
      <c r="R234" s="596" t="s">
        <v>315</v>
      </c>
      <c r="S234" s="618" t="s">
        <v>1383</v>
      </c>
      <c r="T234" s="618"/>
      <c r="U234" s="596"/>
      <c r="V234" s="596"/>
      <c r="W234" s="596"/>
      <c r="X234" s="596" t="s">
        <v>316</v>
      </c>
    </row>
    <row r="235" spans="1:24" ht="15.75" customHeight="1">
      <c r="A235" s="595">
        <v>2</v>
      </c>
      <c r="B235" s="596" t="s">
        <v>313</v>
      </c>
      <c r="C235" s="596" t="s">
        <v>312</v>
      </c>
      <c r="D235" s="596" t="s">
        <v>313</v>
      </c>
      <c r="E235" s="596" t="str">
        <f>VLOOKUP(D235,[8]Sheet1!$D$2:$D$239,1,0)</f>
        <v>SHT41A-BD1B-R2</v>
      </c>
      <c r="F235" s="596" t="str">
        <f>VLOOKUP(E235,'[9]EEBOM 512 '!$D$3:$D$169,1,0)</f>
        <v>SHT41A-BD1B-R2</v>
      </c>
      <c r="G235" s="598" t="s">
        <v>1072</v>
      </c>
      <c r="H235" s="596" t="s">
        <v>314</v>
      </c>
      <c r="I235" s="595" t="s">
        <v>1073</v>
      </c>
      <c r="J235" s="598" t="s">
        <v>1074</v>
      </c>
      <c r="K235" s="595" t="s">
        <v>28</v>
      </c>
      <c r="L235" s="595"/>
      <c r="M235" s="595"/>
      <c r="N235" s="616">
        <v>0.42</v>
      </c>
      <c r="O235" s="616">
        <f t="shared" si="6"/>
        <v>0.43469999999999998</v>
      </c>
      <c r="P235" s="616">
        <f t="shared" si="7"/>
        <v>0</v>
      </c>
      <c r="Q235" s="616"/>
      <c r="R235" s="596" t="s">
        <v>315</v>
      </c>
      <c r="S235" s="618" t="s">
        <v>1383</v>
      </c>
      <c r="T235" s="618"/>
      <c r="U235" s="596"/>
      <c r="V235" s="596"/>
      <c r="W235" s="596"/>
      <c r="X235" s="596"/>
    </row>
    <row r="236" spans="1:24" ht="15.75" customHeight="1">
      <c r="A236" s="595">
        <v>2</v>
      </c>
      <c r="B236" s="596" t="s">
        <v>1384</v>
      </c>
      <c r="C236" s="596" t="s">
        <v>1385</v>
      </c>
      <c r="D236" s="596" t="s">
        <v>1384</v>
      </c>
      <c r="E236" s="596" t="str">
        <f>VLOOKUP(D236,[8]Sheet1!$D$2:$D$239,1,0)</f>
        <v>OPT4003DNPRQ1</v>
      </c>
      <c r="F236" s="596" t="e">
        <f>VLOOKUP(E236,'[9]EEBOM 512 '!$D$3:$D$169,1,0)</f>
        <v>#N/A</v>
      </c>
      <c r="G236" s="598" t="s">
        <v>1072</v>
      </c>
      <c r="H236" s="596" t="s">
        <v>1386</v>
      </c>
      <c r="I236" s="595" t="s">
        <v>1073</v>
      </c>
      <c r="J236" s="598" t="s">
        <v>1074</v>
      </c>
      <c r="K236" s="595" t="s">
        <v>28</v>
      </c>
      <c r="L236" s="595">
        <v>1</v>
      </c>
      <c r="M236" s="595">
        <v>1</v>
      </c>
      <c r="N236" s="616">
        <v>0.36</v>
      </c>
      <c r="O236" s="616">
        <f t="shared" si="6"/>
        <v>0.37259999999999993</v>
      </c>
      <c r="P236" s="616">
        <f t="shared" si="7"/>
        <v>0</v>
      </c>
      <c r="Q236" s="616">
        <f t="shared" ref="Q236:Q237" si="10">O236*M236</f>
        <v>0.37259999999999993</v>
      </c>
      <c r="R236" s="596" t="s">
        <v>264</v>
      </c>
      <c r="S236" s="618" t="s">
        <v>1169</v>
      </c>
      <c r="T236" s="618"/>
      <c r="U236" s="596"/>
      <c r="V236" s="596"/>
      <c r="W236" s="596"/>
      <c r="X236" s="596" t="s">
        <v>579</v>
      </c>
    </row>
    <row r="237" spans="1:24" ht="15.75" customHeight="1">
      <c r="A237" s="595">
        <v>2</v>
      </c>
      <c r="B237" s="596" t="s">
        <v>591</v>
      </c>
      <c r="C237" s="596" t="s">
        <v>587</v>
      </c>
      <c r="D237" s="596" t="s">
        <v>591</v>
      </c>
      <c r="E237" s="596" t="str">
        <f>VLOOKUP(D237,[8]Sheet1!$D$2:$D$239,1,0)</f>
        <v>1C325000BE0A</v>
      </c>
      <c r="F237" s="596" t="str">
        <f>VLOOKUP(E237,'[9]EEBOM 512 '!$D$3:$D$169,1,0)</f>
        <v>1C325000BE0A</v>
      </c>
      <c r="G237" s="598" t="s">
        <v>1072</v>
      </c>
      <c r="H237" s="596" t="s">
        <v>588</v>
      </c>
      <c r="I237" s="595" t="s">
        <v>1073</v>
      </c>
      <c r="J237" s="598" t="s">
        <v>1074</v>
      </c>
      <c r="K237" s="595" t="s">
        <v>28</v>
      </c>
      <c r="L237" s="595">
        <v>1</v>
      </c>
      <c r="M237" s="595">
        <v>1</v>
      </c>
      <c r="N237" s="616">
        <v>6.8000000000000005E-2</v>
      </c>
      <c r="O237" s="616">
        <f t="shared" si="6"/>
        <v>7.0379999999999998E-2</v>
      </c>
      <c r="P237" s="616">
        <f t="shared" si="7"/>
        <v>0</v>
      </c>
      <c r="Q237" s="616">
        <f t="shared" si="10"/>
        <v>7.0379999999999998E-2</v>
      </c>
      <c r="R237" s="596" t="s">
        <v>592</v>
      </c>
      <c r="S237" s="618" t="s">
        <v>592</v>
      </c>
      <c r="T237" s="618"/>
      <c r="U237" s="596"/>
      <c r="V237" s="596"/>
      <c r="W237" s="596"/>
      <c r="X237" s="596" t="s">
        <v>590</v>
      </c>
    </row>
    <row r="238" spans="1:24" ht="15.75" customHeight="1">
      <c r="A238" s="595">
        <v>2</v>
      </c>
      <c r="B238" s="596" t="s">
        <v>586</v>
      </c>
      <c r="C238" s="596" t="s">
        <v>587</v>
      </c>
      <c r="D238" s="596" t="s">
        <v>586</v>
      </c>
      <c r="E238" s="596" t="e">
        <f>VLOOKUP(D238,[8]Sheet1!$D$2:$D$239,1,0)</f>
        <v>#N/A</v>
      </c>
      <c r="F238" s="596" t="e">
        <f>VLOOKUP(E238,'[9]EEBOM 512 '!$D$3:$D$169,1,0)</f>
        <v>#N/A</v>
      </c>
      <c r="G238" s="598" t="s">
        <v>1072</v>
      </c>
      <c r="H238" s="596" t="s">
        <v>588</v>
      </c>
      <c r="I238" s="595" t="s">
        <v>1073</v>
      </c>
      <c r="J238" s="598" t="s">
        <v>1074</v>
      </c>
      <c r="K238" s="595" t="s">
        <v>28</v>
      </c>
      <c r="L238" s="595"/>
      <c r="M238" s="595"/>
      <c r="N238" s="616">
        <v>7.4999999999999997E-2</v>
      </c>
      <c r="O238" s="616">
        <f t="shared" si="6"/>
        <v>7.7624999999999986E-2</v>
      </c>
      <c r="P238" s="616">
        <f t="shared" si="7"/>
        <v>7.2449999999999876E-3</v>
      </c>
      <c r="Q238" s="616"/>
      <c r="R238" s="596" t="s">
        <v>589</v>
      </c>
      <c r="S238" s="618" t="s">
        <v>1387</v>
      </c>
      <c r="T238" s="618"/>
      <c r="U238" s="596"/>
      <c r="V238" s="596"/>
      <c r="W238" s="596"/>
      <c r="X238" s="596"/>
    </row>
    <row r="239" spans="1:24" ht="15.75" customHeight="1">
      <c r="A239" s="595">
        <v>2</v>
      </c>
      <c r="B239" s="596" t="s">
        <v>593</v>
      </c>
      <c r="C239" s="596" t="s">
        <v>587</v>
      </c>
      <c r="D239" s="596" t="s">
        <v>593</v>
      </c>
      <c r="E239" s="596" t="e">
        <f>VLOOKUP(D239,[8]Sheet1!$D$2:$D$239,1,0)</f>
        <v>#N/A</v>
      </c>
      <c r="F239" s="596" t="e">
        <f>VLOOKUP(E239,'[9]EEBOM 512 '!$D$3:$D$169,1,0)</f>
        <v>#N/A</v>
      </c>
      <c r="G239" s="598" t="s">
        <v>1072</v>
      </c>
      <c r="H239" s="596" t="s">
        <v>588</v>
      </c>
      <c r="I239" s="595" t="s">
        <v>1073</v>
      </c>
      <c r="J239" s="598" t="s">
        <v>1074</v>
      </c>
      <c r="K239" s="595" t="s">
        <v>28</v>
      </c>
      <c r="L239" s="595"/>
      <c r="M239" s="595"/>
      <c r="N239" s="616">
        <v>0.12</v>
      </c>
      <c r="O239" s="616">
        <f t="shared" si="6"/>
        <v>0.12419999999999999</v>
      </c>
      <c r="P239" s="616">
        <f t="shared" si="7"/>
        <v>5.3819999999999993E-2</v>
      </c>
      <c r="Q239" s="616"/>
      <c r="R239" s="596" t="s">
        <v>594</v>
      </c>
      <c r="S239" s="618" t="s">
        <v>1388</v>
      </c>
      <c r="T239" s="618"/>
      <c r="U239" s="596"/>
      <c r="V239" s="596"/>
      <c r="W239" s="596"/>
      <c r="X239" s="596"/>
    </row>
    <row r="240" spans="1:24">
      <c r="Q240" s="624">
        <f>SUM(Q2:Q239)</f>
        <v>13.337396054999996</v>
      </c>
    </row>
  </sheetData>
  <autoFilter ref="A1:IC239" xr:uid="{A7F9AB75-A973-4EBC-8BFC-4450883011FC}"/>
  <phoneticPr fontId="3" type="noConversion"/>
  <conditionalFormatting sqref="E2:E239">
    <cfRule type="expression" priority="2" stopIfTrue="1">
      <formula>E1&lt;&gt;#REF!</formula>
    </cfRule>
  </conditionalFormatting>
  <conditionalFormatting sqref="F2:F239">
    <cfRule type="duplicateValues" dxfId="63" priority="1" stopIfTrue="1"/>
  </conditionalFormatting>
  <dataValidations count="2">
    <dataValidation type="list" allowBlank="1" showInputMessage="1" showErrorMessage="1" sqref="G2:G239 JG2:JG239 TC2:TC239 ACY2:ACY239 AMU2:AMU239 AWQ2:AWQ239 BGM2:BGM239 BQI2:BQI239 CAE2:CAE239 CKA2:CKA239 CTW2:CTW239 DDS2:DDS239 DNO2:DNO239 DXK2:DXK239 EHG2:EHG239 ERC2:ERC239 FAY2:FAY239 FKU2:FKU239 FUQ2:FUQ239 GEM2:GEM239 GOI2:GOI239 GYE2:GYE239 HIA2:HIA239 HRW2:HRW239 IBS2:IBS239 ILO2:ILO239 IVK2:IVK239 JFG2:JFG239 JPC2:JPC239 JYY2:JYY239 KIU2:KIU239 KSQ2:KSQ239 LCM2:LCM239 LMI2:LMI239 LWE2:LWE239 MGA2:MGA239 MPW2:MPW239 MZS2:MZS239 NJO2:NJO239 NTK2:NTK239 ODG2:ODG239 ONC2:ONC239 OWY2:OWY239 PGU2:PGU239 PQQ2:PQQ239 QAM2:QAM239 QKI2:QKI239 QUE2:QUE239 REA2:REA239 RNW2:RNW239 RXS2:RXS239 SHO2:SHO239 SRK2:SRK239 TBG2:TBG239 TLC2:TLC239 TUY2:TUY239 UEU2:UEU239 UOQ2:UOQ239 UYM2:UYM239 VII2:VII239 VSE2:VSE239 WCA2:WCA239 WLW2:WLW239 WVS2:WVS239 G65538:G65775 JG65538:JG65775 TC65538:TC65775 ACY65538:ACY65775 AMU65538:AMU65775 AWQ65538:AWQ65775 BGM65538:BGM65775 BQI65538:BQI65775 CAE65538:CAE65775 CKA65538:CKA65775 CTW65538:CTW65775 DDS65538:DDS65775 DNO65538:DNO65775 DXK65538:DXK65775 EHG65538:EHG65775 ERC65538:ERC65775 FAY65538:FAY65775 FKU65538:FKU65775 FUQ65538:FUQ65775 GEM65538:GEM65775 GOI65538:GOI65775 GYE65538:GYE65775 HIA65538:HIA65775 HRW65538:HRW65775 IBS65538:IBS65775 ILO65538:ILO65775 IVK65538:IVK65775 JFG65538:JFG65775 JPC65538:JPC65775 JYY65538:JYY65775 KIU65538:KIU65775 KSQ65538:KSQ65775 LCM65538:LCM65775 LMI65538:LMI65775 LWE65538:LWE65775 MGA65538:MGA65775 MPW65538:MPW65775 MZS65538:MZS65775 NJO65538:NJO65775 NTK65538:NTK65775 ODG65538:ODG65775 ONC65538:ONC65775 OWY65538:OWY65775 PGU65538:PGU65775 PQQ65538:PQQ65775 QAM65538:QAM65775 QKI65538:QKI65775 QUE65538:QUE65775 REA65538:REA65775 RNW65538:RNW65775 RXS65538:RXS65775 SHO65538:SHO65775 SRK65538:SRK65775 TBG65538:TBG65775 TLC65538:TLC65775 TUY65538:TUY65775 UEU65538:UEU65775 UOQ65538:UOQ65775 UYM65538:UYM65775 VII65538:VII65775 VSE65538:VSE65775 WCA65538:WCA65775 WLW65538:WLW65775 WVS65538:WVS65775 G131074:G131311 JG131074:JG131311 TC131074:TC131311 ACY131074:ACY131311 AMU131074:AMU131311 AWQ131074:AWQ131311 BGM131074:BGM131311 BQI131074:BQI131311 CAE131074:CAE131311 CKA131074:CKA131311 CTW131074:CTW131311 DDS131074:DDS131311 DNO131074:DNO131311 DXK131074:DXK131311 EHG131074:EHG131311 ERC131074:ERC131311 FAY131074:FAY131311 FKU131074:FKU131311 FUQ131074:FUQ131311 GEM131074:GEM131311 GOI131074:GOI131311 GYE131074:GYE131311 HIA131074:HIA131311 HRW131074:HRW131311 IBS131074:IBS131311 ILO131074:ILO131311 IVK131074:IVK131311 JFG131074:JFG131311 JPC131074:JPC131311 JYY131074:JYY131311 KIU131074:KIU131311 KSQ131074:KSQ131311 LCM131074:LCM131311 LMI131074:LMI131311 LWE131074:LWE131311 MGA131074:MGA131311 MPW131074:MPW131311 MZS131074:MZS131311 NJO131074:NJO131311 NTK131074:NTK131311 ODG131074:ODG131311 ONC131074:ONC131311 OWY131074:OWY131311 PGU131074:PGU131311 PQQ131074:PQQ131311 QAM131074:QAM131311 QKI131074:QKI131311 QUE131074:QUE131311 REA131074:REA131311 RNW131074:RNW131311 RXS131074:RXS131311 SHO131074:SHO131311 SRK131074:SRK131311 TBG131074:TBG131311 TLC131074:TLC131311 TUY131074:TUY131311 UEU131074:UEU131311 UOQ131074:UOQ131311 UYM131074:UYM131311 VII131074:VII131311 VSE131074:VSE131311 WCA131074:WCA131311 WLW131074:WLW131311 WVS131074:WVS131311 G196610:G196847 JG196610:JG196847 TC196610:TC196847 ACY196610:ACY196847 AMU196610:AMU196847 AWQ196610:AWQ196847 BGM196610:BGM196847 BQI196610:BQI196847 CAE196610:CAE196847 CKA196610:CKA196847 CTW196610:CTW196847 DDS196610:DDS196847 DNO196610:DNO196847 DXK196610:DXK196847 EHG196610:EHG196847 ERC196610:ERC196847 FAY196610:FAY196847 FKU196610:FKU196847 FUQ196610:FUQ196847 GEM196610:GEM196847 GOI196610:GOI196847 GYE196610:GYE196847 HIA196610:HIA196847 HRW196610:HRW196847 IBS196610:IBS196847 ILO196610:ILO196847 IVK196610:IVK196847 JFG196610:JFG196847 JPC196610:JPC196847 JYY196610:JYY196847 KIU196610:KIU196847 KSQ196610:KSQ196847 LCM196610:LCM196847 LMI196610:LMI196847 LWE196610:LWE196847 MGA196610:MGA196847 MPW196610:MPW196847 MZS196610:MZS196847 NJO196610:NJO196847 NTK196610:NTK196847 ODG196610:ODG196847 ONC196610:ONC196847 OWY196610:OWY196847 PGU196610:PGU196847 PQQ196610:PQQ196847 QAM196610:QAM196847 QKI196610:QKI196847 QUE196610:QUE196847 REA196610:REA196847 RNW196610:RNW196847 RXS196610:RXS196847 SHO196610:SHO196847 SRK196610:SRK196847 TBG196610:TBG196847 TLC196610:TLC196847 TUY196610:TUY196847 UEU196610:UEU196847 UOQ196610:UOQ196847 UYM196610:UYM196847 VII196610:VII196847 VSE196610:VSE196847 WCA196610:WCA196847 WLW196610:WLW196847 WVS196610:WVS196847 G262146:G262383 JG262146:JG262383 TC262146:TC262383 ACY262146:ACY262383 AMU262146:AMU262383 AWQ262146:AWQ262383 BGM262146:BGM262383 BQI262146:BQI262383 CAE262146:CAE262383 CKA262146:CKA262383 CTW262146:CTW262383 DDS262146:DDS262383 DNO262146:DNO262383 DXK262146:DXK262383 EHG262146:EHG262383 ERC262146:ERC262383 FAY262146:FAY262383 FKU262146:FKU262383 FUQ262146:FUQ262383 GEM262146:GEM262383 GOI262146:GOI262383 GYE262146:GYE262383 HIA262146:HIA262383 HRW262146:HRW262383 IBS262146:IBS262383 ILO262146:ILO262383 IVK262146:IVK262383 JFG262146:JFG262383 JPC262146:JPC262383 JYY262146:JYY262383 KIU262146:KIU262383 KSQ262146:KSQ262383 LCM262146:LCM262383 LMI262146:LMI262383 LWE262146:LWE262383 MGA262146:MGA262383 MPW262146:MPW262383 MZS262146:MZS262383 NJO262146:NJO262383 NTK262146:NTK262383 ODG262146:ODG262383 ONC262146:ONC262383 OWY262146:OWY262383 PGU262146:PGU262383 PQQ262146:PQQ262383 QAM262146:QAM262383 QKI262146:QKI262383 QUE262146:QUE262383 REA262146:REA262383 RNW262146:RNW262383 RXS262146:RXS262383 SHO262146:SHO262383 SRK262146:SRK262383 TBG262146:TBG262383 TLC262146:TLC262383 TUY262146:TUY262383 UEU262146:UEU262383 UOQ262146:UOQ262383 UYM262146:UYM262383 VII262146:VII262383 VSE262146:VSE262383 WCA262146:WCA262383 WLW262146:WLW262383 WVS262146:WVS262383 G327682:G327919 JG327682:JG327919 TC327682:TC327919 ACY327682:ACY327919 AMU327682:AMU327919 AWQ327682:AWQ327919 BGM327682:BGM327919 BQI327682:BQI327919 CAE327682:CAE327919 CKA327682:CKA327919 CTW327682:CTW327919 DDS327682:DDS327919 DNO327682:DNO327919 DXK327682:DXK327919 EHG327682:EHG327919 ERC327682:ERC327919 FAY327682:FAY327919 FKU327682:FKU327919 FUQ327682:FUQ327919 GEM327682:GEM327919 GOI327682:GOI327919 GYE327682:GYE327919 HIA327682:HIA327919 HRW327682:HRW327919 IBS327682:IBS327919 ILO327682:ILO327919 IVK327682:IVK327919 JFG327682:JFG327919 JPC327682:JPC327919 JYY327682:JYY327919 KIU327682:KIU327919 KSQ327682:KSQ327919 LCM327682:LCM327919 LMI327682:LMI327919 LWE327682:LWE327919 MGA327682:MGA327919 MPW327682:MPW327919 MZS327682:MZS327919 NJO327682:NJO327919 NTK327682:NTK327919 ODG327682:ODG327919 ONC327682:ONC327919 OWY327682:OWY327919 PGU327682:PGU327919 PQQ327682:PQQ327919 QAM327682:QAM327919 QKI327682:QKI327919 QUE327682:QUE327919 REA327682:REA327919 RNW327682:RNW327919 RXS327682:RXS327919 SHO327682:SHO327919 SRK327682:SRK327919 TBG327682:TBG327919 TLC327682:TLC327919 TUY327682:TUY327919 UEU327682:UEU327919 UOQ327682:UOQ327919 UYM327682:UYM327919 VII327682:VII327919 VSE327682:VSE327919 WCA327682:WCA327919 WLW327682:WLW327919 WVS327682:WVS327919 G393218:G393455 JG393218:JG393455 TC393218:TC393455 ACY393218:ACY393455 AMU393218:AMU393455 AWQ393218:AWQ393455 BGM393218:BGM393455 BQI393218:BQI393455 CAE393218:CAE393455 CKA393218:CKA393455 CTW393218:CTW393455 DDS393218:DDS393455 DNO393218:DNO393455 DXK393218:DXK393455 EHG393218:EHG393455 ERC393218:ERC393455 FAY393218:FAY393455 FKU393218:FKU393455 FUQ393218:FUQ393455 GEM393218:GEM393455 GOI393218:GOI393455 GYE393218:GYE393455 HIA393218:HIA393455 HRW393218:HRW393455 IBS393218:IBS393455 ILO393218:ILO393455 IVK393218:IVK393455 JFG393218:JFG393455 JPC393218:JPC393455 JYY393218:JYY393455 KIU393218:KIU393455 KSQ393218:KSQ393455 LCM393218:LCM393455 LMI393218:LMI393455 LWE393218:LWE393455 MGA393218:MGA393455 MPW393218:MPW393455 MZS393218:MZS393455 NJO393218:NJO393455 NTK393218:NTK393455 ODG393218:ODG393455 ONC393218:ONC393455 OWY393218:OWY393455 PGU393218:PGU393455 PQQ393218:PQQ393455 QAM393218:QAM393455 QKI393218:QKI393455 QUE393218:QUE393455 REA393218:REA393455 RNW393218:RNW393455 RXS393218:RXS393455 SHO393218:SHO393455 SRK393218:SRK393455 TBG393218:TBG393455 TLC393218:TLC393455 TUY393218:TUY393455 UEU393218:UEU393455 UOQ393218:UOQ393455 UYM393218:UYM393455 VII393218:VII393455 VSE393218:VSE393455 WCA393218:WCA393455 WLW393218:WLW393455 WVS393218:WVS393455 G458754:G458991 JG458754:JG458991 TC458754:TC458991 ACY458754:ACY458991 AMU458754:AMU458991 AWQ458754:AWQ458991 BGM458754:BGM458991 BQI458754:BQI458991 CAE458754:CAE458991 CKA458754:CKA458991 CTW458754:CTW458991 DDS458754:DDS458991 DNO458754:DNO458991 DXK458754:DXK458991 EHG458754:EHG458991 ERC458754:ERC458991 FAY458754:FAY458991 FKU458754:FKU458991 FUQ458754:FUQ458991 GEM458754:GEM458991 GOI458754:GOI458991 GYE458754:GYE458991 HIA458754:HIA458991 HRW458754:HRW458991 IBS458754:IBS458991 ILO458754:ILO458991 IVK458754:IVK458991 JFG458754:JFG458991 JPC458754:JPC458991 JYY458754:JYY458991 KIU458754:KIU458991 KSQ458754:KSQ458991 LCM458754:LCM458991 LMI458754:LMI458991 LWE458754:LWE458991 MGA458754:MGA458991 MPW458754:MPW458991 MZS458754:MZS458991 NJO458754:NJO458991 NTK458754:NTK458991 ODG458754:ODG458991 ONC458754:ONC458991 OWY458754:OWY458991 PGU458754:PGU458991 PQQ458754:PQQ458991 QAM458754:QAM458991 QKI458754:QKI458991 QUE458754:QUE458991 REA458754:REA458991 RNW458754:RNW458991 RXS458754:RXS458991 SHO458754:SHO458991 SRK458754:SRK458991 TBG458754:TBG458991 TLC458754:TLC458991 TUY458754:TUY458991 UEU458754:UEU458991 UOQ458754:UOQ458991 UYM458754:UYM458991 VII458754:VII458991 VSE458754:VSE458991 WCA458754:WCA458991 WLW458754:WLW458991 WVS458754:WVS458991 G524290:G524527 JG524290:JG524527 TC524290:TC524527 ACY524290:ACY524527 AMU524290:AMU524527 AWQ524290:AWQ524527 BGM524290:BGM524527 BQI524290:BQI524527 CAE524290:CAE524527 CKA524290:CKA524527 CTW524290:CTW524527 DDS524290:DDS524527 DNO524290:DNO524527 DXK524290:DXK524527 EHG524290:EHG524527 ERC524290:ERC524527 FAY524290:FAY524527 FKU524290:FKU524527 FUQ524290:FUQ524527 GEM524290:GEM524527 GOI524290:GOI524527 GYE524290:GYE524527 HIA524290:HIA524527 HRW524290:HRW524527 IBS524290:IBS524527 ILO524290:ILO524527 IVK524290:IVK524527 JFG524290:JFG524527 JPC524290:JPC524527 JYY524290:JYY524527 KIU524290:KIU524527 KSQ524290:KSQ524527 LCM524290:LCM524527 LMI524290:LMI524527 LWE524290:LWE524527 MGA524290:MGA524527 MPW524290:MPW524527 MZS524290:MZS524527 NJO524290:NJO524527 NTK524290:NTK524527 ODG524290:ODG524527 ONC524290:ONC524527 OWY524290:OWY524527 PGU524290:PGU524527 PQQ524290:PQQ524527 QAM524290:QAM524527 QKI524290:QKI524527 QUE524290:QUE524527 REA524290:REA524527 RNW524290:RNW524527 RXS524290:RXS524527 SHO524290:SHO524527 SRK524290:SRK524527 TBG524290:TBG524527 TLC524290:TLC524527 TUY524290:TUY524527 UEU524290:UEU524527 UOQ524290:UOQ524527 UYM524290:UYM524527 VII524290:VII524527 VSE524290:VSE524527 WCA524290:WCA524527 WLW524290:WLW524527 WVS524290:WVS524527 G589826:G590063 JG589826:JG590063 TC589826:TC590063 ACY589826:ACY590063 AMU589826:AMU590063 AWQ589826:AWQ590063 BGM589826:BGM590063 BQI589826:BQI590063 CAE589826:CAE590063 CKA589826:CKA590063 CTW589826:CTW590063 DDS589826:DDS590063 DNO589826:DNO590063 DXK589826:DXK590063 EHG589826:EHG590063 ERC589826:ERC590063 FAY589826:FAY590063 FKU589826:FKU590063 FUQ589826:FUQ590063 GEM589826:GEM590063 GOI589826:GOI590063 GYE589826:GYE590063 HIA589826:HIA590063 HRW589826:HRW590063 IBS589826:IBS590063 ILO589826:ILO590063 IVK589826:IVK590063 JFG589826:JFG590063 JPC589826:JPC590063 JYY589826:JYY590063 KIU589826:KIU590063 KSQ589826:KSQ590063 LCM589826:LCM590063 LMI589826:LMI590063 LWE589826:LWE590063 MGA589826:MGA590063 MPW589826:MPW590063 MZS589826:MZS590063 NJO589826:NJO590063 NTK589826:NTK590063 ODG589826:ODG590063 ONC589826:ONC590063 OWY589826:OWY590063 PGU589826:PGU590063 PQQ589826:PQQ590063 QAM589826:QAM590063 QKI589826:QKI590063 QUE589826:QUE590063 REA589826:REA590063 RNW589826:RNW590063 RXS589826:RXS590063 SHO589826:SHO590063 SRK589826:SRK590063 TBG589826:TBG590063 TLC589826:TLC590063 TUY589826:TUY590063 UEU589826:UEU590063 UOQ589826:UOQ590063 UYM589826:UYM590063 VII589826:VII590063 VSE589826:VSE590063 WCA589826:WCA590063 WLW589826:WLW590063 WVS589826:WVS590063 G655362:G655599 JG655362:JG655599 TC655362:TC655599 ACY655362:ACY655599 AMU655362:AMU655599 AWQ655362:AWQ655599 BGM655362:BGM655599 BQI655362:BQI655599 CAE655362:CAE655599 CKA655362:CKA655599 CTW655362:CTW655599 DDS655362:DDS655599 DNO655362:DNO655599 DXK655362:DXK655599 EHG655362:EHG655599 ERC655362:ERC655599 FAY655362:FAY655599 FKU655362:FKU655599 FUQ655362:FUQ655599 GEM655362:GEM655599 GOI655362:GOI655599 GYE655362:GYE655599 HIA655362:HIA655599 HRW655362:HRW655599 IBS655362:IBS655599 ILO655362:ILO655599 IVK655362:IVK655599 JFG655362:JFG655599 JPC655362:JPC655599 JYY655362:JYY655599 KIU655362:KIU655599 KSQ655362:KSQ655599 LCM655362:LCM655599 LMI655362:LMI655599 LWE655362:LWE655599 MGA655362:MGA655599 MPW655362:MPW655599 MZS655362:MZS655599 NJO655362:NJO655599 NTK655362:NTK655599 ODG655362:ODG655599 ONC655362:ONC655599 OWY655362:OWY655599 PGU655362:PGU655599 PQQ655362:PQQ655599 QAM655362:QAM655599 QKI655362:QKI655599 QUE655362:QUE655599 REA655362:REA655599 RNW655362:RNW655599 RXS655362:RXS655599 SHO655362:SHO655599 SRK655362:SRK655599 TBG655362:TBG655599 TLC655362:TLC655599 TUY655362:TUY655599 UEU655362:UEU655599 UOQ655362:UOQ655599 UYM655362:UYM655599 VII655362:VII655599 VSE655362:VSE655599 WCA655362:WCA655599 WLW655362:WLW655599 WVS655362:WVS655599 G720898:G721135 JG720898:JG721135 TC720898:TC721135 ACY720898:ACY721135 AMU720898:AMU721135 AWQ720898:AWQ721135 BGM720898:BGM721135 BQI720898:BQI721135 CAE720898:CAE721135 CKA720898:CKA721135 CTW720898:CTW721135 DDS720898:DDS721135 DNO720898:DNO721135 DXK720898:DXK721135 EHG720898:EHG721135 ERC720898:ERC721135 FAY720898:FAY721135 FKU720898:FKU721135 FUQ720898:FUQ721135 GEM720898:GEM721135 GOI720898:GOI721135 GYE720898:GYE721135 HIA720898:HIA721135 HRW720898:HRW721135 IBS720898:IBS721135 ILO720898:ILO721135 IVK720898:IVK721135 JFG720898:JFG721135 JPC720898:JPC721135 JYY720898:JYY721135 KIU720898:KIU721135 KSQ720898:KSQ721135 LCM720898:LCM721135 LMI720898:LMI721135 LWE720898:LWE721135 MGA720898:MGA721135 MPW720898:MPW721135 MZS720898:MZS721135 NJO720898:NJO721135 NTK720898:NTK721135 ODG720898:ODG721135 ONC720898:ONC721135 OWY720898:OWY721135 PGU720898:PGU721135 PQQ720898:PQQ721135 QAM720898:QAM721135 QKI720898:QKI721135 QUE720898:QUE721135 REA720898:REA721135 RNW720898:RNW721135 RXS720898:RXS721135 SHO720898:SHO721135 SRK720898:SRK721135 TBG720898:TBG721135 TLC720898:TLC721135 TUY720898:TUY721135 UEU720898:UEU721135 UOQ720898:UOQ721135 UYM720898:UYM721135 VII720898:VII721135 VSE720898:VSE721135 WCA720898:WCA721135 WLW720898:WLW721135 WVS720898:WVS721135 G786434:G786671 JG786434:JG786671 TC786434:TC786671 ACY786434:ACY786671 AMU786434:AMU786671 AWQ786434:AWQ786671 BGM786434:BGM786671 BQI786434:BQI786671 CAE786434:CAE786671 CKA786434:CKA786671 CTW786434:CTW786671 DDS786434:DDS786671 DNO786434:DNO786671 DXK786434:DXK786671 EHG786434:EHG786671 ERC786434:ERC786671 FAY786434:FAY786671 FKU786434:FKU786671 FUQ786434:FUQ786671 GEM786434:GEM786671 GOI786434:GOI786671 GYE786434:GYE786671 HIA786434:HIA786671 HRW786434:HRW786671 IBS786434:IBS786671 ILO786434:ILO786671 IVK786434:IVK786671 JFG786434:JFG786671 JPC786434:JPC786671 JYY786434:JYY786671 KIU786434:KIU786671 KSQ786434:KSQ786671 LCM786434:LCM786671 LMI786434:LMI786671 LWE786434:LWE786671 MGA786434:MGA786671 MPW786434:MPW786671 MZS786434:MZS786671 NJO786434:NJO786671 NTK786434:NTK786671 ODG786434:ODG786671 ONC786434:ONC786671 OWY786434:OWY786671 PGU786434:PGU786671 PQQ786434:PQQ786671 QAM786434:QAM786671 QKI786434:QKI786671 QUE786434:QUE786671 REA786434:REA786671 RNW786434:RNW786671 RXS786434:RXS786671 SHO786434:SHO786671 SRK786434:SRK786671 TBG786434:TBG786671 TLC786434:TLC786671 TUY786434:TUY786671 UEU786434:UEU786671 UOQ786434:UOQ786671 UYM786434:UYM786671 VII786434:VII786671 VSE786434:VSE786671 WCA786434:WCA786671 WLW786434:WLW786671 WVS786434:WVS786671 G851970:G852207 JG851970:JG852207 TC851970:TC852207 ACY851970:ACY852207 AMU851970:AMU852207 AWQ851970:AWQ852207 BGM851970:BGM852207 BQI851970:BQI852207 CAE851970:CAE852207 CKA851970:CKA852207 CTW851970:CTW852207 DDS851970:DDS852207 DNO851970:DNO852207 DXK851970:DXK852207 EHG851970:EHG852207 ERC851970:ERC852207 FAY851970:FAY852207 FKU851970:FKU852207 FUQ851970:FUQ852207 GEM851970:GEM852207 GOI851970:GOI852207 GYE851970:GYE852207 HIA851970:HIA852207 HRW851970:HRW852207 IBS851970:IBS852207 ILO851970:ILO852207 IVK851970:IVK852207 JFG851970:JFG852207 JPC851970:JPC852207 JYY851970:JYY852207 KIU851970:KIU852207 KSQ851970:KSQ852207 LCM851970:LCM852207 LMI851970:LMI852207 LWE851970:LWE852207 MGA851970:MGA852207 MPW851970:MPW852207 MZS851970:MZS852207 NJO851970:NJO852207 NTK851970:NTK852207 ODG851970:ODG852207 ONC851970:ONC852207 OWY851970:OWY852207 PGU851970:PGU852207 PQQ851970:PQQ852207 QAM851970:QAM852207 QKI851970:QKI852207 QUE851970:QUE852207 REA851970:REA852207 RNW851970:RNW852207 RXS851970:RXS852207 SHO851970:SHO852207 SRK851970:SRK852207 TBG851970:TBG852207 TLC851970:TLC852207 TUY851970:TUY852207 UEU851970:UEU852207 UOQ851970:UOQ852207 UYM851970:UYM852207 VII851970:VII852207 VSE851970:VSE852207 WCA851970:WCA852207 WLW851970:WLW852207 WVS851970:WVS852207 G917506:G917743 JG917506:JG917743 TC917506:TC917743 ACY917506:ACY917743 AMU917506:AMU917743 AWQ917506:AWQ917743 BGM917506:BGM917743 BQI917506:BQI917743 CAE917506:CAE917743 CKA917506:CKA917743 CTW917506:CTW917743 DDS917506:DDS917743 DNO917506:DNO917743 DXK917506:DXK917743 EHG917506:EHG917743 ERC917506:ERC917743 FAY917506:FAY917743 FKU917506:FKU917743 FUQ917506:FUQ917743 GEM917506:GEM917743 GOI917506:GOI917743 GYE917506:GYE917743 HIA917506:HIA917743 HRW917506:HRW917743 IBS917506:IBS917743 ILO917506:ILO917743 IVK917506:IVK917743 JFG917506:JFG917743 JPC917506:JPC917743 JYY917506:JYY917743 KIU917506:KIU917743 KSQ917506:KSQ917743 LCM917506:LCM917743 LMI917506:LMI917743 LWE917506:LWE917743 MGA917506:MGA917743 MPW917506:MPW917743 MZS917506:MZS917743 NJO917506:NJO917743 NTK917506:NTK917743 ODG917506:ODG917743 ONC917506:ONC917743 OWY917506:OWY917743 PGU917506:PGU917743 PQQ917506:PQQ917743 QAM917506:QAM917743 QKI917506:QKI917743 QUE917506:QUE917743 REA917506:REA917743 RNW917506:RNW917743 RXS917506:RXS917743 SHO917506:SHO917743 SRK917506:SRK917743 TBG917506:TBG917743 TLC917506:TLC917743 TUY917506:TUY917743 UEU917506:UEU917743 UOQ917506:UOQ917743 UYM917506:UYM917743 VII917506:VII917743 VSE917506:VSE917743 WCA917506:WCA917743 WLW917506:WLW917743 WVS917506:WVS917743 G983042:G983279 JG983042:JG983279 TC983042:TC983279 ACY983042:ACY983279 AMU983042:AMU983279 AWQ983042:AWQ983279 BGM983042:BGM983279 BQI983042:BQI983279 CAE983042:CAE983279 CKA983042:CKA983279 CTW983042:CTW983279 DDS983042:DDS983279 DNO983042:DNO983279 DXK983042:DXK983279 EHG983042:EHG983279 ERC983042:ERC983279 FAY983042:FAY983279 FKU983042:FKU983279 FUQ983042:FUQ983279 GEM983042:GEM983279 GOI983042:GOI983279 GYE983042:GYE983279 HIA983042:HIA983279 HRW983042:HRW983279 IBS983042:IBS983279 ILO983042:ILO983279 IVK983042:IVK983279 JFG983042:JFG983279 JPC983042:JPC983279 JYY983042:JYY983279 KIU983042:KIU983279 KSQ983042:KSQ983279 LCM983042:LCM983279 LMI983042:LMI983279 LWE983042:LWE983279 MGA983042:MGA983279 MPW983042:MPW983279 MZS983042:MZS983279 NJO983042:NJO983279 NTK983042:NTK983279 ODG983042:ODG983279 ONC983042:ONC983279 OWY983042:OWY983279 PGU983042:PGU983279 PQQ983042:PQQ983279 QAM983042:QAM983279 QKI983042:QKI983279 QUE983042:QUE983279 REA983042:REA983279 RNW983042:RNW983279 RXS983042:RXS983279 SHO983042:SHO983279 SRK983042:SRK983279 TBG983042:TBG983279 TLC983042:TLC983279 TUY983042:TUY983279 UEU983042:UEU983279 UOQ983042:UOQ983279 UYM983042:UYM983279 VII983042:VII983279 VSE983042:VSE983279 WCA983042:WCA983279 WLW983042:WLW983279 WVS983042:WVS983279" xr:uid="{B9673D91-1254-4671-A5CC-58EAF3AAF41F}">
      <formula1>"成品,结构件,电子物料,树脂原料,化学品及其他,包装材料"</formula1>
    </dataValidation>
    <dataValidation type="list" allowBlank="1" showInputMessage="1" showErrorMessage="1" sqref="K2:K239 JK2:JK239 TG2:TG239 ADC2:ADC239 AMY2:AMY239 AWU2:AWU239 BGQ2:BGQ239 BQM2:BQM239 CAI2:CAI239 CKE2:CKE239 CUA2:CUA239 DDW2:DDW239 DNS2:DNS239 DXO2:DXO239 EHK2:EHK239 ERG2:ERG239 FBC2:FBC239 FKY2:FKY239 FUU2:FUU239 GEQ2:GEQ239 GOM2:GOM239 GYI2:GYI239 HIE2:HIE239 HSA2:HSA239 IBW2:IBW239 ILS2:ILS239 IVO2:IVO239 JFK2:JFK239 JPG2:JPG239 JZC2:JZC239 KIY2:KIY239 KSU2:KSU239 LCQ2:LCQ239 LMM2:LMM239 LWI2:LWI239 MGE2:MGE239 MQA2:MQA239 MZW2:MZW239 NJS2:NJS239 NTO2:NTO239 ODK2:ODK239 ONG2:ONG239 OXC2:OXC239 PGY2:PGY239 PQU2:PQU239 QAQ2:QAQ239 QKM2:QKM239 QUI2:QUI239 REE2:REE239 ROA2:ROA239 RXW2:RXW239 SHS2:SHS239 SRO2:SRO239 TBK2:TBK239 TLG2:TLG239 TVC2:TVC239 UEY2:UEY239 UOU2:UOU239 UYQ2:UYQ239 VIM2:VIM239 VSI2:VSI239 WCE2:WCE239 WMA2:WMA239 WVW2:WVW239 K65538:K65775 JK65538:JK65775 TG65538:TG65775 ADC65538:ADC65775 AMY65538:AMY65775 AWU65538:AWU65775 BGQ65538:BGQ65775 BQM65538:BQM65775 CAI65538:CAI65775 CKE65538:CKE65775 CUA65538:CUA65775 DDW65538:DDW65775 DNS65538:DNS65775 DXO65538:DXO65775 EHK65538:EHK65775 ERG65538:ERG65775 FBC65538:FBC65775 FKY65538:FKY65775 FUU65538:FUU65775 GEQ65538:GEQ65775 GOM65538:GOM65775 GYI65538:GYI65775 HIE65538:HIE65775 HSA65538:HSA65775 IBW65538:IBW65775 ILS65538:ILS65775 IVO65538:IVO65775 JFK65538:JFK65775 JPG65538:JPG65775 JZC65538:JZC65775 KIY65538:KIY65775 KSU65538:KSU65775 LCQ65538:LCQ65775 LMM65538:LMM65775 LWI65538:LWI65775 MGE65538:MGE65775 MQA65538:MQA65775 MZW65538:MZW65775 NJS65538:NJS65775 NTO65538:NTO65775 ODK65538:ODK65775 ONG65538:ONG65775 OXC65538:OXC65775 PGY65538:PGY65775 PQU65538:PQU65775 QAQ65538:QAQ65775 QKM65538:QKM65775 QUI65538:QUI65775 REE65538:REE65775 ROA65538:ROA65775 RXW65538:RXW65775 SHS65538:SHS65775 SRO65538:SRO65775 TBK65538:TBK65775 TLG65538:TLG65775 TVC65538:TVC65775 UEY65538:UEY65775 UOU65538:UOU65775 UYQ65538:UYQ65775 VIM65538:VIM65775 VSI65538:VSI65775 WCE65538:WCE65775 WMA65538:WMA65775 WVW65538:WVW65775 K131074:K131311 JK131074:JK131311 TG131074:TG131311 ADC131074:ADC131311 AMY131074:AMY131311 AWU131074:AWU131311 BGQ131074:BGQ131311 BQM131074:BQM131311 CAI131074:CAI131311 CKE131074:CKE131311 CUA131074:CUA131311 DDW131074:DDW131311 DNS131074:DNS131311 DXO131074:DXO131311 EHK131074:EHK131311 ERG131074:ERG131311 FBC131074:FBC131311 FKY131074:FKY131311 FUU131074:FUU131311 GEQ131074:GEQ131311 GOM131074:GOM131311 GYI131074:GYI131311 HIE131074:HIE131311 HSA131074:HSA131311 IBW131074:IBW131311 ILS131074:ILS131311 IVO131074:IVO131311 JFK131074:JFK131311 JPG131074:JPG131311 JZC131074:JZC131311 KIY131074:KIY131311 KSU131074:KSU131311 LCQ131074:LCQ131311 LMM131074:LMM131311 LWI131074:LWI131311 MGE131074:MGE131311 MQA131074:MQA131311 MZW131074:MZW131311 NJS131074:NJS131311 NTO131074:NTO131311 ODK131074:ODK131311 ONG131074:ONG131311 OXC131074:OXC131311 PGY131074:PGY131311 PQU131074:PQU131311 QAQ131074:QAQ131311 QKM131074:QKM131311 QUI131074:QUI131311 REE131074:REE131311 ROA131074:ROA131311 RXW131074:RXW131311 SHS131074:SHS131311 SRO131074:SRO131311 TBK131074:TBK131311 TLG131074:TLG131311 TVC131074:TVC131311 UEY131074:UEY131311 UOU131074:UOU131311 UYQ131074:UYQ131311 VIM131074:VIM131311 VSI131074:VSI131311 WCE131074:WCE131311 WMA131074:WMA131311 WVW131074:WVW131311 K196610:K196847 JK196610:JK196847 TG196610:TG196847 ADC196610:ADC196847 AMY196610:AMY196847 AWU196610:AWU196847 BGQ196610:BGQ196847 BQM196610:BQM196847 CAI196610:CAI196847 CKE196610:CKE196847 CUA196610:CUA196847 DDW196610:DDW196847 DNS196610:DNS196847 DXO196610:DXO196847 EHK196610:EHK196847 ERG196610:ERG196847 FBC196610:FBC196847 FKY196610:FKY196847 FUU196610:FUU196847 GEQ196610:GEQ196847 GOM196610:GOM196847 GYI196610:GYI196847 HIE196610:HIE196847 HSA196610:HSA196847 IBW196610:IBW196847 ILS196610:ILS196847 IVO196610:IVO196847 JFK196610:JFK196847 JPG196610:JPG196847 JZC196610:JZC196847 KIY196610:KIY196847 KSU196610:KSU196847 LCQ196610:LCQ196847 LMM196610:LMM196847 LWI196610:LWI196847 MGE196610:MGE196847 MQA196610:MQA196847 MZW196610:MZW196847 NJS196610:NJS196847 NTO196610:NTO196847 ODK196610:ODK196847 ONG196610:ONG196847 OXC196610:OXC196847 PGY196610:PGY196847 PQU196610:PQU196847 QAQ196610:QAQ196847 QKM196610:QKM196847 QUI196610:QUI196847 REE196610:REE196847 ROA196610:ROA196847 RXW196610:RXW196847 SHS196610:SHS196847 SRO196610:SRO196847 TBK196610:TBK196847 TLG196610:TLG196847 TVC196610:TVC196847 UEY196610:UEY196847 UOU196610:UOU196847 UYQ196610:UYQ196847 VIM196610:VIM196847 VSI196610:VSI196847 WCE196610:WCE196847 WMA196610:WMA196847 WVW196610:WVW196847 K262146:K262383 JK262146:JK262383 TG262146:TG262383 ADC262146:ADC262383 AMY262146:AMY262383 AWU262146:AWU262383 BGQ262146:BGQ262383 BQM262146:BQM262383 CAI262146:CAI262383 CKE262146:CKE262383 CUA262146:CUA262383 DDW262146:DDW262383 DNS262146:DNS262383 DXO262146:DXO262383 EHK262146:EHK262383 ERG262146:ERG262383 FBC262146:FBC262383 FKY262146:FKY262383 FUU262146:FUU262383 GEQ262146:GEQ262383 GOM262146:GOM262383 GYI262146:GYI262383 HIE262146:HIE262383 HSA262146:HSA262383 IBW262146:IBW262383 ILS262146:ILS262383 IVO262146:IVO262383 JFK262146:JFK262383 JPG262146:JPG262383 JZC262146:JZC262383 KIY262146:KIY262383 KSU262146:KSU262383 LCQ262146:LCQ262383 LMM262146:LMM262383 LWI262146:LWI262383 MGE262146:MGE262383 MQA262146:MQA262383 MZW262146:MZW262383 NJS262146:NJS262383 NTO262146:NTO262383 ODK262146:ODK262383 ONG262146:ONG262383 OXC262146:OXC262383 PGY262146:PGY262383 PQU262146:PQU262383 QAQ262146:QAQ262383 QKM262146:QKM262383 QUI262146:QUI262383 REE262146:REE262383 ROA262146:ROA262383 RXW262146:RXW262383 SHS262146:SHS262383 SRO262146:SRO262383 TBK262146:TBK262383 TLG262146:TLG262383 TVC262146:TVC262383 UEY262146:UEY262383 UOU262146:UOU262383 UYQ262146:UYQ262383 VIM262146:VIM262383 VSI262146:VSI262383 WCE262146:WCE262383 WMA262146:WMA262383 WVW262146:WVW262383 K327682:K327919 JK327682:JK327919 TG327682:TG327919 ADC327682:ADC327919 AMY327682:AMY327919 AWU327682:AWU327919 BGQ327682:BGQ327919 BQM327682:BQM327919 CAI327682:CAI327919 CKE327682:CKE327919 CUA327682:CUA327919 DDW327682:DDW327919 DNS327682:DNS327919 DXO327682:DXO327919 EHK327682:EHK327919 ERG327682:ERG327919 FBC327682:FBC327919 FKY327682:FKY327919 FUU327682:FUU327919 GEQ327682:GEQ327919 GOM327682:GOM327919 GYI327682:GYI327919 HIE327682:HIE327919 HSA327682:HSA327919 IBW327682:IBW327919 ILS327682:ILS327919 IVO327682:IVO327919 JFK327682:JFK327919 JPG327682:JPG327919 JZC327682:JZC327919 KIY327682:KIY327919 KSU327682:KSU327919 LCQ327682:LCQ327919 LMM327682:LMM327919 LWI327682:LWI327919 MGE327682:MGE327919 MQA327682:MQA327919 MZW327682:MZW327919 NJS327682:NJS327919 NTO327682:NTO327919 ODK327682:ODK327919 ONG327682:ONG327919 OXC327682:OXC327919 PGY327682:PGY327919 PQU327682:PQU327919 QAQ327682:QAQ327919 QKM327682:QKM327919 QUI327682:QUI327919 REE327682:REE327919 ROA327682:ROA327919 RXW327682:RXW327919 SHS327682:SHS327919 SRO327682:SRO327919 TBK327682:TBK327919 TLG327682:TLG327919 TVC327682:TVC327919 UEY327682:UEY327919 UOU327682:UOU327919 UYQ327682:UYQ327919 VIM327682:VIM327919 VSI327682:VSI327919 WCE327682:WCE327919 WMA327682:WMA327919 WVW327682:WVW327919 K393218:K393455 JK393218:JK393455 TG393218:TG393455 ADC393218:ADC393455 AMY393218:AMY393455 AWU393218:AWU393455 BGQ393218:BGQ393455 BQM393218:BQM393455 CAI393218:CAI393455 CKE393218:CKE393455 CUA393218:CUA393455 DDW393218:DDW393455 DNS393218:DNS393455 DXO393218:DXO393455 EHK393218:EHK393455 ERG393218:ERG393455 FBC393218:FBC393455 FKY393218:FKY393455 FUU393218:FUU393455 GEQ393218:GEQ393455 GOM393218:GOM393455 GYI393218:GYI393455 HIE393218:HIE393455 HSA393218:HSA393455 IBW393218:IBW393455 ILS393218:ILS393455 IVO393218:IVO393455 JFK393218:JFK393455 JPG393218:JPG393455 JZC393218:JZC393455 KIY393218:KIY393455 KSU393218:KSU393455 LCQ393218:LCQ393455 LMM393218:LMM393455 LWI393218:LWI393455 MGE393218:MGE393455 MQA393218:MQA393455 MZW393218:MZW393455 NJS393218:NJS393455 NTO393218:NTO393455 ODK393218:ODK393455 ONG393218:ONG393455 OXC393218:OXC393455 PGY393218:PGY393455 PQU393218:PQU393455 QAQ393218:QAQ393455 QKM393218:QKM393455 QUI393218:QUI393455 REE393218:REE393455 ROA393218:ROA393455 RXW393218:RXW393455 SHS393218:SHS393455 SRO393218:SRO393455 TBK393218:TBK393455 TLG393218:TLG393455 TVC393218:TVC393455 UEY393218:UEY393455 UOU393218:UOU393455 UYQ393218:UYQ393455 VIM393218:VIM393455 VSI393218:VSI393455 WCE393218:WCE393455 WMA393218:WMA393455 WVW393218:WVW393455 K458754:K458991 JK458754:JK458991 TG458754:TG458991 ADC458754:ADC458991 AMY458754:AMY458991 AWU458754:AWU458991 BGQ458754:BGQ458991 BQM458754:BQM458991 CAI458754:CAI458991 CKE458754:CKE458991 CUA458754:CUA458991 DDW458754:DDW458991 DNS458754:DNS458991 DXO458754:DXO458991 EHK458754:EHK458991 ERG458754:ERG458991 FBC458754:FBC458991 FKY458754:FKY458991 FUU458754:FUU458991 GEQ458754:GEQ458991 GOM458754:GOM458991 GYI458754:GYI458991 HIE458754:HIE458991 HSA458754:HSA458991 IBW458754:IBW458991 ILS458754:ILS458991 IVO458754:IVO458991 JFK458754:JFK458991 JPG458754:JPG458991 JZC458754:JZC458991 KIY458754:KIY458991 KSU458754:KSU458991 LCQ458754:LCQ458991 LMM458754:LMM458991 LWI458754:LWI458991 MGE458754:MGE458991 MQA458754:MQA458991 MZW458754:MZW458991 NJS458754:NJS458991 NTO458754:NTO458991 ODK458754:ODK458991 ONG458754:ONG458991 OXC458754:OXC458991 PGY458754:PGY458991 PQU458754:PQU458991 QAQ458754:QAQ458991 QKM458754:QKM458991 QUI458754:QUI458991 REE458754:REE458991 ROA458754:ROA458991 RXW458754:RXW458991 SHS458754:SHS458991 SRO458754:SRO458991 TBK458754:TBK458991 TLG458754:TLG458991 TVC458754:TVC458991 UEY458754:UEY458991 UOU458754:UOU458991 UYQ458754:UYQ458991 VIM458754:VIM458991 VSI458754:VSI458991 WCE458754:WCE458991 WMA458754:WMA458991 WVW458754:WVW458991 K524290:K524527 JK524290:JK524527 TG524290:TG524527 ADC524290:ADC524527 AMY524290:AMY524527 AWU524290:AWU524527 BGQ524290:BGQ524527 BQM524290:BQM524527 CAI524290:CAI524527 CKE524290:CKE524527 CUA524290:CUA524527 DDW524290:DDW524527 DNS524290:DNS524527 DXO524290:DXO524527 EHK524290:EHK524527 ERG524290:ERG524527 FBC524290:FBC524527 FKY524290:FKY524527 FUU524290:FUU524527 GEQ524290:GEQ524527 GOM524290:GOM524527 GYI524290:GYI524527 HIE524290:HIE524527 HSA524290:HSA524527 IBW524290:IBW524527 ILS524290:ILS524527 IVO524290:IVO524527 JFK524290:JFK524527 JPG524290:JPG524527 JZC524290:JZC524527 KIY524290:KIY524527 KSU524290:KSU524527 LCQ524290:LCQ524527 LMM524290:LMM524527 LWI524290:LWI524527 MGE524290:MGE524527 MQA524290:MQA524527 MZW524290:MZW524527 NJS524290:NJS524527 NTO524290:NTO524527 ODK524290:ODK524527 ONG524290:ONG524527 OXC524290:OXC524527 PGY524290:PGY524527 PQU524290:PQU524527 QAQ524290:QAQ524527 QKM524290:QKM524527 QUI524290:QUI524527 REE524290:REE524527 ROA524290:ROA524527 RXW524290:RXW524527 SHS524290:SHS524527 SRO524290:SRO524527 TBK524290:TBK524527 TLG524290:TLG524527 TVC524290:TVC524527 UEY524290:UEY524527 UOU524290:UOU524527 UYQ524290:UYQ524527 VIM524290:VIM524527 VSI524290:VSI524527 WCE524290:WCE524527 WMA524290:WMA524527 WVW524290:WVW524527 K589826:K590063 JK589826:JK590063 TG589826:TG590063 ADC589826:ADC590063 AMY589826:AMY590063 AWU589826:AWU590063 BGQ589826:BGQ590063 BQM589826:BQM590063 CAI589826:CAI590063 CKE589826:CKE590063 CUA589826:CUA590063 DDW589826:DDW590063 DNS589826:DNS590063 DXO589826:DXO590063 EHK589826:EHK590063 ERG589826:ERG590063 FBC589826:FBC590063 FKY589826:FKY590063 FUU589826:FUU590063 GEQ589826:GEQ590063 GOM589826:GOM590063 GYI589826:GYI590063 HIE589826:HIE590063 HSA589826:HSA590063 IBW589826:IBW590063 ILS589826:ILS590063 IVO589826:IVO590063 JFK589826:JFK590063 JPG589826:JPG590063 JZC589826:JZC590063 KIY589826:KIY590063 KSU589826:KSU590063 LCQ589826:LCQ590063 LMM589826:LMM590063 LWI589826:LWI590063 MGE589826:MGE590063 MQA589826:MQA590063 MZW589826:MZW590063 NJS589826:NJS590063 NTO589826:NTO590063 ODK589826:ODK590063 ONG589826:ONG590063 OXC589826:OXC590063 PGY589826:PGY590063 PQU589826:PQU590063 QAQ589826:QAQ590063 QKM589826:QKM590063 QUI589826:QUI590063 REE589826:REE590063 ROA589826:ROA590063 RXW589826:RXW590063 SHS589826:SHS590063 SRO589826:SRO590063 TBK589826:TBK590063 TLG589826:TLG590063 TVC589826:TVC590063 UEY589826:UEY590063 UOU589826:UOU590063 UYQ589826:UYQ590063 VIM589826:VIM590063 VSI589826:VSI590063 WCE589826:WCE590063 WMA589826:WMA590063 WVW589826:WVW590063 K655362:K655599 JK655362:JK655599 TG655362:TG655599 ADC655362:ADC655599 AMY655362:AMY655599 AWU655362:AWU655599 BGQ655362:BGQ655599 BQM655362:BQM655599 CAI655362:CAI655599 CKE655362:CKE655599 CUA655362:CUA655599 DDW655362:DDW655599 DNS655362:DNS655599 DXO655362:DXO655599 EHK655362:EHK655599 ERG655362:ERG655599 FBC655362:FBC655599 FKY655362:FKY655599 FUU655362:FUU655599 GEQ655362:GEQ655599 GOM655362:GOM655599 GYI655362:GYI655599 HIE655362:HIE655599 HSA655362:HSA655599 IBW655362:IBW655599 ILS655362:ILS655599 IVO655362:IVO655599 JFK655362:JFK655599 JPG655362:JPG655599 JZC655362:JZC655599 KIY655362:KIY655599 KSU655362:KSU655599 LCQ655362:LCQ655599 LMM655362:LMM655599 LWI655362:LWI655599 MGE655362:MGE655599 MQA655362:MQA655599 MZW655362:MZW655599 NJS655362:NJS655599 NTO655362:NTO655599 ODK655362:ODK655599 ONG655362:ONG655599 OXC655362:OXC655599 PGY655362:PGY655599 PQU655362:PQU655599 QAQ655362:QAQ655599 QKM655362:QKM655599 QUI655362:QUI655599 REE655362:REE655599 ROA655362:ROA655599 RXW655362:RXW655599 SHS655362:SHS655599 SRO655362:SRO655599 TBK655362:TBK655599 TLG655362:TLG655599 TVC655362:TVC655599 UEY655362:UEY655599 UOU655362:UOU655599 UYQ655362:UYQ655599 VIM655362:VIM655599 VSI655362:VSI655599 WCE655362:WCE655599 WMA655362:WMA655599 WVW655362:WVW655599 K720898:K721135 JK720898:JK721135 TG720898:TG721135 ADC720898:ADC721135 AMY720898:AMY721135 AWU720898:AWU721135 BGQ720898:BGQ721135 BQM720898:BQM721135 CAI720898:CAI721135 CKE720898:CKE721135 CUA720898:CUA721135 DDW720898:DDW721135 DNS720898:DNS721135 DXO720898:DXO721135 EHK720898:EHK721135 ERG720898:ERG721135 FBC720898:FBC721135 FKY720898:FKY721135 FUU720898:FUU721135 GEQ720898:GEQ721135 GOM720898:GOM721135 GYI720898:GYI721135 HIE720898:HIE721135 HSA720898:HSA721135 IBW720898:IBW721135 ILS720898:ILS721135 IVO720898:IVO721135 JFK720898:JFK721135 JPG720898:JPG721135 JZC720898:JZC721135 KIY720898:KIY721135 KSU720898:KSU721135 LCQ720898:LCQ721135 LMM720898:LMM721135 LWI720898:LWI721135 MGE720898:MGE721135 MQA720898:MQA721135 MZW720898:MZW721135 NJS720898:NJS721135 NTO720898:NTO721135 ODK720898:ODK721135 ONG720898:ONG721135 OXC720898:OXC721135 PGY720898:PGY721135 PQU720898:PQU721135 QAQ720898:QAQ721135 QKM720898:QKM721135 QUI720898:QUI721135 REE720898:REE721135 ROA720898:ROA721135 RXW720898:RXW721135 SHS720898:SHS721135 SRO720898:SRO721135 TBK720898:TBK721135 TLG720898:TLG721135 TVC720898:TVC721135 UEY720898:UEY721135 UOU720898:UOU721135 UYQ720898:UYQ721135 VIM720898:VIM721135 VSI720898:VSI721135 WCE720898:WCE721135 WMA720898:WMA721135 WVW720898:WVW721135 K786434:K786671 JK786434:JK786671 TG786434:TG786671 ADC786434:ADC786671 AMY786434:AMY786671 AWU786434:AWU786671 BGQ786434:BGQ786671 BQM786434:BQM786671 CAI786434:CAI786671 CKE786434:CKE786671 CUA786434:CUA786671 DDW786434:DDW786671 DNS786434:DNS786671 DXO786434:DXO786671 EHK786434:EHK786671 ERG786434:ERG786671 FBC786434:FBC786671 FKY786434:FKY786671 FUU786434:FUU786671 GEQ786434:GEQ786671 GOM786434:GOM786671 GYI786434:GYI786671 HIE786434:HIE786671 HSA786434:HSA786671 IBW786434:IBW786671 ILS786434:ILS786671 IVO786434:IVO786671 JFK786434:JFK786671 JPG786434:JPG786671 JZC786434:JZC786671 KIY786434:KIY786671 KSU786434:KSU786671 LCQ786434:LCQ786671 LMM786434:LMM786671 LWI786434:LWI786671 MGE786434:MGE786671 MQA786434:MQA786671 MZW786434:MZW786671 NJS786434:NJS786671 NTO786434:NTO786671 ODK786434:ODK786671 ONG786434:ONG786671 OXC786434:OXC786671 PGY786434:PGY786671 PQU786434:PQU786671 QAQ786434:QAQ786671 QKM786434:QKM786671 QUI786434:QUI786671 REE786434:REE786671 ROA786434:ROA786671 RXW786434:RXW786671 SHS786434:SHS786671 SRO786434:SRO786671 TBK786434:TBK786671 TLG786434:TLG786671 TVC786434:TVC786671 UEY786434:UEY786671 UOU786434:UOU786671 UYQ786434:UYQ786671 VIM786434:VIM786671 VSI786434:VSI786671 WCE786434:WCE786671 WMA786434:WMA786671 WVW786434:WVW786671 K851970:K852207 JK851970:JK852207 TG851970:TG852207 ADC851970:ADC852207 AMY851970:AMY852207 AWU851970:AWU852207 BGQ851970:BGQ852207 BQM851970:BQM852207 CAI851970:CAI852207 CKE851970:CKE852207 CUA851970:CUA852207 DDW851970:DDW852207 DNS851970:DNS852207 DXO851970:DXO852207 EHK851970:EHK852207 ERG851970:ERG852207 FBC851970:FBC852207 FKY851970:FKY852207 FUU851970:FUU852207 GEQ851970:GEQ852207 GOM851970:GOM852207 GYI851970:GYI852207 HIE851970:HIE852207 HSA851970:HSA852207 IBW851970:IBW852207 ILS851970:ILS852207 IVO851970:IVO852207 JFK851970:JFK852207 JPG851970:JPG852207 JZC851970:JZC852207 KIY851970:KIY852207 KSU851970:KSU852207 LCQ851970:LCQ852207 LMM851970:LMM852207 LWI851970:LWI852207 MGE851970:MGE852207 MQA851970:MQA852207 MZW851970:MZW852207 NJS851970:NJS852207 NTO851970:NTO852207 ODK851970:ODK852207 ONG851970:ONG852207 OXC851970:OXC852207 PGY851970:PGY852207 PQU851970:PQU852207 QAQ851970:QAQ852207 QKM851970:QKM852207 QUI851970:QUI852207 REE851970:REE852207 ROA851970:ROA852207 RXW851970:RXW852207 SHS851970:SHS852207 SRO851970:SRO852207 TBK851970:TBK852207 TLG851970:TLG852207 TVC851970:TVC852207 UEY851970:UEY852207 UOU851970:UOU852207 UYQ851970:UYQ852207 VIM851970:VIM852207 VSI851970:VSI852207 WCE851970:WCE852207 WMA851970:WMA852207 WVW851970:WVW852207 K917506:K917743 JK917506:JK917743 TG917506:TG917743 ADC917506:ADC917743 AMY917506:AMY917743 AWU917506:AWU917743 BGQ917506:BGQ917743 BQM917506:BQM917743 CAI917506:CAI917743 CKE917506:CKE917743 CUA917506:CUA917743 DDW917506:DDW917743 DNS917506:DNS917743 DXO917506:DXO917743 EHK917506:EHK917743 ERG917506:ERG917743 FBC917506:FBC917743 FKY917506:FKY917743 FUU917506:FUU917743 GEQ917506:GEQ917743 GOM917506:GOM917743 GYI917506:GYI917743 HIE917506:HIE917743 HSA917506:HSA917743 IBW917506:IBW917743 ILS917506:ILS917743 IVO917506:IVO917743 JFK917506:JFK917743 JPG917506:JPG917743 JZC917506:JZC917743 KIY917506:KIY917743 KSU917506:KSU917743 LCQ917506:LCQ917743 LMM917506:LMM917743 LWI917506:LWI917743 MGE917506:MGE917743 MQA917506:MQA917743 MZW917506:MZW917743 NJS917506:NJS917743 NTO917506:NTO917743 ODK917506:ODK917743 ONG917506:ONG917743 OXC917506:OXC917743 PGY917506:PGY917743 PQU917506:PQU917743 QAQ917506:QAQ917743 QKM917506:QKM917743 QUI917506:QUI917743 REE917506:REE917743 ROA917506:ROA917743 RXW917506:RXW917743 SHS917506:SHS917743 SRO917506:SRO917743 TBK917506:TBK917743 TLG917506:TLG917743 TVC917506:TVC917743 UEY917506:UEY917743 UOU917506:UOU917743 UYQ917506:UYQ917743 VIM917506:VIM917743 VSI917506:VSI917743 WCE917506:WCE917743 WMA917506:WMA917743 WVW917506:WVW917743 K983042:K983279 JK983042:JK983279 TG983042:TG983279 ADC983042:ADC983279 AMY983042:AMY983279 AWU983042:AWU983279 BGQ983042:BGQ983279 BQM983042:BQM983279 CAI983042:CAI983279 CKE983042:CKE983279 CUA983042:CUA983279 DDW983042:DDW983279 DNS983042:DNS983279 DXO983042:DXO983279 EHK983042:EHK983279 ERG983042:ERG983279 FBC983042:FBC983279 FKY983042:FKY983279 FUU983042:FUU983279 GEQ983042:GEQ983279 GOM983042:GOM983279 GYI983042:GYI983279 HIE983042:HIE983279 HSA983042:HSA983279 IBW983042:IBW983279 ILS983042:ILS983279 IVO983042:IVO983279 JFK983042:JFK983279 JPG983042:JPG983279 JZC983042:JZC983279 KIY983042:KIY983279 KSU983042:KSU983279 LCQ983042:LCQ983279 LMM983042:LMM983279 LWI983042:LWI983279 MGE983042:MGE983279 MQA983042:MQA983279 MZW983042:MZW983279 NJS983042:NJS983279 NTO983042:NTO983279 ODK983042:ODK983279 ONG983042:ONG983279 OXC983042:OXC983279 PGY983042:PGY983279 PQU983042:PQU983279 QAQ983042:QAQ983279 QKM983042:QKM983279 QUI983042:QUI983279 REE983042:REE983279 ROA983042:ROA983279 RXW983042:RXW983279 SHS983042:SHS983279 SRO983042:SRO983279 TBK983042:TBK983279 TLG983042:TLG983279 TVC983042:TVC983279 UEY983042:UEY983279 UOU983042:UOU983279 UYQ983042:UYQ983279 VIM983042:VIM983279 VSI983042:VSI983279 WCE983042:WCE983279 WMA983042:WMA983279 WVW983042:WVW983279" xr:uid="{85E30082-552A-472D-A59A-0F9EF43592DE}">
      <formula1>"G,KG,M,ML,MM,PCS,PLT,RL,SET,T"</formula1>
    </dataValidation>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A095A-30E3-400A-9F0E-9ACE00665132}">
  <dimension ref="A1:O170"/>
  <sheetViews>
    <sheetView topLeftCell="A61" zoomScale="59" zoomScaleNormal="70" workbookViewId="0">
      <selection activeCell="E87" sqref="E87"/>
    </sheetView>
  </sheetViews>
  <sheetFormatPr defaultColWidth="9" defaultRowHeight="14"/>
  <cols>
    <col min="1" max="1" width="6.453125" style="283" customWidth="1"/>
    <col min="2" max="2" width="26.1796875" style="283" customWidth="1"/>
    <col min="3" max="3" width="29" style="283" customWidth="1"/>
    <col min="4" max="4" width="31.36328125" style="297" customWidth="1"/>
    <col min="5" max="5" width="37.453125" style="283" customWidth="1"/>
    <col min="6" max="6" width="6.453125" style="283" customWidth="1"/>
    <col min="7" max="7" width="10" style="283" hidden="1" customWidth="1"/>
    <col min="8" max="8" width="10" style="283" customWidth="1"/>
    <col min="9" max="9" width="14.81640625" style="283" customWidth="1"/>
    <col min="10" max="10" width="14.81640625" style="283" hidden="1" customWidth="1"/>
    <col min="11" max="11" width="13.453125" style="283" customWidth="1"/>
    <col min="12" max="13" width="21" style="283" customWidth="1"/>
    <col min="14" max="14" width="13.81640625" style="283" customWidth="1"/>
    <col min="15" max="15" width="32.36328125" style="283" customWidth="1"/>
    <col min="16" max="16384" width="9" style="283"/>
  </cols>
  <sheetData>
    <row r="1" spans="1:15">
      <c r="A1" s="280" t="s">
        <v>217</v>
      </c>
      <c r="B1" s="281"/>
      <c r="C1" s="282"/>
      <c r="D1" s="281"/>
      <c r="E1" s="281"/>
      <c r="F1" s="281"/>
      <c r="G1" s="281"/>
      <c r="H1" s="281"/>
      <c r="I1" s="281"/>
      <c r="J1" s="281"/>
      <c r="K1" s="281"/>
      <c r="L1" s="281"/>
      <c r="M1" s="281"/>
      <c r="N1" s="281"/>
      <c r="O1" s="281"/>
    </row>
    <row r="2" spans="1:15" ht="16.25" customHeight="1">
      <c r="A2" s="284" t="s">
        <v>218</v>
      </c>
      <c r="B2" s="284" t="s">
        <v>219</v>
      </c>
      <c r="C2" s="284" t="s">
        <v>220</v>
      </c>
      <c r="D2" s="284" t="s">
        <v>221</v>
      </c>
      <c r="E2" s="284" t="s">
        <v>222</v>
      </c>
      <c r="F2" s="284" t="s">
        <v>223</v>
      </c>
      <c r="G2" s="284" t="s">
        <v>224</v>
      </c>
      <c r="H2" s="284" t="s">
        <v>225</v>
      </c>
      <c r="I2" s="284" t="s">
        <v>226</v>
      </c>
      <c r="J2" s="284" t="s">
        <v>227</v>
      </c>
      <c r="K2" s="284" t="s">
        <v>228</v>
      </c>
      <c r="L2" s="284" t="s">
        <v>229</v>
      </c>
      <c r="M2" s="284" t="s">
        <v>230</v>
      </c>
      <c r="N2" s="284" t="s">
        <v>231</v>
      </c>
      <c r="O2" s="284" t="s">
        <v>232</v>
      </c>
    </row>
    <row r="3" spans="1:15" ht="16.25" customHeight="1">
      <c r="A3" s="285" t="s">
        <v>233</v>
      </c>
      <c r="B3" s="284" t="s">
        <v>234</v>
      </c>
      <c r="C3" s="284" t="s">
        <v>235</v>
      </c>
      <c r="D3" s="284" t="s">
        <v>234</v>
      </c>
      <c r="E3" s="284" t="s">
        <v>236</v>
      </c>
      <c r="F3" s="285" t="s">
        <v>28</v>
      </c>
      <c r="G3" s="284">
        <v>5</v>
      </c>
      <c r="H3" s="284">
        <v>5</v>
      </c>
      <c r="I3" s="286">
        <f>VLOOKUP(D3,[10]EBOM!$C:$P,14,0)</f>
        <v>0.02</v>
      </c>
      <c r="J3" s="287">
        <f t="shared" ref="J3:J20" si="0">I3-_xlfn.MINIFS(I:I,C:C,C3)</f>
        <v>0</v>
      </c>
      <c r="K3" s="288">
        <f>I3*1.035</f>
        <v>2.07E-2</v>
      </c>
      <c r="L3" s="288">
        <f>K3*H3</f>
        <v>0.10349999999999999</v>
      </c>
      <c r="M3" s="289"/>
      <c r="N3" s="284" t="s">
        <v>237</v>
      </c>
      <c r="O3" s="284" t="s">
        <v>238</v>
      </c>
    </row>
    <row r="4" spans="1:15" ht="16.25" customHeight="1">
      <c r="A4" s="285" t="s">
        <v>233</v>
      </c>
      <c r="B4" s="284" t="s">
        <v>239</v>
      </c>
      <c r="C4" s="284" t="s">
        <v>235</v>
      </c>
      <c r="D4" s="284" t="s">
        <v>239</v>
      </c>
      <c r="E4" s="284" t="s">
        <v>236</v>
      </c>
      <c r="F4" s="285" t="s">
        <v>28</v>
      </c>
      <c r="G4" s="284"/>
      <c r="H4" s="284"/>
      <c r="I4" s="286">
        <f>VLOOKUP(D4,[10]EBOM!$C:$P,14,0)</f>
        <v>3.2579999999999998E-2</v>
      </c>
      <c r="J4" s="286">
        <f t="shared" si="0"/>
        <v>1.2579999999999997E-2</v>
      </c>
      <c r="K4" s="288"/>
      <c r="L4" s="288"/>
      <c r="M4" s="288"/>
      <c r="N4" s="284" t="s">
        <v>240</v>
      </c>
      <c r="O4" s="284"/>
    </row>
    <row r="5" spans="1:15" ht="16.25" customHeight="1">
      <c r="A5" s="285" t="s">
        <v>233</v>
      </c>
      <c r="B5" s="284" t="s">
        <v>241</v>
      </c>
      <c r="C5" s="284" t="s">
        <v>242</v>
      </c>
      <c r="D5" s="284" t="s">
        <v>241</v>
      </c>
      <c r="E5" s="284" t="s">
        <v>243</v>
      </c>
      <c r="F5" s="285" t="s">
        <v>28</v>
      </c>
      <c r="G5" s="284">
        <v>1</v>
      </c>
      <c r="H5" s="284">
        <v>1</v>
      </c>
      <c r="I5" s="286">
        <f>VLOOKUP(D5,[10]EBOM!$C:$P,14,0)</f>
        <v>4.1200000000000001E-2</v>
      </c>
      <c r="J5" s="287">
        <f t="shared" si="0"/>
        <v>0</v>
      </c>
      <c r="K5" s="288">
        <f>I5*1.035</f>
        <v>4.2641999999999999E-2</v>
      </c>
      <c r="L5" s="288">
        <f>K5*H5</f>
        <v>4.2641999999999999E-2</v>
      </c>
      <c r="M5" s="289"/>
      <c r="N5" s="284" t="s">
        <v>244</v>
      </c>
      <c r="O5" s="284" t="s">
        <v>245</v>
      </c>
    </row>
    <row r="6" spans="1:15" ht="16.25" customHeight="1">
      <c r="A6" s="285" t="s">
        <v>233</v>
      </c>
      <c r="B6" s="284" t="s">
        <v>246</v>
      </c>
      <c r="C6" s="284" t="s">
        <v>242</v>
      </c>
      <c r="D6" s="284" t="s">
        <v>247</v>
      </c>
      <c r="E6" s="284" t="s">
        <v>243</v>
      </c>
      <c r="F6" s="285" t="s">
        <v>28</v>
      </c>
      <c r="G6" s="284"/>
      <c r="H6" s="284"/>
      <c r="I6" s="286"/>
      <c r="J6" s="286">
        <f t="shared" si="0"/>
        <v>-4.1200000000000001E-2</v>
      </c>
      <c r="K6" s="288"/>
      <c r="L6" s="288"/>
      <c r="M6" s="288"/>
      <c r="N6" s="284" t="s">
        <v>244</v>
      </c>
      <c r="O6" s="284"/>
    </row>
    <row r="7" spans="1:15" ht="16.25" customHeight="1">
      <c r="A7" s="285" t="s">
        <v>233</v>
      </c>
      <c r="B7" s="284" t="s">
        <v>248</v>
      </c>
      <c r="C7" s="284" t="s">
        <v>249</v>
      </c>
      <c r="D7" s="284" t="s">
        <v>250</v>
      </c>
      <c r="E7" s="284" t="s">
        <v>251</v>
      </c>
      <c r="F7" s="285" t="s">
        <v>28</v>
      </c>
      <c r="G7" s="284">
        <v>2</v>
      </c>
      <c r="H7" s="284"/>
      <c r="I7" s="286">
        <f>VLOOKUP(D7,[10]EBOM!$C:$P,14,0)</f>
        <v>2.99E-3</v>
      </c>
      <c r="J7" s="286">
        <f t="shared" si="0"/>
        <v>2.8999999999999989E-4</v>
      </c>
      <c r="K7" s="288"/>
      <c r="L7" s="288"/>
      <c r="M7" s="288"/>
      <c r="N7" s="284" t="s">
        <v>240</v>
      </c>
      <c r="O7" s="284" t="s">
        <v>252</v>
      </c>
    </row>
    <row r="8" spans="1:15" ht="16.25" customHeight="1">
      <c r="A8" s="285" t="s">
        <v>233</v>
      </c>
      <c r="B8" s="284" t="s">
        <v>248</v>
      </c>
      <c r="C8" s="284" t="s">
        <v>249</v>
      </c>
      <c r="D8" s="284" t="s">
        <v>253</v>
      </c>
      <c r="E8" s="284" t="s">
        <v>251</v>
      </c>
      <c r="F8" s="285" t="s">
        <v>28</v>
      </c>
      <c r="G8" s="284"/>
      <c r="H8" s="284"/>
      <c r="I8" s="286"/>
      <c r="J8" s="286">
        <f t="shared" si="0"/>
        <v>-2.7000000000000001E-3</v>
      </c>
      <c r="K8" s="288"/>
      <c r="L8" s="288"/>
      <c r="M8" s="288"/>
      <c r="N8" s="284" t="s">
        <v>254</v>
      </c>
      <c r="O8" s="284"/>
    </row>
    <row r="9" spans="1:15" ht="16.25" customHeight="1">
      <c r="A9" s="285" t="s">
        <v>233</v>
      </c>
      <c r="B9" s="284" t="s">
        <v>255</v>
      </c>
      <c r="C9" s="284" t="s">
        <v>249</v>
      </c>
      <c r="D9" s="284" t="s">
        <v>255</v>
      </c>
      <c r="E9" s="284" t="s">
        <v>251</v>
      </c>
      <c r="F9" s="285" t="s">
        <v>28</v>
      </c>
      <c r="G9" s="284"/>
      <c r="H9" s="284">
        <v>2</v>
      </c>
      <c r="I9" s="286">
        <f>VLOOKUP(D9,[10]EBOM!$C:$P,14,0)</f>
        <v>2.7000000000000001E-3</v>
      </c>
      <c r="J9" s="287">
        <f t="shared" si="0"/>
        <v>0</v>
      </c>
      <c r="K9" s="288">
        <f>I9*1.035</f>
        <v>2.7945000000000001E-3</v>
      </c>
      <c r="L9" s="288">
        <f>K9*H9</f>
        <v>5.5890000000000002E-3</v>
      </c>
      <c r="M9" s="289"/>
      <c r="N9" s="284" t="s">
        <v>237</v>
      </c>
      <c r="O9" s="284"/>
    </row>
    <row r="10" spans="1:15" ht="16.25" customHeight="1">
      <c r="A10" s="285" t="s">
        <v>233</v>
      </c>
      <c r="B10" s="284" t="s">
        <v>248</v>
      </c>
      <c r="C10" s="284" t="s">
        <v>249</v>
      </c>
      <c r="D10" s="284" t="s">
        <v>256</v>
      </c>
      <c r="E10" s="284" t="s">
        <v>251</v>
      </c>
      <c r="F10" s="285" t="s">
        <v>28</v>
      </c>
      <c r="G10" s="284"/>
      <c r="H10" s="284"/>
      <c r="I10" s="286"/>
      <c r="J10" s="286">
        <f t="shared" si="0"/>
        <v>-2.7000000000000001E-3</v>
      </c>
      <c r="K10" s="288"/>
      <c r="L10" s="288"/>
      <c r="M10" s="288"/>
      <c r="N10" s="284" t="s">
        <v>257</v>
      </c>
      <c r="O10" s="284"/>
    </row>
    <row r="11" spans="1:15" ht="16.25" customHeight="1">
      <c r="A11" s="285" t="s">
        <v>233</v>
      </c>
      <c r="B11" s="284" t="s">
        <v>248</v>
      </c>
      <c r="C11" s="284" t="s">
        <v>249</v>
      </c>
      <c r="D11" s="284" t="s">
        <v>258</v>
      </c>
      <c r="E11" s="284" t="s">
        <v>251</v>
      </c>
      <c r="F11" s="285" t="s">
        <v>28</v>
      </c>
      <c r="G11" s="284"/>
      <c r="H11" s="284"/>
      <c r="I11" s="286"/>
      <c r="J11" s="286">
        <f t="shared" si="0"/>
        <v>-2.7000000000000001E-3</v>
      </c>
      <c r="K11" s="288"/>
      <c r="L11" s="288"/>
      <c r="M11" s="288"/>
      <c r="N11" s="284" t="s">
        <v>257</v>
      </c>
      <c r="O11" s="284"/>
    </row>
    <row r="12" spans="1:15" ht="16.25" customHeight="1">
      <c r="A12" s="285" t="s">
        <v>233</v>
      </c>
      <c r="B12" s="284" t="s">
        <v>248</v>
      </c>
      <c r="C12" s="284" t="s">
        <v>249</v>
      </c>
      <c r="D12" s="284" t="s">
        <v>259</v>
      </c>
      <c r="E12" s="284" t="s">
        <v>251</v>
      </c>
      <c r="F12" s="285" t="s">
        <v>28</v>
      </c>
      <c r="G12" s="284"/>
      <c r="H12" s="284"/>
      <c r="I12" s="286">
        <f>VLOOKUP(D12,[10]EBOM!$C:$P,14,0)</f>
        <v>3.3999999999999998E-3</v>
      </c>
      <c r="J12" s="286">
        <f t="shared" si="0"/>
        <v>6.9999999999999967E-4</v>
      </c>
      <c r="K12" s="288"/>
      <c r="L12" s="288"/>
      <c r="M12" s="288"/>
      <c r="N12" s="284" t="s">
        <v>260</v>
      </c>
      <c r="O12" s="284"/>
    </row>
    <row r="13" spans="1:15" ht="16.25" customHeight="1">
      <c r="A13" s="285" t="s">
        <v>233</v>
      </c>
      <c r="B13" s="284" t="s">
        <v>261</v>
      </c>
      <c r="C13" s="284" t="s">
        <v>262</v>
      </c>
      <c r="D13" s="284" t="s">
        <v>261</v>
      </c>
      <c r="E13" s="284" t="s">
        <v>263</v>
      </c>
      <c r="F13" s="285" t="s">
        <v>28</v>
      </c>
      <c r="G13" s="284">
        <v>2</v>
      </c>
      <c r="H13" s="284">
        <v>2</v>
      </c>
      <c r="I13" s="286">
        <f>VLOOKUP(D13,[10]EBOM!$C:$P,14,0)</f>
        <v>0.17299999999999999</v>
      </c>
      <c r="J13" s="287">
        <f t="shared" si="0"/>
        <v>0</v>
      </c>
      <c r="K13" s="288">
        <f t="shared" ref="K13:K14" si="1">I13*1.035</f>
        <v>0.17905499999999996</v>
      </c>
      <c r="L13" s="288">
        <f t="shared" ref="L13:L14" si="2">K13*H13</f>
        <v>0.35810999999999993</v>
      </c>
      <c r="M13" s="289"/>
      <c r="N13" s="284" t="s">
        <v>264</v>
      </c>
      <c r="O13" s="284" t="s">
        <v>265</v>
      </c>
    </row>
    <row r="14" spans="1:15" ht="16.25" customHeight="1">
      <c r="A14" s="285" t="s">
        <v>233</v>
      </c>
      <c r="B14" s="284" t="s">
        <v>266</v>
      </c>
      <c r="C14" s="284" t="s">
        <v>267</v>
      </c>
      <c r="D14" s="284" t="s">
        <v>266</v>
      </c>
      <c r="E14" s="284" t="s">
        <v>268</v>
      </c>
      <c r="F14" s="285" t="s">
        <v>28</v>
      </c>
      <c r="G14" s="284">
        <v>3</v>
      </c>
      <c r="H14" s="284">
        <v>3</v>
      </c>
      <c r="I14" s="286">
        <f>VLOOKUP(D14,[10]EBOM!$C:$P,14,0)</f>
        <v>2.29E-2</v>
      </c>
      <c r="J14" s="287">
        <f t="shared" si="0"/>
        <v>0</v>
      </c>
      <c r="K14" s="288">
        <f t="shared" si="1"/>
        <v>2.3701499999999997E-2</v>
      </c>
      <c r="L14" s="288">
        <f t="shared" si="2"/>
        <v>7.1104499999999987E-2</v>
      </c>
      <c r="M14" s="289"/>
      <c r="N14" s="284" t="s">
        <v>244</v>
      </c>
      <c r="O14" s="284" t="s">
        <v>269</v>
      </c>
    </row>
    <row r="15" spans="1:15" ht="16.25" customHeight="1">
      <c r="A15" s="285" t="s">
        <v>233</v>
      </c>
      <c r="B15" s="284" t="s">
        <v>270</v>
      </c>
      <c r="C15" s="284" t="s">
        <v>267</v>
      </c>
      <c r="D15" s="284" t="s">
        <v>270</v>
      </c>
      <c r="E15" s="284" t="s">
        <v>268</v>
      </c>
      <c r="F15" s="285" t="s">
        <v>28</v>
      </c>
      <c r="G15" s="284"/>
      <c r="H15" s="284"/>
      <c r="I15" s="286"/>
      <c r="J15" s="286">
        <f t="shared" si="0"/>
        <v>-2.29E-2</v>
      </c>
      <c r="K15" s="288"/>
      <c r="L15" s="288"/>
      <c r="M15" s="288"/>
      <c r="N15" s="284" t="s">
        <v>244</v>
      </c>
      <c r="O15" s="284"/>
    </row>
    <row r="16" spans="1:15" ht="16.25" customHeight="1">
      <c r="A16" s="285" t="s">
        <v>233</v>
      </c>
      <c r="B16" s="284" t="s">
        <v>271</v>
      </c>
      <c r="C16" s="284" t="s">
        <v>272</v>
      </c>
      <c r="D16" s="284" t="s">
        <v>273</v>
      </c>
      <c r="E16" s="284" t="s">
        <v>274</v>
      </c>
      <c r="F16" s="285" t="s">
        <v>28</v>
      </c>
      <c r="G16" s="284">
        <v>8</v>
      </c>
      <c r="H16" s="284">
        <v>8</v>
      </c>
      <c r="I16" s="286">
        <f>VLOOKUP(D16,[10]EBOM!$C:$P,14,0)</f>
        <v>1.5399999999999999E-3</v>
      </c>
      <c r="J16" s="287">
        <f t="shared" si="0"/>
        <v>0</v>
      </c>
      <c r="K16" s="288">
        <f>I16*1.035</f>
        <v>1.5938999999999999E-3</v>
      </c>
      <c r="L16" s="288">
        <f>K16*H16</f>
        <v>1.2751199999999999E-2</v>
      </c>
      <c r="M16" s="289"/>
      <c r="N16" s="284" t="s">
        <v>275</v>
      </c>
      <c r="O16" s="284" t="s">
        <v>276</v>
      </c>
    </row>
    <row r="17" spans="1:15" ht="16.25" customHeight="1">
      <c r="A17" s="285" t="s">
        <v>233</v>
      </c>
      <c r="B17" s="284" t="s">
        <v>277</v>
      </c>
      <c r="C17" s="284" t="s">
        <v>272</v>
      </c>
      <c r="D17" s="284" t="s">
        <v>278</v>
      </c>
      <c r="E17" s="284" t="s">
        <v>274</v>
      </c>
      <c r="F17" s="285" t="s">
        <v>28</v>
      </c>
      <c r="G17" s="284"/>
      <c r="H17" s="284"/>
      <c r="I17" s="286">
        <f>VLOOKUP(D17,[10]EBOM!$C:$P,14,0)</f>
        <v>2.5000000000000001E-3</v>
      </c>
      <c r="J17" s="286">
        <f t="shared" si="0"/>
        <v>9.6000000000000013E-4</v>
      </c>
      <c r="K17" s="288"/>
      <c r="L17" s="288"/>
      <c r="M17" s="288"/>
      <c r="N17" s="284" t="s">
        <v>237</v>
      </c>
      <c r="O17" s="284"/>
    </row>
    <row r="18" spans="1:15" ht="16.25" customHeight="1">
      <c r="A18" s="285" t="s">
        <v>233</v>
      </c>
      <c r="B18" s="284" t="s">
        <v>279</v>
      </c>
      <c r="C18" s="284" t="s">
        <v>272</v>
      </c>
      <c r="D18" s="284" t="s">
        <v>280</v>
      </c>
      <c r="E18" s="284" t="s">
        <v>274</v>
      </c>
      <c r="F18" s="285" t="s">
        <v>28</v>
      </c>
      <c r="G18" s="284"/>
      <c r="H18" s="284"/>
      <c r="I18" s="286">
        <f>VLOOKUP(D18,[10]EBOM!$C:$P,14,0)</f>
        <v>2.8900000000000002E-3</v>
      </c>
      <c r="J18" s="286">
        <f t="shared" si="0"/>
        <v>1.3500000000000003E-3</v>
      </c>
      <c r="K18" s="288"/>
      <c r="L18" s="288"/>
      <c r="M18" s="288"/>
      <c r="N18" s="284" t="s">
        <v>240</v>
      </c>
      <c r="O18" s="284"/>
    </row>
    <row r="19" spans="1:15" ht="16.25" customHeight="1">
      <c r="A19" s="285" t="s">
        <v>233</v>
      </c>
      <c r="B19" s="284" t="s">
        <v>281</v>
      </c>
      <c r="C19" s="284" t="s">
        <v>272</v>
      </c>
      <c r="D19" s="284" t="s">
        <v>282</v>
      </c>
      <c r="E19" s="284" t="s">
        <v>274</v>
      </c>
      <c r="F19" s="285" t="s">
        <v>28</v>
      </c>
      <c r="G19" s="284"/>
      <c r="H19" s="284"/>
      <c r="I19" s="286">
        <f>VLOOKUP(D19,[10]EBOM!$C:$P,14,0)</f>
        <v>2.5000000000000001E-3</v>
      </c>
      <c r="J19" s="286">
        <f t="shared" si="0"/>
        <v>9.6000000000000013E-4</v>
      </c>
      <c r="K19" s="288"/>
      <c r="L19" s="288"/>
      <c r="M19" s="288"/>
      <c r="N19" s="284" t="s">
        <v>237</v>
      </c>
      <c r="O19" s="284"/>
    </row>
    <row r="20" spans="1:15" ht="16.25" customHeight="1">
      <c r="A20" s="285" t="s">
        <v>233</v>
      </c>
      <c r="B20" s="284" t="s">
        <v>283</v>
      </c>
      <c r="C20" s="284" t="s">
        <v>272</v>
      </c>
      <c r="D20" s="284" t="s">
        <v>283</v>
      </c>
      <c r="E20" s="284" t="s">
        <v>274</v>
      </c>
      <c r="F20" s="285" t="s">
        <v>28</v>
      </c>
      <c r="G20" s="284"/>
      <c r="H20" s="284"/>
      <c r="I20" s="286"/>
      <c r="J20" s="286">
        <f t="shared" si="0"/>
        <v>-1.5399999999999999E-3</v>
      </c>
      <c r="K20" s="288"/>
      <c r="L20" s="288"/>
      <c r="M20" s="288"/>
      <c r="N20" s="284" t="s">
        <v>257</v>
      </c>
      <c r="O20" s="284"/>
    </row>
    <row r="21" spans="1:15" ht="16.25" customHeight="1">
      <c r="A21" s="285"/>
      <c r="B21" s="290"/>
      <c r="C21" s="290" t="s">
        <v>284</v>
      </c>
      <c r="D21" s="291" t="s">
        <v>285</v>
      </c>
      <c r="E21" s="290" t="s">
        <v>286</v>
      </c>
      <c r="F21" s="292" t="s">
        <v>28</v>
      </c>
      <c r="G21" s="290"/>
      <c r="H21" s="290"/>
      <c r="I21" s="293"/>
      <c r="J21" s="293"/>
      <c r="K21" s="294"/>
      <c r="L21" s="294"/>
      <c r="M21" s="295" t="s">
        <v>287</v>
      </c>
      <c r="N21" s="290"/>
      <c r="O21" s="284"/>
    </row>
    <row r="22" spans="1:15" ht="16.25" customHeight="1">
      <c r="A22" s="285" t="s">
        <v>233</v>
      </c>
      <c r="B22" s="284" t="s">
        <v>248</v>
      </c>
      <c r="C22" s="284" t="s">
        <v>284</v>
      </c>
      <c r="D22" s="284" t="s">
        <v>288</v>
      </c>
      <c r="E22" s="284" t="s">
        <v>286</v>
      </c>
      <c r="F22" s="285" t="s">
        <v>28</v>
      </c>
      <c r="G22" s="284">
        <v>5</v>
      </c>
      <c r="H22" s="284"/>
      <c r="I22" s="286"/>
      <c r="J22" s="286">
        <f>I22-_xlfn.MINIFS(I:I,C:C,C22)</f>
        <v>-5.9999999999999995E-4</v>
      </c>
      <c r="K22" s="288"/>
      <c r="L22" s="288"/>
      <c r="M22" s="288"/>
      <c r="N22" s="284" t="s">
        <v>289</v>
      </c>
      <c r="O22" s="284" t="s">
        <v>290</v>
      </c>
    </row>
    <row r="23" spans="1:15" ht="16.25" customHeight="1">
      <c r="A23" s="285" t="s">
        <v>233</v>
      </c>
      <c r="B23" s="284" t="s">
        <v>248</v>
      </c>
      <c r="C23" s="284" t="s">
        <v>284</v>
      </c>
      <c r="D23" s="284" t="s">
        <v>291</v>
      </c>
      <c r="E23" s="284" t="s">
        <v>286</v>
      </c>
      <c r="F23" s="285" t="s">
        <v>28</v>
      </c>
      <c r="G23" s="284"/>
      <c r="H23" s="284"/>
      <c r="I23" s="286"/>
      <c r="J23" s="286">
        <f>I23-_xlfn.MINIFS(I:I,C:C,C23)</f>
        <v>-5.9999999999999995E-4</v>
      </c>
      <c r="K23" s="288"/>
      <c r="L23" s="288"/>
      <c r="M23" s="288"/>
      <c r="N23" s="284" t="s">
        <v>292</v>
      </c>
      <c r="O23" s="284"/>
    </row>
    <row r="24" spans="1:15" ht="16.25" customHeight="1">
      <c r="A24" s="285" t="s">
        <v>233</v>
      </c>
      <c r="B24" s="284" t="s">
        <v>248</v>
      </c>
      <c r="C24" s="284" t="s">
        <v>284</v>
      </c>
      <c r="D24" s="284" t="s">
        <v>293</v>
      </c>
      <c r="E24" s="284" t="s">
        <v>286</v>
      </c>
      <c r="F24" s="285" t="s">
        <v>28</v>
      </c>
      <c r="G24" s="284"/>
      <c r="H24" s="284"/>
      <c r="I24" s="286">
        <f>VLOOKUP(D24,[10]EBOM!$C:$P,14,0)</f>
        <v>2.66E-3</v>
      </c>
      <c r="J24" s="286">
        <f>I24-_xlfn.MINIFS(I:I,C:C,C24)</f>
        <v>2.0600000000000002E-3</v>
      </c>
      <c r="K24" s="288"/>
      <c r="L24" s="288"/>
      <c r="M24" s="288"/>
      <c r="N24" s="284" t="s">
        <v>294</v>
      </c>
      <c r="O24" s="284"/>
    </row>
    <row r="25" spans="1:15" ht="16.25" customHeight="1">
      <c r="A25" s="285" t="s">
        <v>233</v>
      </c>
      <c r="B25" s="284" t="s">
        <v>248</v>
      </c>
      <c r="C25" s="284" t="s">
        <v>284</v>
      </c>
      <c r="D25" s="284" t="s">
        <v>295</v>
      </c>
      <c r="E25" s="284" t="s">
        <v>286</v>
      </c>
      <c r="F25" s="285" t="s">
        <v>28</v>
      </c>
      <c r="G25" s="284"/>
      <c r="H25" s="284">
        <v>5</v>
      </c>
      <c r="I25" s="286">
        <f>VLOOKUP(D25,[10]EBOM!$C:$P,14,0)</f>
        <v>5.9999999999999995E-4</v>
      </c>
      <c r="J25" s="287">
        <f>I25-_xlfn.MINIFS(I:I,C:C,C25)</f>
        <v>0</v>
      </c>
      <c r="K25" s="288">
        <f>I25*1.035</f>
        <v>6.2099999999999992E-4</v>
      </c>
      <c r="L25" s="288">
        <f>K25*H25</f>
        <v>3.1049999999999997E-3</v>
      </c>
      <c r="M25" s="289"/>
      <c r="N25" s="284" t="s">
        <v>296</v>
      </c>
      <c r="O25" s="284"/>
    </row>
    <row r="26" spans="1:15" ht="16.25" customHeight="1">
      <c r="A26" s="285"/>
      <c r="B26" s="284"/>
      <c r="C26" s="290" t="s">
        <v>297</v>
      </c>
      <c r="D26" s="291" t="s">
        <v>298</v>
      </c>
      <c r="E26" s="284" t="s">
        <v>299</v>
      </c>
      <c r="F26" s="285"/>
      <c r="G26" s="284"/>
      <c r="H26" s="284"/>
      <c r="I26" s="286"/>
      <c r="J26" s="287"/>
      <c r="K26" s="288"/>
      <c r="L26" s="288"/>
      <c r="M26" s="295" t="s">
        <v>287</v>
      </c>
      <c r="N26" s="284"/>
      <c r="O26" s="284"/>
    </row>
    <row r="27" spans="1:15" ht="16.25" customHeight="1">
      <c r="A27" s="285" t="s">
        <v>233</v>
      </c>
      <c r="B27" s="284" t="s">
        <v>248</v>
      </c>
      <c r="C27" s="284" t="s">
        <v>297</v>
      </c>
      <c r="D27" s="284" t="s">
        <v>300</v>
      </c>
      <c r="E27" s="284" t="s">
        <v>299</v>
      </c>
      <c r="F27" s="285" t="s">
        <v>28</v>
      </c>
      <c r="G27" s="284">
        <v>5</v>
      </c>
      <c r="H27" s="284"/>
      <c r="I27" s="286"/>
      <c r="J27" s="286">
        <f t="shared" ref="J27:J74" si="3">I27-_xlfn.MINIFS(I:I,C:C,C27)</f>
        <v>-5.9999999999999995E-4</v>
      </c>
      <c r="K27" s="288"/>
      <c r="L27" s="288"/>
      <c r="M27" s="288"/>
      <c r="N27" s="284" t="s">
        <v>292</v>
      </c>
      <c r="O27" s="284" t="s">
        <v>301</v>
      </c>
    </row>
    <row r="28" spans="1:15" ht="16.25" customHeight="1">
      <c r="A28" s="285" t="s">
        <v>233</v>
      </c>
      <c r="B28" s="284" t="s">
        <v>248</v>
      </c>
      <c r="C28" s="284" t="s">
        <v>297</v>
      </c>
      <c r="D28" s="284" t="s">
        <v>302</v>
      </c>
      <c r="E28" s="284" t="s">
        <v>299</v>
      </c>
      <c r="F28" s="285" t="s">
        <v>28</v>
      </c>
      <c r="G28" s="284"/>
      <c r="H28" s="284"/>
      <c r="I28" s="286"/>
      <c r="J28" s="286">
        <f t="shared" si="3"/>
        <v>-5.9999999999999995E-4</v>
      </c>
      <c r="K28" s="288"/>
      <c r="L28" s="288"/>
      <c r="M28" s="288"/>
      <c r="N28" s="284" t="s">
        <v>289</v>
      </c>
      <c r="O28" s="284"/>
    </row>
    <row r="29" spans="1:15" ht="16.25" customHeight="1">
      <c r="A29" s="285" t="s">
        <v>233</v>
      </c>
      <c r="B29" s="284" t="s">
        <v>248</v>
      </c>
      <c r="C29" s="284" t="s">
        <v>297</v>
      </c>
      <c r="D29" s="284" t="s">
        <v>303</v>
      </c>
      <c r="E29" s="284" t="s">
        <v>299</v>
      </c>
      <c r="F29" s="285" t="s">
        <v>28</v>
      </c>
      <c r="G29" s="284"/>
      <c r="H29" s="284"/>
      <c r="I29" s="286">
        <f>VLOOKUP(D29,[10]EBOM!$C:$P,14,0)</f>
        <v>2.66E-3</v>
      </c>
      <c r="J29" s="286">
        <f t="shared" si="3"/>
        <v>2.0600000000000002E-3</v>
      </c>
      <c r="K29" s="288"/>
      <c r="L29" s="288"/>
      <c r="M29" s="288"/>
      <c r="N29" s="284" t="s">
        <v>294</v>
      </c>
      <c r="O29" s="284"/>
    </row>
    <row r="30" spans="1:15" ht="16.25" customHeight="1">
      <c r="A30" s="285" t="s">
        <v>233</v>
      </c>
      <c r="B30" s="284" t="s">
        <v>304</v>
      </c>
      <c r="C30" s="284" t="s">
        <v>297</v>
      </c>
      <c r="D30" s="284" t="s">
        <v>305</v>
      </c>
      <c r="E30" s="284" t="s">
        <v>299</v>
      </c>
      <c r="F30" s="285" t="s">
        <v>28</v>
      </c>
      <c r="G30" s="284"/>
      <c r="H30" s="284">
        <v>5</v>
      </c>
      <c r="I30" s="286">
        <f>VLOOKUP(D30,[10]EBOM!$C:$P,14,0)</f>
        <v>5.9999999999999995E-4</v>
      </c>
      <c r="J30" s="287">
        <f t="shared" si="3"/>
        <v>0</v>
      </c>
      <c r="K30" s="288">
        <f>I30*1.035</f>
        <v>6.2099999999999992E-4</v>
      </c>
      <c r="L30" s="288">
        <f>K30*H30</f>
        <v>3.1049999999999997E-3</v>
      </c>
      <c r="M30" s="289"/>
      <c r="N30" s="284" t="s">
        <v>296</v>
      </c>
      <c r="O30" s="284"/>
    </row>
    <row r="31" spans="1:15" ht="16.25" customHeight="1">
      <c r="A31" s="285" t="s">
        <v>233</v>
      </c>
      <c r="B31" s="284" t="s">
        <v>306</v>
      </c>
      <c r="C31" s="284" t="s">
        <v>307</v>
      </c>
      <c r="D31" s="284" t="s">
        <v>306</v>
      </c>
      <c r="E31" s="284" t="s">
        <v>308</v>
      </c>
      <c r="F31" s="285" t="s">
        <v>28</v>
      </c>
      <c r="G31" s="284">
        <v>2</v>
      </c>
      <c r="H31" s="284"/>
      <c r="I31" s="286">
        <f>VLOOKUP(D31,[10]EBOM!$C:$P,14,0)</f>
        <v>7.7400000000000004E-3</v>
      </c>
      <c r="J31" s="286">
        <f t="shared" si="3"/>
        <v>2.7400000000000002E-3</v>
      </c>
      <c r="K31" s="288"/>
      <c r="L31" s="288"/>
      <c r="M31" s="288"/>
      <c r="N31" s="284" t="s">
        <v>240</v>
      </c>
      <c r="O31" s="284" t="s">
        <v>309</v>
      </c>
    </row>
    <row r="32" spans="1:15" ht="16.25" customHeight="1">
      <c r="A32" s="285" t="s">
        <v>233</v>
      </c>
      <c r="B32" s="284" t="s">
        <v>310</v>
      </c>
      <c r="C32" s="284" t="s">
        <v>307</v>
      </c>
      <c r="D32" s="284" t="s">
        <v>310</v>
      </c>
      <c r="E32" s="284" t="s">
        <v>308</v>
      </c>
      <c r="F32" s="285" t="s">
        <v>28</v>
      </c>
      <c r="G32" s="284"/>
      <c r="H32" s="284">
        <v>2</v>
      </c>
      <c r="I32" s="286">
        <f>VLOOKUP(D32,[10]EBOM!$C:$P,14,0)</f>
        <v>5.0000000000000001E-3</v>
      </c>
      <c r="J32" s="287">
        <f t="shared" si="3"/>
        <v>0</v>
      </c>
      <c r="K32" s="288">
        <f>I32*1.035</f>
        <v>5.1749999999999999E-3</v>
      </c>
      <c r="L32" s="288">
        <f>K32*H32</f>
        <v>1.035E-2</v>
      </c>
      <c r="M32" s="289"/>
      <c r="N32" s="284" t="s">
        <v>237</v>
      </c>
      <c r="O32" s="284"/>
    </row>
    <row r="33" spans="1:15" ht="16.25" customHeight="1">
      <c r="A33" s="285" t="s">
        <v>233</v>
      </c>
      <c r="B33" s="284" t="s">
        <v>311</v>
      </c>
      <c r="C33" s="284" t="s">
        <v>307</v>
      </c>
      <c r="D33" s="284" t="s">
        <v>311</v>
      </c>
      <c r="E33" s="284" t="s">
        <v>308</v>
      </c>
      <c r="F33" s="285" t="s">
        <v>28</v>
      </c>
      <c r="G33" s="284"/>
      <c r="H33" s="284"/>
      <c r="I33" s="286">
        <f>VLOOKUP(D33,[10]EBOM!$C:$P,14,0)</f>
        <v>5.3E-3</v>
      </c>
      <c r="J33" s="286">
        <f t="shared" si="3"/>
        <v>2.9999999999999992E-4</v>
      </c>
      <c r="K33" s="288"/>
      <c r="L33" s="288"/>
      <c r="M33" s="288"/>
      <c r="N33" s="284" t="s">
        <v>275</v>
      </c>
      <c r="O33" s="284"/>
    </row>
    <row r="34" spans="1:15" ht="16.25" customHeight="1">
      <c r="A34" s="285" t="s">
        <v>233</v>
      </c>
      <c r="B34" s="284" t="s">
        <v>248</v>
      </c>
      <c r="C34" s="284" t="s">
        <v>312</v>
      </c>
      <c r="D34" s="284" t="s">
        <v>313</v>
      </c>
      <c r="E34" s="284" t="s">
        <v>314</v>
      </c>
      <c r="F34" s="285" t="s">
        <v>28</v>
      </c>
      <c r="G34" s="284">
        <v>1</v>
      </c>
      <c r="H34" s="284">
        <v>1</v>
      </c>
      <c r="I34" s="286">
        <f>VLOOKUP(D34,[10]EBOM!$C:$P,14,0)</f>
        <v>1.73</v>
      </c>
      <c r="J34" s="287">
        <f t="shared" si="3"/>
        <v>0</v>
      </c>
      <c r="K34" s="288">
        <f>I34*1.035</f>
        <v>1.7905499999999999</v>
      </c>
      <c r="L34" s="288">
        <f>K34*H34</f>
        <v>1.7905499999999999</v>
      </c>
      <c r="M34" s="289"/>
      <c r="N34" s="284" t="s">
        <v>315</v>
      </c>
      <c r="O34" s="284" t="s">
        <v>316</v>
      </c>
    </row>
    <row r="35" spans="1:15" ht="16.25" customHeight="1">
      <c r="A35" s="285" t="s">
        <v>233</v>
      </c>
      <c r="B35" s="284" t="s">
        <v>248</v>
      </c>
      <c r="C35" s="284" t="s">
        <v>312</v>
      </c>
      <c r="D35" s="284" t="s">
        <v>317</v>
      </c>
      <c r="E35" s="284" t="s">
        <v>314</v>
      </c>
      <c r="F35" s="285" t="s">
        <v>28</v>
      </c>
      <c r="G35" s="284"/>
      <c r="H35" s="284"/>
      <c r="I35" s="286"/>
      <c r="J35" s="286">
        <f t="shared" si="3"/>
        <v>-1.73</v>
      </c>
      <c r="K35" s="288"/>
      <c r="L35" s="288"/>
      <c r="M35" s="288"/>
      <c r="N35" s="284" t="s">
        <v>315</v>
      </c>
      <c r="O35" s="284"/>
    </row>
    <row r="36" spans="1:15" ht="16.25" customHeight="1">
      <c r="A36" s="285" t="s">
        <v>233</v>
      </c>
      <c r="B36" s="284" t="s">
        <v>248</v>
      </c>
      <c r="C36" s="284" t="s">
        <v>318</v>
      </c>
      <c r="D36" s="284" t="s">
        <v>319</v>
      </c>
      <c r="E36" s="284" t="s">
        <v>320</v>
      </c>
      <c r="F36" s="285" t="s">
        <v>28</v>
      </c>
      <c r="G36" s="284">
        <v>2</v>
      </c>
      <c r="H36" s="284">
        <v>2</v>
      </c>
      <c r="I36" s="286">
        <f>VLOOKUP(D36,[10]EBOM!$C:$P,14,0)</f>
        <v>0.8</v>
      </c>
      <c r="J36" s="287">
        <f t="shared" si="3"/>
        <v>0</v>
      </c>
      <c r="K36" s="288">
        <f>I36*1.035</f>
        <v>0.82799999999999996</v>
      </c>
      <c r="L36" s="288">
        <f>K36*H36</f>
        <v>1.6559999999999999</v>
      </c>
      <c r="M36" s="289"/>
      <c r="N36" s="284" t="s">
        <v>321</v>
      </c>
      <c r="O36" s="284" t="s">
        <v>322</v>
      </c>
    </row>
    <row r="37" spans="1:15" ht="16.25" customHeight="1">
      <c r="A37" s="285" t="s">
        <v>233</v>
      </c>
      <c r="B37" s="284" t="s">
        <v>248</v>
      </c>
      <c r="C37" s="284" t="s">
        <v>318</v>
      </c>
      <c r="D37" s="284" t="s">
        <v>323</v>
      </c>
      <c r="E37" s="284" t="s">
        <v>320</v>
      </c>
      <c r="F37" s="285" t="s">
        <v>28</v>
      </c>
      <c r="G37" s="284"/>
      <c r="H37" s="284"/>
      <c r="I37" s="286"/>
      <c r="J37" s="286">
        <f t="shared" si="3"/>
        <v>-0.8</v>
      </c>
      <c r="K37" s="288"/>
      <c r="L37" s="288"/>
      <c r="M37" s="288"/>
      <c r="N37" s="284" t="s">
        <v>289</v>
      </c>
      <c r="O37" s="284"/>
    </row>
    <row r="38" spans="1:15" ht="16.25" customHeight="1">
      <c r="A38" s="285" t="s">
        <v>233</v>
      </c>
      <c r="B38" s="284" t="s">
        <v>248</v>
      </c>
      <c r="C38" s="284" t="s">
        <v>318</v>
      </c>
      <c r="D38" s="284" t="s">
        <v>324</v>
      </c>
      <c r="E38" s="284" t="s">
        <v>320</v>
      </c>
      <c r="F38" s="285" t="s">
        <v>28</v>
      </c>
      <c r="G38" s="284"/>
      <c r="H38" s="284"/>
      <c r="I38" s="286"/>
      <c r="J38" s="286">
        <f t="shared" si="3"/>
        <v>-0.8</v>
      </c>
      <c r="K38" s="288"/>
      <c r="L38" s="288"/>
      <c r="M38" s="288"/>
      <c r="N38" s="284" t="s">
        <v>325</v>
      </c>
      <c r="O38" s="284"/>
    </row>
    <row r="39" spans="1:15" ht="16.25" customHeight="1">
      <c r="A39" s="285" t="s">
        <v>233</v>
      </c>
      <c r="B39" s="284" t="s">
        <v>248</v>
      </c>
      <c r="C39" s="284" t="s">
        <v>318</v>
      </c>
      <c r="D39" s="284" t="s">
        <v>326</v>
      </c>
      <c r="E39" s="284" t="s">
        <v>320</v>
      </c>
      <c r="F39" s="285" t="s">
        <v>28</v>
      </c>
      <c r="G39" s="284"/>
      <c r="H39" s="284"/>
      <c r="I39" s="286"/>
      <c r="J39" s="286">
        <f t="shared" si="3"/>
        <v>-0.8</v>
      </c>
      <c r="K39" s="288"/>
      <c r="L39" s="288"/>
      <c r="M39" s="288"/>
      <c r="N39" s="284" t="s">
        <v>254</v>
      </c>
      <c r="O39" s="284"/>
    </row>
    <row r="40" spans="1:15" ht="16.25" customHeight="1">
      <c r="A40" s="285" t="s">
        <v>233</v>
      </c>
      <c r="B40" s="284" t="s">
        <v>327</v>
      </c>
      <c r="C40" s="284" t="s">
        <v>328</v>
      </c>
      <c r="D40" s="284" t="s">
        <v>327</v>
      </c>
      <c r="E40" s="284" t="s">
        <v>329</v>
      </c>
      <c r="F40" s="285" t="s">
        <v>28</v>
      </c>
      <c r="G40" s="284">
        <v>1</v>
      </c>
      <c r="H40" s="284"/>
      <c r="I40" s="286"/>
      <c r="J40" s="286">
        <f t="shared" si="3"/>
        <v>-1.01E-2</v>
      </c>
      <c r="K40" s="288"/>
      <c r="L40" s="288"/>
      <c r="M40" s="288"/>
      <c r="N40" s="284" t="s">
        <v>257</v>
      </c>
      <c r="O40" s="284" t="s">
        <v>330</v>
      </c>
    </row>
    <row r="41" spans="1:15" ht="16.25" customHeight="1">
      <c r="A41" s="285" t="s">
        <v>233</v>
      </c>
      <c r="B41" s="284" t="s">
        <v>331</v>
      </c>
      <c r="C41" s="284" t="s">
        <v>328</v>
      </c>
      <c r="D41" s="284" t="s">
        <v>331</v>
      </c>
      <c r="E41" s="284" t="s">
        <v>329</v>
      </c>
      <c r="F41" s="285" t="s">
        <v>28</v>
      </c>
      <c r="G41" s="284"/>
      <c r="H41" s="284">
        <v>1</v>
      </c>
      <c r="I41" s="286">
        <f>VLOOKUP(D41,[10]EBOM!$C:$P,14,0)</f>
        <v>1.01E-2</v>
      </c>
      <c r="J41" s="287">
        <f t="shared" si="3"/>
        <v>0</v>
      </c>
      <c r="K41" s="288">
        <f>I41*1.035</f>
        <v>1.0453499999999999E-2</v>
      </c>
      <c r="L41" s="288">
        <f>K41*H41</f>
        <v>1.0453499999999999E-2</v>
      </c>
      <c r="M41" s="289"/>
      <c r="N41" s="284" t="s">
        <v>275</v>
      </c>
      <c r="O41" s="284"/>
    </row>
    <row r="42" spans="1:15" ht="16.25" customHeight="1">
      <c r="A42" s="285" t="s">
        <v>233</v>
      </c>
      <c r="B42" s="284" t="s">
        <v>332</v>
      </c>
      <c r="C42" s="284" t="s">
        <v>328</v>
      </c>
      <c r="D42" s="284" t="s">
        <v>332</v>
      </c>
      <c r="E42" s="284" t="s">
        <v>329</v>
      </c>
      <c r="F42" s="285" t="s">
        <v>28</v>
      </c>
      <c r="G42" s="284"/>
      <c r="H42" s="284"/>
      <c r="I42" s="286"/>
      <c r="J42" s="286">
        <f t="shared" si="3"/>
        <v>-1.01E-2</v>
      </c>
      <c r="K42" s="288"/>
      <c r="L42" s="288"/>
      <c r="M42" s="288"/>
      <c r="N42" s="284" t="s">
        <v>333</v>
      </c>
      <c r="O42" s="284"/>
    </row>
    <row r="43" spans="1:15" ht="16.25" customHeight="1">
      <c r="A43" s="285" t="s">
        <v>233</v>
      </c>
      <c r="B43" s="284" t="s">
        <v>334</v>
      </c>
      <c r="C43" s="284" t="s">
        <v>328</v>
      </c>
      <c r="D43" s="284" t="s">
        <v>334</v>
      </c>
      <c r="E43" s="284" t="s">
        <v>329</v>
      </c>
      <c r="F43" s="285" t="s">
        <v>28</v>
      </c>
      <c r="G43" s="284"/>
      <c r="H43" s="284"/>
      <c r="I43" s="286"/>
      <c r="J43" s="286">
        <f t="shared" si="3"/>
        <v>-1.01E-2</v>
      </c>
      <c r="K43" s="288"/>
      <c r="L43" s="288"/>
      <c r="M43" s="288"/>
      <c r="N43" s="284" t="s">
        <v>254</v>
      </c>
      <c r="O43" s="284"/>
    </row>
    <row r="44" spans="1:15" ht="16.25" customHeight="1">
      <c r="A44" s="285" t="s">
        <v>233</v>
      </c>
      <c r="B44" s="284" t="s">
        <v>335</v>
      </c>
      <c r="C44" s="284" t="s">
        <v>328</v>
      </c>
      <c r="D44" s="284" t="s">
        <v>335</v>
      </c>
      <c r="E44" s="284" t="s">
        <v>329</v>
      </c>
      <c r="F44" s="285" t="s">
        <v>28</v>
      </c>
      <c r="G44" s="284"/>
      <c r="H44" s="284"/>
      <c r="I44" s="286"/>
      <c r="J44" s="286">
        <f t="shared" si="3"/>
        <v>-1.01E-2</v>
      </c>
      <c r="K44" s="288"/>
      <c r="L44" s="288"/>
      <c r="M44" s="288"/>
      <c r="N44" s="284" t="s">
        <v>254</v>
      </c>
      <c r="O44" s="284"/>
    </row>
    <row r="45" spans="1:15" ht="16.25" customHeight="1">
      <c r="A45" s="285" t="s">
        <v>233</v>
      </c>
      <c r="B45" s="284" t="s">
        <v>336</v>
      </c>
      <c r="C45" s="284" t="s">
        <v>328</v>
      </c>
      <c r="D45" s="284" t="s">
        <v>336</v>
      </c>
      <c r="E45" s="284" t="s">
        <v>329</v>
      </c>
      <c r="F45" s="285" t="s">
        <v>28</v>
      </c>
      <c r="G45" s="284"/>
      <c r="H45" s="284"/>
      <c r="I45" s="286"/>
      <c r="J45" s="286">
        <f t="shared" si="3"/>
        <v>-1.01E-2</v>
      </c>
      <c r="K45" s="288"/>
      <c r="L45" s="288"/>
      <c r="M45" s="288"/>
      <c r="N45" s="284" t="s">
        <v>257</v>
      </c>
      <c r="O45" s="284"/>
    </row>
    <row r="46" spans="1:15" ht="16.25" customHeight="1">
      <c r="A46" s="285" t="s">
        <v>233</v>
      </c>
      <c r="B46" s="284" t="s">
        <v>337</v>
      </c>
      <c r="C46" s="284" t="s">
        <v>338</v>
      </c>
      <c r="D46" s="284" t="s">
        <v>339</v>
      </c>
      <c r="E46" s="284" t="s">
        <v>340</v>
      </c>
      <c r="F46" s="285" t="s">
        <v>28</v>
      </c>
      <c r="G46" s="284">
        <v>7</v>
      </c>
      <c r="H46" s="284">
        <v>7</v>
      </c>
      <c r="I46" s="286">
        <f>VLOOKUP(D46,[10]EBOM!$C:$P,14,0)</f>
        <v>1.7899999999999999E-3</v>
      </c>
      <c r="J46" s="287">
        <f t="shared" si="3"/>
        <v>0</v>
      </c>
      <c r="K46" s="288">
        <f>I46*1.035</f>
        <v>1.8526499999999997E-3</v>
      </c>
      <c r="L46" s="288">
        <f>K46*H46</f>
        <v>1.2968549999999999E-2</v>
      </c>
      <c r="M46" s="289"/>
      <c r="N46" s="284" t="s">
        <v>260</v>
      </c>
      <c r="O46" s="284" t="s">
        <v>341</v>
      </c>
    </row>
    <row r="47" spans="1:15" ht="16.25" customHeight="1">
      <c r="A47" s="285" t="s">
        <v>233</v>
      </c>
      <c r="B47" s="284" t="s">
        <v>342</v>
      </c>
      <c r="C47" s="284" t="s">
        <v>338</v>
      </c>
      <c r="D47" s="284" t="s">
        <v>343</v>
      </c>
      <c r="E47" s="284" t="s">
        <v>340</v>
      </c>
      <c r="F47" s="285" t="s">
        <v>28</v>
      </c>
      <c r="G47" s="284"/>
      <c r="H47" s="284"/>
      <c r="I47" s="286"/>
      <c r="J47" s="286">
        <f t="shared" si="3"/>
        <v>-1.7899999999999999E-3</v>
      </c>
      <c r="K47" s="288"/>
      <c r="L47" s="288"/>
      <c r="M47" s="288"/>
      <c r="N47" s="284" t="s">
        <v>257</v>
      </c>
      <c r="O47" s="284"/>
    </row>
    <row r="48" spans="1:15" ht="16.25" customHeight="1">
      <c r="A48" s="285" t="s">
        <v>233</v>
      </c>
      <c r="B48" s="284" t="s">
        <v>344</v>
      </c>
      <c r="C48" s="284" t="s">
        <v>338</v>
      </c>
      <c r="D48" s="284" t="s">
        <v>345</v>
      </c>
      <c r="E48" s="284" t="s">
        <v>340</v>
      </c>
      <c r="F48" s="285" t="s">
        <v>28</v>
      </c>
      <c r="G48" s="284"/>
      <c r="H48" s="284"/>
      <c r="I48" s="286">
        <f>VLOOKUP(D48,[10]EBOM!$C:$P,14,0)</f>
        <v>3.0000000000000001E-3</v>
      </c>
      <c r="J48" s="286">
        <f t="shared" si="3"/>
        <v>1.2100000000000001E-3</v>
      </c>
      <c r="K48" s="288"/>
      <c r="L48" s="288"/>
      <c r="M48" s="288"/>
      <c r="N48" s="284" t="s">
        <v>296</v>
      </c>
      <c r="O48" s="284"/>
    </row>
    <row r="49" spans="1:15" ht="16.25" customHeight="1">
      <c r="A49" s="285" t="s">
        <v>233</v>
      </c>
      <c r="B49" s="284" t="s">
        <v>346</v>
      </c>
      <c r="C49" s="284" t="s">
        <v>338</v>
      </c>
      <c r="D49" s="284" t="s">
        <v>347</v>
      </c>
      <c r="E49" s="284" t="s">
        <v>340</v>
      </c>
      <c r="F49" s="285" t="s">
        <v>28</v>
      </c>
      <c r="G49" s="284"/>
      <c r="H49" s="284"/>
      <c r="I49" s="286">
        <f>VLOOKUP(D49,[10]EBOM!$C:$P,14,0)</f>
        <v>4.64E-3</v>
      </c>
      <c r="J49" s="286">
        <f t="shared" si="3"/>
        <v>2.8500000000000001E-3</v>
      </c>
      <c r="K49" s="288"/>
      <c r="L49" s="288"/>
      <c r="M49" s="288"/>
      <c r="N49" s="284" t="s">
        <v>240</v>
      </c>
      <c r="O49" s="284"/>
    </row>
    <row r="50" spans="1:15" ht="16.25" customHeight="1">
      <c r="A50" s="285" t="s">
        <v>233</v>
      </c>
      <c r="B50" s="284" t="s">
        <v>348</v>
      </c>
      <c r="C50" s="284" t="s">
        <v>338</v>
      </c>
      <c r="D50" s="284" t="s">
        <v>349</v>
      </c>
      <c r="E50" s="284" t="s">
        <v>340</v>
      </c>
      <c r="F50" s="285" t="s">
        <v>28</v>
      </c>
      <c r="G50" s="284"/>
      <c r="H50" s="284"/>
      <c r="I50" s="286">
        <f>VLOOKUP(D50,[10]EBOM!$C:$P,14,0)</f>
        <v>2.7000000000000001E-3</v>
      </c>
      <c r="J50" s="286">
        <f t="shared" si="3"/>
        <v>9.1000000000000022E-4</v>
      </c>
      <c r="K50" s="288"/>
      <c r="L50" s="288"/>
      <c r="M50" s="288"/>
      <c r="N50" s="284" t="s">
        <v>237</v>
      </c>
      <c r="O50" s="284"/>
    </row>
    <row r="51" spans="1:15" ht="16.25" customHeight="1">
      <c r="A51" s="285" t="s">
        <v>233</v>
      </c>
      <c r="B51" s="284" t="s">
        <v>350</v>
      </c>
      <c r="C51" s="284" t="s">
        <v>338</v>
      </c>
      <c r="D51" s="284" t="s">
        <v>350</v>
      </c>
      <c r="E51" s="284" t="s">
        <v>340</v>
      </c>
      <c r="F51" s="285" t="s">
        <v>28</v>
      </c>
      <c r="G51" s="284"/>
      <c r="H51" s="284"/>
      <c r="I51" s="286"/>
      <c r="J51" s="286">
        <f t="shared" si="3"/>
        <v>-1.7899999999999999E-3</v>
      </c>
      <c r="K51" s="288"/>
      <c r="L51" s="288"/>
      <c r="M51" s="288"/>
      <c r="N51" s="284" t="s">
        <v>257</v>
      </c>
      <c r="O51" s="284"/>
    </row>
    <row r="52" spans="1:15" ht="16.25" customHeight="1">
      <c r="A52" s="285" t="s">
        <v>233</v>
      </c>
      <c r="B52" s="284" t="s">
        <v>351</v>
      </c>
      <c r="C52" s="284" t="s">
        <v>338</v>
      </c>
      <c r="D52" s="284" t="s">
        <v>351</v>
      </c>
      <c r="E52" s="284" t="s">
        <v>340</v>
      </c>
      <c r="F52" s="285" t="s">
        <v>28</v>
      </c>
      <c r="G52" s="284"/>
      <c r="H52" s="284"/>
      <c r="I52" s="286"/>
      <c r="J52" s="286">
        <f t="shared" si="3"/>
        <v>-1.7899999999999999E-3</v>
      </c>
      <c r="K52" s="288"/>
      <c r="L52" s="288"/>
      <c r="M52" s="288"/>
      <c r="N52" s="284" t="s">
        <v>257</v>
      </c>
      <c r="O52" s="284"/>
    </row>
    <row r="53" spans="1:15" ht="16.25" customHeight="1">
      <c r="A53" s="285" t="s">
        <v>233</v>
      </c>
      <c r="B53" s="284" t="s">
        <v>248</v>
      </c>
      <c r="C53" s="284" t="s">
        <v>352</v>
      </c>
      <c r="D53" s="284" t="s">
        <v>353</v>
      </c>
      <c r="E53" s="284" t="s">
        <v>354</v>
      </c>
      <c r="F53" s="285" t="s">
        <v>28</v>
      </c>
      <c r="G53" s="284">
        <v>9</v>
      </c>
      <c r="H53" s="284"/>
      <c r="I53" s="286">
        <f>VLOOKUP(D53,[10]EBOM!$C:$P,14,0)</f>
        <v>0.19800000000000001</v>
      </c>
      <c r="J53" s="286">
        <f t="shared" si="3"/>
        <v>4.4000000000000011E-2</v>
      </c>
      <c r="K53" s="288"/>
      <c r="L53" s="288"/>
      <c r="M53" s="288"/>
      <c r="N53" s="284" t="s">
        <v>237</v>
      </c>
      <c r="O53" s="284" t="s">
        <v>355</v>
      </c>
    </row>
    <row r="54" spans="1:15" ht="16.25" customHeight="1">
      <c r="A54" s="285" t="s">
        <v>233</v>
      </c>
      <c r="B54" s="284" t="s">
        <v>248</v>
      </c>
      <c r="C54" s="284" t="s">
        <v>352</v>
      </c>
      <c r="D54" s="284" t="s">
        <v>356</v>
      </c>
      <c r="E54" s="284" t="s">
        <v>354</v>
      </c>
      <c r="F54" s="285" t="s">
        <v>28</v>
      </c>
      <c r="G54" s="284"/>
      <c r="H54" s="284">
        <v>9</v>
      </c>
      <c r="I54" s="286">
        <f>VLOOKUP(D54,[10]EBOM!$C:$P,14,0)</f>
        <v>0.154</v>
      </c>
      <c r="J54" s="287">
        <f t="shared" si="3"/>
        <v>0</v>
      </c>
      <c r="K54" s="288">
        <f>I54*1.035</f>
        <v>0.15938999999999998</v>
      </c>
      <c r="L54" s="288">
        <f>K54*H54</f>
        <v>1.4345099999999997</v>
      </c>
      <c r="M54" s="289"/>
      <c r="N54" s="284" t="s">
        <v>275</v>
      </c>
      <c r="O54" s="284"/>
    </row>
    <row r="55" spans="1:15" ht="16.25" customHeight="1">
      <c r="A55" s="285" t="s">
        <v>233</v>
      </c>
      <c r="B55" s="284" t="s">
        <v>357</v>
      </c>
      <c r="C55" s="284" t="s">
        <v>358</v>
      </c>
      <c r="D55" s="284" t="s">
        <v>359</v>
      </c>
      <c r="E55" s="284" t="s">
        <v>360</v>
      </c>
      <c r="F55" s="285" t="s">
        <v>28</v>
      </c>
      <c r="G55" s="284">
        <v>8</v>
      </c>
      <c r="H55" s="284"/>
      <c r="I55" s="286">
        <f>VLOOKUP(D55,[10]EBOM!$C:$P,14,0)</f>
        <v>1.1100000000000001E-3</v>
      </c>
      <c r="J55" s="286">
        <f t="shared" si="3"/>
        <v>8.1000000000000017E-4</v>
      </c>
      <c r="K55" s="288"/>
      <c r="L55" s="288"/>
      <c r="M55" s="288"/>
      <c r="N55" s="284" t="s">
        <v>294</v>
      </c>
      <c r="O55" s="284" t="s">
        <v>361</v>
      </c>
    </row>
    <row r="56" spans="1:15" ht="16.25" customHeight="1">
      <c r="A56" s="285" t="s">
        <v>233</v>
      </c>
      <c r="B56" s="284" t="s">
        <v>362</v>
      </c>
      <c r="C56" s="284" t="s">
        <v>358</v>
      </c>
      <c r="D56" s="284" t="s">
        <v>363</v>
      </c>
      <c r="E56" s="284" t="s">
        <v>360</v>
      </c>
      <c r="F56" s="285" t="s">
        <v>28</v>
      </c>
      <c r="G56" s="284"/>
      <c r="H56" s="284"/>
      <c r="I56" s="286">
        <f>VLOOKUP(D56,[10]EBOM!$C:$P,14,0)</f>
        <v>1.98E-3</v>
      </c>
      <c r="J56" s="286">
        <f t="shared" si="3"/>
        <v>1.6800000000000001E-3</v>
      </c>
      <c r="K56" s="288"/>
      <c r="L56" s="288"/>
      <c r="M56" s="288"/>
      <c r="N56" s="284" t="s">
        <v>289</v>
      </c>
      <c r="O56" s="284"/>
    </row>
    <row r="57" spans="1:15" ht="16.25" customHeight="1">
      <c r="A57" s="285" t="s">
        <v>233</v>
      </c>
      <c r="B57" s="284" t="s">
        <v>364</v>
      </c>
      <c r="C57" s="284" t="s">
        <v>358</v>
      </c>
      <c r="D57" s="284" t="s">
        <v>365</v>
      </c>
      <c r="E57" s="284" t="s">
        <v>360</v>
      </c>
      <c r="F57" s="285" t="s">
        <v>28</v>
      </c>
      <c r="G57" s="284"/>
      <c r="H57" s="284"/>
      <c r="I57" s="286">
        <f>VLOOKUP(D57,[10]EBOM!$C:$P,14,0)</f>
        <v>7.6000000000000004E-4</v>
      </c>
      <c r="J57" s="286">
        <f t="shared" si="3"/>
        <v>4.6000000000000007E-4</v>
      </c>
      <c r="K57" s="288"/>
      <c r="L57" s="288"/>
      <c r="M57" s="288"/>
      <c r="N57" s="284" t="s">
        <v>292</v>
      </c>
      <c r="O57" s="284"/>
    </row>
    <row r="58" spans="1:15" ht="16.25" customHeight="1">
      <c r="A58" s="285" t="s">
        <v>233</v>
      </c>
      <c r="B58" s="284" t="s">
        <v>366</v>
      </c>
      <c r="C58" s="284" t="s">
        <v>358</v>
      </c>
      <c r="D58" s="284" t="s">
        <v>367</v>
      </c>
      <c r="E58" s="284" t="s">
        <v>360</v>
      </c>
      <c r="F58" s="285" t="s">
        <v>28</v>
      </c>
      <c r="G58" s="284"/>
      <c r="H58" s="284"/>
      <c r="I58" s="286">
        <f>VLOOKUP(D58,[10]EBOM!$C:$P,14,0)</f>
        <v>5.2999999999999998E-4</v>
      </c>
      <c r="J58" s="286">
        <f t="shared" si="3"/>
        <v>2.3000000000000001E-4</v>
      </c>
      <c r="K58" s="288"/>
      <c r="L58" s="288"/>
      <c r="M58" s="288"/>
      <c r="N58" s="284" t="s">
        <v>368</v>
      </c>
      <c r="O58" s="284"/>
    </row>
    <row r="59" spans="1:15" ht="16.25" customHeight="1">
      <c r="A59" s="285" t="s">
        <v>233</v>
      </c>
      <c r="B59" s="284" t="s">
        <v>369</v>
      </c>
      <c r="C59" s="284" t="s">
        <v>358</v>
      </c>
      <c r="D59" s="284" t="s">
        <v>370</v>
      </c>
      <c r="E59" s="284" t="s">
        <v>360</v>
      </c>
      <c r="F59" s="285" t="s">
        <v>28</v>
      </c>
      <c r="G59" s="284"/>
      <c r="H59" s="284">
        <v>8</v>
      </c>
      <c r="I59" s="286">
        <f>VLOOKUP(D59,[10]EBOM!$C:$P,14,0)</f>
        <v>2.9999999999999997E-4</v>
      </c>
      <c r="J59" s="287">
        <f t="shared" si="3"/>
        <v>0</v>
      </c>
      <c r="K59" s="288">
        <f>I59*1.035</f>
        <v>3.1049999999999996E-4</v>
      </c>
      <c r="L59" s="288">
        <f t="shared" ref="L59:L60" si="4">K59*H59</f>
        <v>2.4839999999999997E-3</v>
      </c>
      <c r="M59" s="289"/>
      <c r="N59" s="284" t="s">
        <v>296</v>
      </c>
      <c r="O59" s="284"/>
    </row>
    <row r="60" spans="1:15" ht="16.25" customHeight="1">
      <c r="A60" s="285" t="s">
        <v>233</v>
      </c>
      <c r="B60" s="284" t="s">
        <v>248</v>
      </c>
      <c r="C60" s="284" t="s">
        <v>371</v>
      </c>
      <c r="D60" s="284" t="s">
        <v>372</v>
      </c>
      <c r="E60" s="284" t="s">
        <v>373</v>
      </c>
      <c r="F60" s="285" t="s">
        <v>28</v>
      </c>
      <c r="G60" s="284">
        <v>1</v>
      </c>
      <c r="H60" s="284">
        <v>1</v>
      </c>
      <c r="I60" s="286">
        <f>VLOOKUP(D60,[10]EBOM!$C:$P,14,0)</f>
        <v>7.3700000000000002E-2</v>
      </c>
      <c r="J60" s="287">
        <f t="shared" si="3"/>
        <v>0</v>
      </c>
      <c r="K60" s="288">
        <f>I60*1.035</f>
        <v>7.62795E-2</v>
      </c>
      <c r="L60" s="288">
        <f t="shared" si="4"/>
        <v>7.62795E-2</v>
      </c>
      <c r="M60" s="289"/>
      <c r="N60" s="284" t="s">
        <v>374</v>
      </c>
      <c r="O60" s="284" t="s">
        <v>375</v>
      </c>
    </row>
    <row r="61" spans="1:15" ht="16.25" customHeight="1">
      <c r="A61" s="285" t="s">
        <v>233</v>
      </c>
      <c r="B61" s="284" t="s">
        <v>248</v>
      </c>
      <c r="C61" s="284" t="s">
        <v>376</v>
      </c>
      <c r="D61" s="284" t="s">
        <v>377</v>
      </c>
      <c r="E61" s="284" t="s">
        <v>378</v>
      </c>
      <c r="F61" s="285" t="s">
        <v>28</v>
      </c>
      <c r="G61" s="284">
        <v>2</v>
      </c>
      <c r="H61" s="284"/>
      <c r="I61" s="286"/>
      <c r="J61" s="286">
        <f t="shared" si="3"/>
        <v>-1.056E-2</v>
      </c>
      <c r="K61" s="288"/>
      <c r="L61" s="288"/>
      <c r="M61" s="288"/>
      <c r="N61" s="284" t="s">
        <v>292</v>
      </c>
      <c r="O61" s="284" t="s">
        <v>379</v>
      </c>
    </row>
    <row r="62" spans="1:15" ht="16.25" customHeight="1">
      <c r="A62" s="285" t="s">
        <v>233</v>
      </c>
      <c r="B62" s="284" t="s">
        <v>248</v>
      </c>
      <c r="C62" s="284" t="s">
        <v>376</v>
      </c>
      <c r="D62" s="284" t="s">
        <v>380</v>
      </c>
      <c r="E62" s="284" t="s">
        <v>378</v>
      </c>
      <c r="F62" s="285" t="s">
        <v>28</v>
      </c>
      <c r="G62" s="284"/>
      <c r="H62" s="284">
        <v>2</v>
      </c>
      <c r="I62" s="286">
        <f>VLOOKUP(D62,[10]EBOM!$C:$P,14,0)</f>
        <v>1.056E-2</v>
      </c>
      <c r="J62" s="287">
        <f t="shared" si="3"/>
        <v>0</v>
      </c>
      <c r="K62" s="288">
        <f>I62*1.035</f>
        <v>1.0929599999999999E-2</v>
      </c>
      <c r="L62" s="288">
        <f>K62*H62</f>
        <v>2.1859199999999999E-2</v>
      </c>
      <c r="M62" s="289"/>
      <c r="N62" s="284" t="s">
        <v>294</v>
      </c>
      <c r="O62" s="284"/>
    </row>
    <row r="63" spans="1:15" ht="16.25" customHeight="1">
      <c r="A63" s="285" t="s">
        <v>233</v>
      </c>
      <c r="B63" s="284" t="s">
        <v>381</v>
      </c>
      <c r="C63" s="284" t="s">
        <v>382</v>
      </c>
      <c r="D63" s="284" t="s">
        <v>381</v>
      </c>
      <c r="E63" s="284" t="s">
        <v>383</v>
      </c>
      <c r="F63" s="285" t="s">
        <v>28</v>
      </c>
      <c r="G63" s="284">
        <v>2</v>
      </c>
      <c r="H63" s="284"/>
      <c r="I63" s="286"/>
      <c r="J63" s="286">
        <f t="shared" si="3"/>
        <v>-6.6E-4</v>
      </c>
      <c r="K63" s="288"/>
      <c r="L63" s="288"/>
      <c r="M63" s="288"/>
      <c r="N63" s="284" t="s">
        <v>292</v>
      </c>
      <c r="O63" s="284" t="s">
        <v>384</v>
      </c>
    </row>
    <row r="64" spans="1:15" ht="16.25" customHeight="1">
      <c r="A64" s="285" t="s">
        <v>233</v>
      </c>
      <c r="B64" s="284" t="s">
        <v>385</v>
      </c>
      <c r="C64" s="284" t="s">
        <v>382</v>
      </c>
      <c r="D64" s="284" t="s">
        <v>385</v>
      </c>
      <c r="E64" s="284" t="s">
        <v>383</v>
      </c>
      <c r="F64" s="285" t="s">
        <v>28</v>
      </c>
      <c r="G64" s="284"/>
      <c r="H64" s="284"/>
      <c r="I64" s="286"/>
      <c r="J64" s="286">
        <f t="shared" si="3"/>
        <v>-6.6E-4</v>
      </c>
      <c r="K64" s="288"/>
      <c r="L64" s="288"/>
      <c r="M64" s="288"/>
      <c r="N64" s="284" t="s">
        <v>368</v>
      </c>
      <c r="O64" s="284"/>
    </row>
    <row r="65" spans="1:15" ht="16.25" customHeight="1">
      <c r="A65" s="285" t="s">
        <v>233</v>
      </c>
      <c r="B65" s="284" t="s">
        <v>386</v>
      </c>
      <c r="C65" s="284" t="s">
        <v>382</v>
      </c>
      <c r="D65" s="284" t="s">
        <v>386</v>
      </c>
      <c r="E65" s="284" t="s">
        <v>383</v>
      </c>
      <c r="F65" s="285" t="s">
        <v>28</v>
      </c>
      <c r="G65" s="284"/>
      <c r="H65" s="284"/>
      <c r="I65" s="286">
        <f>VLOOKUP(D65,[10]EBOM!$C:$P,14,0)</f>
        <v>1.4499999999999999E-3</v>
      </c>
      <c r="J65" s="286">
        <f t="shared" si="3"/>
        <v>7.899999999999999E-4</v>
      </c>
      <c r="K65" s="288"/>
      <c r="L65" s="288"/>
      <c r="M65" s="288"/>
      <c r="N65" s="284" t="s">
        <v>294</v>
      </c>
      <c r="O65" s="284"/>
    </row>
    <row r="66" spans="1:15" ht="16.25" customHeight="1">
      <c r="A66" s="285" t="s">
        <v>233</v>
      </c>
      <c r="B66" s="284" t="s">
        <v>387</v>
      </c>
      <c r="C66" s="284" t="s">
        <v>382</v>
      </c>
      <c r="D66" s="284" t="s">
        <v>387</v>
      </c>
      <c r="E66" s="284" t="s">
        <v>383</v>
      </c>
      <c r="F66" s="285" t="s">
        <v>28</v>
      </c>
      <c r="G66" s="284"/>
      <c r="H66" s="284">
        <v>2</v>
      </c>
      <c r="I66" s="286">
        <f>VLOOKUP(D66,[10]EBOM!$C:$P,14,0)</f>
        <v>6.6E-4</v>
      </c>
      <c r="J66" s="287">
        <f t="shared" si="3"/>
        <v>0</v>
      </c>
      <c r="K66" s="288">
        <f>I66*1.035</f>
        <v>6.8309999999999996E-4</v>
      </c>
      <c r="L66" s="288">
        <f>K66*H66</f>
        <v>1.3661999999999999E-3</v>
      </c>
      <c r="M66" s="289"/>
      <c r="N66" s="284" t="s">
        <v>296</v>
      </c>
      <c r="O66" s="284"/>
    </row>
    <row r="67" spans="1:15" ht="16.25" customHeight="1">
      <c r="A67" s="285" t="s">
        <v>233</v>
      </c>
      <c r="B67" s="284" t="s">
        <v>388</v>
      </c>
      <c r="C67" s="284" t="s">
        <v>389</v>
      </c>
      <c r="D67" s="284" t="s">
        <v>388</v>
      </c>
      <c r="E67" s="284" t="s">
        <v>390</v>
      </c>
      <c r="F67" s="285" t="s">
        <v>28</v>
      </c>
      <c r="G67" s="284">
        <v>2</v>
      </c>
      <c r="H67" s="284"/>
      <c r="I67" s="286"/>
      <c r="J67" s="286">
        <f t="shared" si="3"/>
        <v>-6.6E-4</v>
      </c>
      <c r="K67" s="288"/>
      <c r="L67" s="288"/>
      <c r="M67" s="288"/>
      <c r="N67" s="284" t="s">
        <v>368</v>
      </c>
      <c r="O67" s="284" t="s">
        <v>391</v>
      </c>
    </row>
    <row r="68" spans="1:15" ht="16.25" customHeight="1">
      <c r="A68" s="285" t="s">
        <v>233</v>
      </c>
      <c r="B68" s="284" t="s">
        <v>392</v>
      </c>
      <c r="C68" s="284" t="s">
        <v>389</v>
      </c>
      <c r="D68" s="284" t="s">
        <v>392</v>
      </c>
      <c r="E68" s="284" t="s">
        <v>390</v>
      </c>
      <c r="F68" s="285" t="s">
        <v>28</v>
      </c>
      <c r="G68" s="284"/>
      <c r="H68" s="284"/>
      <c r="I68" s="286"/>
      <c r="J68" s="286">
        <f t="shared" si="3"/>
        <v>-6.6E-4</v>
      </c>
      <c r="K68" s="288"/>
      <c r="L68" s="288"/>
      <c r="M68" s="288"/>
      <c r="N68" s="284" t="s">
        <v>292</v>
      </c>
      <c r="O68" s="284"/>
    </row>
    <row r="69" spans="1:15" ht="16.25" customHeight="1">
      <c r="A69" s="285" t="s">
        <v>233</v>
      </c>
      <c r="B69" s="284" t="s">
        <v>393</v>
      </c>
      <c r="C69" s="284" t="s">
        <v>389</v>
      </c>
      <c r="D69" s="284" t="s">
        <v>393</v>
      </c>
      <c r="E69" s="284" t="s">
        <v>390</v>
      </c>
      <c r="F69" s="285" t="s">
        <v>28</v>
      </c>
      <c r="G69" s="284"/>
      <c r="H69" s="284"/>
      <c r="I69" s="286">
        <f>VLOOKUP(D69,[10]EBOM!$C:$P,14,0)</f>
        <v>1.4499999999999999E-3</v>
      </c>
      <c r="J69" s="286">
        <f t="shared" si="3"/>
        <v>7.899999999999999E-4</v>
      </c>
      <c r="K69" s="288"/>
      <c r="L69" s="288"/>
      <c r="M69" s="288"/>
      <c r="N69" s="284" t="s">
        <v>294</v>
      </c>
      <c r="O69" s="284"/>
    </row>
    <row r="70" spans="1:15" ht="16.25" customHeight="1">
      <c r="A70" s="285" t="s">
        <v>233</v>
      </c>
      <c r="B70" s="284" t="s">
        <v>394</v>
      </c>
      <c r="C70" s="284" t="s">
        <v>389</v>
      </c>
      <c r="D70" s="284" t="s">
        <v>394</v>
      </c>
      <c r="E70" s="284" t="s">
        <v>390</v>
      </c>
      <c r="F70" s="285" t="s">
        <v>28</v>
      </c>
      <c r="G70" s="284"/>
      <c r="H70" s="284">
        <v>2</v>
      </c>
      <c r="I70" s="286">
        <f>VLOOKUP(D70,[10]EBOM!$C:$P,14,0)</f>
        <v>6.6E-4</v>
      </c>
      <c r="J70" s="287">
        <f t="shared" si="3"/>
        <v>0</v>
      </c>
      <c r="K70" s="288">
        <f t="shared" ref="K70:K71" si="5">I70*1.035</f>
        <v>6.8309999999999996E-4</v>
      </c>
      <c r="L70" s="288">
        <f t="shared" ref="L70:L71" si="6">K70*H70</f>
        <v>1.3661999999999999E-3</v>
      </c>
      <c r="M70" s="289"/>
      <c r="N70" s="284" t="s">
        <v>296</v>
      </c>
      <c r="O70" s="284"/>
    </row>
    <row r="71" spans="1:15" ht="16.25" customHeight="1">
      <c r="A71" s="285" t="s">
        <v>233</v>
      </c>
      <c r="B71" s="284" t="s">
        <v>395</v>
      </c>
      <c r="C71" s="284" t="s">
        <v>396</v>
      </c>
      <c r="D71" s="284" t="s">
        <v>395</v>
      </c>
      <c r="E71" s="284" t="s">
        <v>397</v>
      </c>
      <c r="F71" s="285" t="s">
        <v>28</v>
      </c>
      <c r="G71" s="284">
        <v>8</v>
      </c>
      <c r="H71" s="284">
        <v>8</v>
      </c>
      <c r="I71" s="286">
        <f>VLOOKUP(D71,[10]EBOM!$C:$P,14,0)</f>
        <v>1.38E-2</v>
      </c>
      <c r="J71" s="287">
        <f t="shared" si="3"/>
        <v>0</v>
      </c>
      <c r="K71" s="288">
        <f t="shared" si="5"/>
        <v>1.4282999999999999E-2</v>
      </c>
      <c r="L71" s="288">
        <f t="shared" si="6"/>
        <v>0.11426399999999999</v>
      </c>
      <c r="M71" s="289"/>
      <c r="N71" s="284" t="s">
        <v>237</v>
      </c>
      <c r="O71" s="284" t="s">
        <v>398</v>
      </c>
    </row>
    <row r="72" spans="1:15" ht="16.25" customHeight="1">
      <c r="A72" s="285" t="s">
        <v>233</v>
      </c>
      <c r="B72" s="284" t="s">
        <v>399</v>
      </c>
      <c r="C72" s="284" t="s">
        <v>396</v>
      </c>
      <c r="D72" s="284" t="s">
        <v>399</v>
      </c>
      <c r="E72" s="284" t="s">
        <v>397</v>
      </c>
      <c r="F72" s="285" t="s">
        <v>28</v>
      </c>
      <c r="G72" s="284"/>
      <c r="H72" s="284"/>
      <c r="I72" s="286">
        <f>VLOOKUP(D72,[10]EBOM!$C:$P,14,0)</f>
        <v>3.73E-2</v>
      </c>
      <c r="J72" s="286">
        <f t="shared" si="3"/>
        <v>2.35E-2</v>
      </c>
      <c r="K72" s="288"/>
      <c r="L72" s="288"/>
      <c r="M72" s="288"/>
      <c r="N72" s="284" t="s">
        <v>257</v>
      </c>
      <c r="O72" s="284"/>
    </row>
    <row r="73" spans="1:15" ht="16.25" customHeight="1">
      <c r="A73" s="285" t="s">
        <v>233</v>
      </c>
      <c r="B73" s="284" t="s">
        <v>400</v>
      </c>
      <c r="C73" s="284" t="s">
        <v>396</v>
      </c>
      <c r="D73" s="284" t="s">
        <v>400</v>
      </c>
      <c r="E73" s="284" t="s">
        <v>397</v>
      </c>
      <c r="F73" s="285" t="s">
        <v>28</v>
      </c>
      <c r="G73" s="284"/>
      <c r="H73" s="284"/>
      <c r="I73" s="286">
        <f>VLOOKUP(D73,[10]EBOM!$C:$P,14,0)</f>
        <v>3.8800000000000001E-2</v>
      </c>
      <c r="J73" s="286">
        <f t="shared" si="3"/>
        <v>2.5000000000000001E-2</v>
      </c>
      <c r="K73" s="288"/>
      <c r="L73" s="288"/>
      <c r="M73" s="288"/>
      <c r="N73" s="284" t="s">
        <v>257</v>
      </c>
      <c r="O73" s="284"/>
    </row>
    <row r="74" spans="1:15" ht="16.25" customHeight="1">
      <c r="A74" s="285" t="s">
        <v>233</v>
      </c>
      <c r="B74" s="284" t="s">
        <v>401</v>
      </c>
      <c r="C74" s="284" t="s">
        <v>402</v>
      </c>
      <c r="D74" s="284" t="s">
        <v>401</v>
      </c>
      <c r="E74" s="284" t="s">
        <v>403</v>
      </c>
      <c r="F74" s="285" t="s">
        <v>28</v>
      </c>
      <c r="G74" s="284">
        <v>2</v>
      </c>
      <c r="H74" s="284">
        <v>2</v>
      </c>
      <c r="I74" s="286">
        <f>VLOOKUP(D74,[10]EBOM!$C:$P,14,0)</f>
        <v>2.9000000000000001E-2</v>
      </c>
      <c r="J74" s="287">
        <f t="shared" si="3"/>
        <v>0</v>
      </c>
      <c r="K74" s="288">
        <f>I74*1.035</f>
        <v>3.0015E-2</v>
      </c>
      <c r="L74" s="288">
        <f>K74*H74</f>
        <v>6.003E-2</v>
      </c>
      <c r="M74" s="289"/>
      <c r="N74" s="284" t="s">
        <v>264</v>
      </c>
      <c r="O74" s="284" t="s">
        <v>404</v>
      </c>
    </row>
    <row r="75" spans="1:15" ht="16.25" customHeight="1">
      <c r="A75" s="285"/>
      <c r="B75" s="284"/>
      <c r="C75" s="290" t="s">
        <v>405</v>
      </c>
      <c r="D75" s="291" t="s">
        <v>406</v>
      </c>
      <c r="E75" s="290" t="s">
        <v>407</v>
      </c>
      <c r="F75" s="292" t="s">
        <v>28</v>
      </c>
      <c r="G75" s="290"/>
      <c r="H75" s="290"/>
      <c r="I75" s="293"/>
      <c r="J75" s="296"/>
      <c r="K75" s="294"/>
      <c r="L75" s="294"/>
      <c r="M75" s="295" t="s">
        <v>287</v>
      </c>
      <c r="N75" s="284"/>
      <c r="O75" s="284"/>
    </row>
    <row r="76" spans="1:15" ht="16.25" customHeight="1">
      <c r="A76" s="285" t="s">
        <v>233</v>
      </c>
      <c r="B76" s="284" t="s">
        <v>248</v>
      </c>
      <c r="C76" s="284" t="s">
        <v>405</v>
      </c>
      <c r="D76" s="284" t="s">
        <v>408</v>
      </c>
      <c r="E76" s="284" t="s">
        <v>407</v>
      </c>
      <c r="F76" s="285" t="s">
        <v>28</v>
      </c>
      <c r="G76" s="284">
        <v>1</v>
      </c>
      <c r="H76" s="284"/>
      <c r="I76" s="286"/>
      <c r="J76" s="286">
        <f t="shared" ref="J76:J86" si="7">I76-_xlfn.MINIFS(I:I,C:C,C76)</f>
        <v>-5.9999999999999995E-4</v>
      </c>
      <c r="K76" s="288"/>
      <c r="L76" s="288"/>
      <c r="M76" s="288"/>
      <c r="N76" s="284" t="s">
        <v>292</v>
      </c>
      <c r="O76" s="284" t="s">
        <v>409</v>
      </c>
    </row>
    <row r="77" spans="1:15" ht="16.25" customHeight="1">
      <c r="A77" s="285" t="s">
        <v>233</v>
      </c>
      <c r="B77" s="284" t="s">
        <v>248</v>
      </c>
      <c r="C77" s="284" t="s">
        <v>405</v>
      </c>
      <c r="D77" s="284" t="s">
        <v>410</v>
      </c>
      <c r="E77" s="284" t="s">
        <v>407</v>
      </c>
      <c r="F77" s="285" t="s">
        <v>28</v>
      </c>
      <c r="G77" s="284"/>
      <c r="H77" s="284"/>
      <c r="I77" s="286"/>
      <c r="J77" s="286">
        <f t="shared" si="7"/>
        <v>-5.9999999999999995E-4</v>
      </c>
      <c r="K77" s="288"/>
      <c r="L77" s="288"/>
      <c r="M77" s="288"/>
      <c r="N77" s="284" t="s">
        <v>289</v>
      </c>
      <c r="O77" s="284"/>
    </row>
    <row r="78" spans="1:15" ht="16.25" customHeight="1">
      <c r="A78" s="285" t="s">
        <v>233</v>
      </c>
      <c r="B78" s="284" t="s">
        <v>248</v>
      </c>
      <c r="C78" s="284" t="s">
        <v>405</v>
      </c>
      <c r="D78" s="284" t="s">
        <v>411</v>
      </c>
      <c r="E78" s="284" t="s">
        <v>407</v>
      </c>
      <c r="F78" s="285" t="s">
        <v>28</v>
      </c>
      <c r="G78" s="284"/>
      <c r="H78" s="284"/>
      <c r="I78" s="286">
        <f>VLOOKUP(D78,[10]EBOM!$C:$P,14,0)</f>
        <v>2.66E-3</v>
      </c>
      <c r="J78" s="286">
        <f t="shared" si="7"/>
        <v>2.0600000000000002E-3</v>
      </c>
      <c r="K78" s="288"/>
      <c r="L78" s="288"/>
      <c r="M78" s="288"/>
      <c r="N78" s="284" t="s">
        <v>294</v>
      </c>
      <c r="O78" s="284"/>
    </row>
    <row r="79" spans="1:15" ht="16.25" customHeight="1">
      <c r="A79" s="285" t="s">
        <v>233</v>
      </c>
      <c r="B79" s="284" t="s">
        <v>248</v>
      </c>
      <c r="C79" s="284" t="s">
        <v>405</v>
      </c>
      <c r="D79" s="284" t="s">
        <v>412</v>
      </c>
      <c r="E79" s="284" t="s">
        <v>407</v>
      </c>
      <c r="F79" s="285" t="s">
        <v>28</v>
      </c>
      <c r="G79" s="284"/>
      <c r="H79" s="284">
        <v>1</v>
      </c>
      <c r="I79" s="286">
        <f>VLOOKUP(D79,[10]EBOM!$C:$P,14,0)</f>
        <v>5.9999999999999995E-4</v>
      </c>
      <c r="J79" s="287">
        <f t="shared" si="7"/>
        <v>0</v>
      </c>
      <c r="K79" s="288">
        <f t="shared" ref="K79:K80" si="8">I79*1.035</f>
        <v>6.2099999999999992E-4</v>
      </c>
      <c r="L79" s="288">
        <f t="shared" ref="L79:L80" si="9">K79*H79</f>
        <v>6.2099999999999992E-4</v>
      </c>
      <c r="M79" s="289"/>
      <c r="N79" s="284" t="s">
        <v>296</v>
      </c>
      <c r="O79" s="284"/>
    </row>
    <row r="80" spans="1:15" ht="16.25" customHeight="1">
      <c r="A80" s="285" t="s">
        <v>233</v>
      </c>
      <c r="B80" s="284" t="s">
        <v>248</v>
      </c>
      <c r="C80" s="284" t="s">
        <v>413</v>
      </c>
      <c r="D80" s="284" t="s">
        <v>414</v>
      </c>
      <c r="E80" s="284" t="s">
        <v>415</v>
      </c>
      <c r="F80" s="285" t="s">
        <v>28</v>
      </c>
      <c r="G80" s="284">
        <v>1</v>
      </c>
      <c r="H80" s="284">
        <v>1</v>
      </c>
      <c r="I80" s="286">
        <f>VLOOKUP(D80,[10]EBOM!$C:$P,14,0)</f>
        <v>0.27</v>
      </c>
      <c r="J80" s="287">
        <f t="shared" si="7"/>
        <v>0</v>
      </c>
      <c r="K80" s="288">
        <f t="shared" si="8"/>
        <v>0.27944999999999998</v>
      </c>
      <c r="L80" s="288">
        <f t="shared" si="9"/>
        <v>0.27944999999999998</v>
      </c>
      <c r="M80" s="289"/>
      <c r="N80" s="284" t="s">
        <v>416</v>
      </c>
      <c r="O80" s="284" t="s">
        <v>417</v>
      </c>
    </row>
    <row r="81" spans="1:15" ht="16.25" customHeight="1">
      <c r="A81" s="285" t="s">
        <v>233</v>
      </c>
      <c r="B81" s="284" t="s">
        <v>248</v>
      </c>
      <c r="C81" s="284" t="s">
        <v>413</v>
      </c>
      <c r="D81" s="284" t="s">
        <v>418</v>
      </c>
      <c r="E81" s="284" t="s">
        <v>415</v>
      </c>
      <c r="F81" s="285" t="s">
        <v>28</v>
      </c>
      <c r="G81" s="284"/>
      <c r="H81" s="284"/>
      <c r="I81" s="286"/>
      <c r="J81" s="286">
        <f t="shared" si="7"/>
        <v>-0.27</v>
      </c>
      <c r="K81" s="288"/>
      <c r="L81" s="288"/>
      <c r="M81" s="288"/>
      <c r="N81" s="284" t="s">
        <v>416</v>
      </c>
      <c r="O81" s="284"/>
    </row>
    <row r="82" spans="1:15" ht="16.25" customHeight="1">
      <c r="A82" s="285" t="s">
        <v>233</v>
      </c>
      <c r="B82" s="284" t="s">
        <v>248</v>
      </c>
      <c r="C82" s="284" t="s">
        <v>413</v>
      </c>
      <c r="D82" s="284" t="s">
        <v>419</v>
      </c>
      <c r="E82" s="284" t="s">
        <v>415</v>
      </c>
      <c r="F82" s="285" t="s">
        <v>28</v>
      </c>
      <c r="G82" s="284"/>
      <c r="H82" s="284"/>
      <c r="I82" s="286"/>
      <c r="J82" s="286">
        <f t="shared" si="7"/>
        <v>-0.27</v>
      </c>
      <c r="K82" s="288"/>
      <c r="L82" s="288"/>
      <c r="M82" s="288"/>
      <c r="N82" s="284" t="s">
        <v>420</v>
      </c>
      <c r="O82" s="284"/>
    </row>
    <row r="83" spans="1:15" ht="16.25" customHeight="1">
      <c r="A83" s="285" t="s">
        <v>233</v>
      </c>
      <c r="B83" s="284" t="s">
        <v>248</v>
      </c>
      <c r="C83" s="284" t="s">
        <v>413</v>
      </c>
      <c r="D83" s="284" t="s">
        <v>421</v>
      </c>
      <c r="E83" s="284" t="s">
        <v>415</v>
      </c>
      <c r="F83" s="285" t="s">
        <v>28</v>
      </c>
      <c r="G83" s="284"/>
      <c r="H83" s="284"/>
      <c r="I83" s="286"/>
      <c r="J83" s="286">
        <f t="shared" si="7"/>
        <v>-0.27</v>
      </c>
      <c r="K83" s="288"/>
      <c r="L83" s="288"/>
      <c r="M83" s="288"/>
      <c r="N83" s="284" t="s">
        <v>420</v>
      </c>
      <c r="O83" s="284"/>
    </row>
    <row r="84" spans="1:15" ht="16.25" customHeight="1">
      <c r="A84" s="285" t="s">
        <v>233</v>
      </c>
      <c r="B84" s="284" t="s">
        <v>422</v>
      </c>
      <c r="C84" s="284" t="s">
        <v>423</v>
      </c>
      <c r="D84" s="284" t="s">
        <v>422</v>
      </c>
      <c r="E84" s="284" t="s">
        <v>424</v>
      </c>
      <c r="F84" s="285" t="s">
        <v>28</v>
      </c>
      <c r="G84" s="284">
        <v>1</v>
      </c>
      <c r="H84" s="284">
        <v>1</v>
      </c>
      <c r="I84" s="286">
        <f>VLOOKUP(D84,[10]EBOM!$C:$P,14,0)</f>
        <v>8.8999999999999996E-2</v>
      </c>
      <c r="J84" s="287">
        <f t="shared" si="7"/>
        <v>0</v>
      </c>
      <c r="K84" s="288">
        <f t="shared" ref="K84:K85" si="10">I84*1.035</f>
        <v>9.2114999999999989E-2</v>
      </c>
      <c r="L84" s="288">
        <f t="shared" ref="L84:L85" si="11">K84*H84</f>
        <v>9.2114999999999989E-2</v>
      </c>
      <c r="M84" s="289"/>
      <c r="N84" s="284" t="s">
        <v>264</v>
      </c>
      <c r="O84" s="284" t="s">
        <v>425</v>
      </c>
    </row>
    <row r="85" spans="1:15" ht="16.25" customHeight="1">
      <c r="A85" s="285" t="s">
        <v>233</v>
      </c>
      <c r="B85" s="284" t="s">
        <v>426</v>
      </c>
      <c r="C85" s="284" t="s">
        <v>427</v>
      </c>
      <c r="D85" s="284" t="s">
        <v>426</v>
      </c>
      <c r="E85" s="284" t="s">
        <v>428</v>
      </c>
      <c r="F85" s="285" t="s">
        <v>28</v>
      </c>
      <c r="G85" s="284">
        <v>2</v>
      </c>
      <c r="H85" s="284">
        <v>2</v>
      </c>
      <c r="I85" s="286">
        <f>VLOOKUP(D85,[10]EBOM!$C:$P,14,0)</f>
        <v>3.6600000000000001E-2</v>
      </c>
      <c r="J85" s="287">
        <f t="shared" si="7"/>
        <v>0</v>
      </c>
      <c r="K85" s="288">
        <f t="shared" si="10"/>
        <v>3.7880999999999998E-2</v>
      </c>
      <c r="L85" s="288">
        <f t="shared" si="11"/>
        <v>7.5761999999999996E-2</v>
      </c>
      <c r="M85" s="289"/>
      <c r="N85" s="284" t="s">
        <v>237</v>
      </c>
      <c r="O85" s="284" t="s">
        <v>429</v>
      </c>
    </row>
    <row r="86" spans="1:15" ht="16.25" customHeight="1">
      <c r="A86" s="285" t="s">
        <v>233</v>
      </c>
      <c r="B86" s="284" t="s">
        <v>430</v>
      </c>
      <c r="C86" s="284" t="s">
        <v>427</v>
      </c>
      <c r="D86" s="284" t="s">
        <v>431</v>
      </c>
      <c r="E86" s="284" t="s">
        <v>428</v>
      </c>
      <c r="F86" s="285" t="s">
        <v>28</v>
      </c>
      <c r="G86" s="284"/>
      <c r="H86" s="284"/>
      <c r="I86" s="286"/>
      <c r="J86" s="286">
        <f t="shared" si="7"/>
        <v>-3.6600000000000001E-2</v>
      </c>
      <c r="K86" s="288"/>
      <c r="L86" s="288"/>
      <c r="M86" s="288"/>
      <c r="N86" s="284" t="s">
        <v>237</v>
      </c>
      <c r="O86" s="284"/>
    </row>
    <row r="87" spans="1:15" ht="16.25" customHeight="1">
      <c r="A87" s="285"/>
      <c r="B87" s="284"/>
      <c r="C87" s="290" t="s">
        <v>432</v>
      </c>
      <c r="D87" s="291" t="s">
        <v>433</v>
      </c>
      <c r="E87" s="284" t="s">
        <v>434</v>
      </c>
      <c r="F87" s="285" t="s">
        <v>28</v>
      </c>
      <c r="G87" s="284"/>
      <c r="H87" s="284"/>
      <c r="I87" s="286"/>
      <c r="J87" s="286"/>
      <c r="K87" s="288"/>
      <c r="L87" s="288"/>
      <c r="M87" s="295" t="s">
        <v>435</v>
      </c>
      <c r="N87" s="284"/>
      <c r="O87" s="284"/>
    </row>
    <row r="88" spans="1:15" ht="16.25" customHeight="1">
      <c r="A88" s="285" t="s">
        <v>233</v>
      </c>
      <c r="B88" s="284" t="s">
        <v>248</v>
      </c>
      <c r="C88" s="284" t="s">
        <v>432</v>
      </c>
      <c r="D88" s="284" t="s">
        <v>436</v>
      </c>
      <c r="E88" s="284" t="s">
        <v>434</v>
      </c>
      <c r="F88" s="285" t="s">
        <v>28</v>
      </c>
      <c r="G88" s="284">
        <v>1</v>
      </c>
      <c r="H88" s="284"/>
      <c r="I88" s="286"/>
      <c r="J88" s="286">
        <f>I88-_xlfn.MINIFS(I:I,C:C,C88)</f>
        <v>-5.9999999999999995E-4</v>
      </c>
      <c r="K88" s="288"/>
      <c r="L88" s="288"/>
      <c r="M88" s="288"/>
      <c r="N88" s="284" t="s">
        <v>292</v>
      </c>
      <c r="O88" s="284" t="s">
        <v>437</v>
      </c>
    </row>
    <row r="89" spans="1:15" ht="16.25" customHeight="1">
      <c r="A89" s="285" t="s">
        <v>233</v>
      </c>
      <c r="B89" s="284" t="s">
        <v>248</v>
      </c>
      <c r="C89" s="284" t="s">
        <v>432</v>
      </c>
      <c r="D89" s="284" t="s">
        <v>438</v>
      </c>
      <c r="E89" s="284" t="s">
        <v>434</v>
      </c>
      <c r="F89" s="285" t="s">
        <v>28</v>
      </c>
      <c r="G89" s="284"/>
      <c r="H89" s="284"/>
      <c r="I89" s="286"/>
      <c r="J89" s="286">
        <f>I89-_xlfn.MINIFS(I:I,C:C,C89)</f>
        <v>-5.9999999999999995E-4</v>
      </c>
      <c r="K89" s="288"/>
      <c r="L89" s="288"/>
      <c r="M89" s="288"/>
      <c r="N89" s="284" t="s">
        <v>289</v>
      </c>
      <c r="O89" s="284"/>
    </row>
    <row r="90" spans="1:15" ht="16.25" customHeight="1">
      <c r="A90" s="285" t="s">
        <v>233</v>
      </c>
      <c r="B90" s="284" t="s">
        <v>248</v>
      </c>
      <c r="C90" s="284" t="s">
        <v>432</v>
      </c>
      <c r="D90" s="284" t="s">
        <v>439</v>
      </c>
      <c r="E90" s="284" t="s">
        <v>434</v>
      </c>
      <c r="F90" s="285" t="s">
        <v>28</v>
      </c>
      <c r="G90" s="284"/>
      <c r="H90" s="284"/>
      <c r="I90" s="286">
        <f>VLOOKUP(D90,[10]EBOM!$C:$P,14,0)</f>
        <v>2.66E-3</v>
      </c>
      <c r="J90" s="286">
        <f>I90-_xlfn.MINIFS(I:I,C:C,C90)</f>
        <v>2.0600000000000002E-3</v>
      </c>
      <c r="K90" s="288"/>
      <c r="L90" s="288"/>
      <c r="M90" s="288"/>
      <c r="N90" s="284" t="s">
        <v>294</v>
      </c>
      <c r="O90" s="284"/>
    </row>
    <row r="91" spans="1:15" ht="16.25" customHeight="1">
      <c r="A91" s="285" t="s">
        <v>233</v>
      </c>
      <c r="B91" s="284" t="s">
        <v>248</v>
      </c>
      <c r="C91" s="284" t="s">
        <v>432</v>
      </c>
      <c r="D91" s="284" t="s">
        <v>440</v>
      </c>
      <c r="E91" s="284" t="s">
        <v>434</v>
      </c>
      <c r="F91" s="285" t="s">
        <v>28</v>
      </c>
      <c r="G91" s="284"/>
      <c r="H91" s="284">
        <v>1</v>
      </c>
      <c r="I91" s="286">
        <f>VLOOKUP(D91,[10]EBOM!$C:$P,14,0)</f>
        <v>5.9999999999999995E-4</v>
      </c>
      <c r="J91" s="287">
        <f>I91-_xlfn.MINIFS(I:I,C:C,C91)</f>
        <v>0</v>
      </c>
      <c r="K91" s="288">
        <f>I91*1.035</f>
        <v>6.2099999999999992E-4</v>
      </c>
      <c r="L91" s="288">
        <f>K91*H91</f>
        <v>6.2099999999999992E-4</v>
      </c>
      <c r="M91" s="289"/>
      <c r="N91" s="284" t="s">
        <v>296</v>
      </c>
      <c r="O91" s="284"/>
    </row>
    <row r="92" spans="1:15" ht="16.25" customHeight="1">
      <c r="A92" s="285"/>
      <c r="B92" s="284"/>
      <c r="C92" s="290" t="s">
        <v>441</v>
      </c>
      <c r="D92" s="291" t="s">
        <v>442</v>
      </c>
      <c r="E92" s="290" t="s">
        <v>443</v>
      </c>
      <c r="F92" s="292" t="s">
        <v>28</v>
      </c>
      <c r="G92" s="284"/>
      <c r="H92" s="284"/>
      <c r="I92" s="286"/>
      <c r="J92" s="287"/>
      <c r="K92" s="288"/>
      <c r="L92" s="288"/>
      <c r="M92" s="295" t="s">
        <v>444</v>
      </c>
      <c r="N92" s="284"/>
      <c r="O92" s="284"/>
    </row>
    <row r="93" spans="1:15" ht="16.25" customHeight="1">
      <c r="A93" s="285" t="s">
        <v>233</v>
      </c>
      <c r="B93" s="284" t="s">
        <v>248</v>
      </c>
      <c r="C93" s="284" t="s">
        <v>441</v>
      </c>
      <c r="D93" s="284" t="s">
        <v>445</v>
      </c>
      <c r="E93" s="284" t="s">
        <v>443</v>
      </c>
      <c r="F93" s="285" t="s">
        <v>28</v>
      </c>
      <c r="G93" s="284">
        <v>2</v>
      </c>
      <c r="H93" s="284"/>
      <c r="I93" s="286"/>
      <c r="J93" s="286">
        <f>I93-_xlfn.MINIFS(I:I,C:C,C93)</f>
        <v>-5.9999999999999995E-4</v>
      </c>
      <c r="K93" s="288"/>
      <c r="L93" s="288"/>
      <c r="M93" s="288"/>
      <c r="N93" s="284" t="s">
        <v>292</v>
      </c>
      <c r="O93" s="284" t="s">
        <v>446</v>
      </c>
    </row>
    <row r="94" spans="1:15" ht="16.25" customHeight="1">
      <c r="A94" s="285" t="s">
        <v>233</v>
      </c>
      <c r="B94" s="284" t="s">
        <v>248</v>
      </c>
      <c r="C94" s="284" t="s">
        <v>441</v>
      </c>
      <c r="D94" s="284" t="s">
        <v>447</v>
      </c>
      <c r="E94" s="284" t="s">
        <v>443</v>
      </c>
      <c r="F94" s="285" t="s">
        <v>28</v>
      </c>
      <c r="G94" s="284"/>
      <c r="H94" s="284"/>
      <c r="I94" s="286"/>
      <c r="J94" s="286">
        <f>I94-_xlfn.MINIFS(I:I,C:C,C94)</f>
        <v>-5.9999999999999995E-4</v>
      </c>
      <c r="K94" s="288"/>
      <c r="L94" s="288"/>
      <c r="M94" s="288"/>
      <c r="N94" s="284" t="s">
        <v>289</v>
      </c>
      <c r="O94" s="284"/>
    </row>
    <row r="95" spans="1:15" ht="16.25" customHeight="1">
      <c r="A95" s="285" t="s">
        <v>233</v>
      </c>
      <c r="B95" s="284" t="s">
        <v>248</v>
      </c>
      <c r="C95" s="284" t="s">
        <v>441</v>
      </c>
      <c r="D95" s="284" t="s">
        <v>448</v>
      </c>
      <c r="E95" s="284" t="s">
        <v>443</v>
      </c>
      <c r="F95" s="285" t="s">
        <v>28</v>
      </c>
      <c r="G95" s="284"/>
      <c r="H95" s="284"/>
      <c r="I95" s="286">
        <f>VLOOKUP(D95,[10]EBOM!$C:$P,14,0)</f>
        <v>2.66E-3</v>
      </c>
      <c r="J95" s="286">
        <f>I95-_xlfn.MINIFS(I:I,C:C,C95)</f>
        <v>2.0600000000000002E-3</v>
      </c>
      <c r="K95" s="288"/>
      <c r="L95" s="288"/>
      <c r="M95" s="288"/>
      <c r="N95" s="284" t="s">
        <v>294</v>
      </c>
      <c r="O95" s="284"/>
    </row>
    <row r="96" spans="1:15" ht="16.25" customHeight="1">
      <c r="A96" s="285" t="s">
        <v>233</v>
      </c>
      <c r="B96" s="284" t="s">
        <v>248</v>
      </c>
      <c r="C96" s="284" t="s">
        <v>441</v>
      </c>
      <c r="D96" s="284" t="s">
        <v>449</v>
      </c>
      <c r="E96" s="284" t="s">
        <v>443</v>
      </c>
      <c r="F96" s="285" t="s">
        <v>28</v>
      </c>
      <c r="G96" s="284"/>
      <c r="H96" s="284">
        <v>2</v>
      </c>
      <c r="I96" s="286">
        <f>VLOOKUP(D96,[10]EBOM!$C:$P,14,0)</f>
        <v>5.9999999999999995E-4</v>
      </c>
      <c r="J96" s="287">
        <f>I96-_xlfn.MINIFS(I:I,C:C,C96)</f>
        <v>0</v>
      </c>
      <c r="K96" s="288">
        <f>I96*1.035</f>
        <v>6.2099999999999992E-4</v>
      </c>
      <c r="L96" s="288">
        <f>K96*H96</f>
        <v>1.2419999999999998E-3</v>
      </c>
      <c r="M96" s="289"/>
      <c r="N96" s="284" t="s">
        <v>296</v>
      </c>
      <c r="O96" s="284"/>
    </row>
    <row r="97" spans="1:15" ht="16.25" customHeight="1">
      <c r="A97" s="285"/>
      <c r="B97" s="284"/>
      <c r="C97" s="290" t="s">
        <v>450</v>
      </c>
      <c r="D97" s="291" t="s">
        <v>451</v>
      </c>
      <c r="E97" s="290" t="s">
        <v>452</v>
      </c>
      <c r="F97" s="292" t="s">
        <v>28</v>
      </c>
      <c r="G97" s="284"/>
      <c r="H97" s="284"/>
      <c r="I97" s="286"/>
      <c r="J97" s="287"/>
      <c r="K97" s="288"/>
      <c r="L97" s="288"/>
      <c r="M97" s="295" t="s">
        <v>444</v>
      </c>
      <c r="N97" s="284"/>
      <c r="O97" s="284"/>
    </row>
    <row r="98" spans="1:15" ht="16.25" customHeight="1">
      <c r="A98" s="285" t="s">
        <v>233</v>
      </c>
      <c r="B98" s="284" t="s">
        <v>248</v>
      </c>
      <c r="C98" s="284" t="s">
        <v>450</v>
      </c>
      <c r="D98" s="284" t="s">
        <v>453</v>
      </c>
      <c r="E98" s="284" t="s">
        <v>452</v>
      </c>
      <c r="F98" s="285" t="s">
        <v>28</v>
      </c>
      <c r="G98" s="284">
        <v>1</v>
      </c>
      <c r="H98" s="284"/>
      <c r="I98" s="286"/>
      <c r="J98" s="286">
        <f>I98-_xlfn.MINIFS(I:I,C:C,C98)</f>
        <v>-5.9999999999999995E-4</v>
      </c>
      <c r="K98" s="288"/>
      <c r="L98" s="288"/>
      <c r="M98" s="288"/>
      <c r="N98" s="284" t="s">
        <v>292</v>
      </c>
      <c r="O98" s="284" t="s">
        <v>454</v>
      </c>
    </row>
    <row r="99" spans="1:15" ht="16.25" customHeight="1">
      <c r="A99" s="285" t="s">
        <v>233</v>
      </c>
      <c r="B99" s="284" t="s">
        <v>248</v>
      </c>
      <c r="C99" s="284" t="s">
        <v>450</v>
      </c>
      <c r="D99" s="284" t="s">
        <v>455</v>
      </c>
      <c r="E99" s="284" t="s">
        <v>452</v>
      </c>
      <c r="F99" s="285" t="s">
        <v>28</v>
      </c>
      <c r="G99" s="284"/>
      <c r="H99" s="284"/>
      <c r="I99" s="286"/>
      <c r="J99" s="286">
        <f>I99-_xlfn.MINIFS(I:I,C:C,C99)</f>
        <v>-5.9999999999999995E-4</v>
      </c>
      <c r="K99" s="288"/>
      <c r="L99" s="288"/>
      <c r="M99" s="288"/>
      <c r="N99" s="284" t="s">
        <v>289</v>
      </c>
      <c r="O99" s="284"/>
    </row>
    <row r="100" spans="1:15" ht="16.25" customHeight="1">
      <c r="A100" s="285" t="s">
        <v>233</v>
      </c>
      <c r="B100" s="284" t="s">
        <v>248</v>
      </c>
      <c r="C100" s="284" t="s">
        <v>450</v>
      </c>
      <c r="D100" s="284" t="s">
        <v>456</v>
      </c>
      <c r="E100" s="284" t="s">
        <v>452</v>
      </c>
      <c r="F100" s="285" t="s">
        <v>28</v>
      </c>
      <c r="G100" s="284"/>
      <c r="H100" s="284"/>
      <c r="I100" s="286">
        <f>VLOOKUP(D100,[10]EBOM!$C:$P,14,0)</f>
        <v>2.66E-3</v>
      </c>
      <c r="J100" s="286">
        <f>I100-_xlfn.MINIFS(I:I,C:C,C100)</f>
        <v>2.0600000000000002E-3</v>
      </c>
      <c r="K100" s="288"/>
      <c r="L100" s="288"/>
      <c r="M100" s="288"/>
      <c r="N100" s="284" t="s">
        <v>294</v>
      </c>
      <c r="O100" s="284"/>
    </row>
    <row r="101" spans="1:15" ht="16.25" customHeight="1">
      <c r="A101" s="285" t="s">
        <v>233</v>
      </c>
      <c r="B101" s="284" t="s">
        <v>457</v>
      </c>
      <c r="C101" s="284" t="s">
        <v>450</v>
      </c>
      <c r="D101" s="284" t="s">
        <v>458</v>
      </c>
      <c r="E101" s="284" t="s">
        <v>452</v>
      </c>
      <c r="F101" s="285" t="s">
        <v>28</v>
      </c>
      <c r="G101" s="284"/>
      <c r="H101" s="284">
        <v>1</v>
      </c>
      <c r="I101" s="286">
        <f>VLOOKUP(D101,[10]EBOM!$C:$P,14,0)</f>
        <v>5.9999999999999995E-4</v>
      </c>
      <c r="J101" s="287">
        <f>I101-_xlfn.MINIFS(I:I,C:C,C101)</f>
        <v>0</v>
      </c>
      <c r="K101" s="288">
        <f>I101*1.035</f>
        <v>6.2099999999999992E-4</v>
      </c>
      <c r="L101" s="288">
        <f>K101*H101</f>
        <v>6.2099999999999992E-4</v>
      </c>
      <c r="M101" s="289"/>
      <c r="N101" s="284" t="s">
        <v>296</v>
      </c>
      <c r="O101" s="284"/>
    </row>
    <row r="102" spans="1:15" ht="16.25" customHeight="1">
      <c r="A102" s="285"/>
      <c r="B102" s="284"/>
      <c r="C102" s="290" t="s">
        <v>459</v>
      </c>
      <c r="D102" s="291" t="s">
        <v>460</v>
      </c>
      <c r="E102" s="290" t="s">
        <v>461</v>
      </c>
      <c r="F102" s="285" t="s">
        <v>28</v>
      </c>
      <c r="G102" s="284"/>
      <c r="H102" s="284"/>
      <c r="I102" s="286"/>
      <c r="J102" s="287"/>
      <c r="K102" s="288"/>
      <c r="L102" s="288"/>
      <c r="M102" s="295" t="s">
        <v>462</v>
      </c>
      <c r="N102" s="284"/>
      <c r="O102" s="284"/>
    </row>
    <row r="103" spans="1:15" ht="16.25" customHeight="1">
      <c r="A103" s="285" t="s">
        <v>233</v>
      </c>
      <c r="B103" s="284" t="s">
        <v>463</v>
      </c>
      <c r="C103" s="284" t="s">
        <v>459</v>
      </c>
      <c r="D103" s="284" t="s">
        <v>463</v>
      </c>
      <c r="E103" s="284" t="s">
        <v>461</v>
      </c>
      <c r="F103" s="285" t="s">
        <v>28</v>
      </c>
      <c r="G103" s="284">
        <v>24</v>
      </c>
      <c r="H103" s="284"/>
      <c r="I103" s="286"/>
      <c r="J103" s="286">
        <f t="shared" ref="J103:J129" si="12">I103-_xlfn.MINIFS(I:I,C:C,C103)</f>
        <v>-5.9999999999999995E-4</v>
      </c>
      <c r="K103" s="288"/>
      <c r="L103" s="288"/>
      <c r="M103" s="288"/>
      <c r="N103" s="284" t="s">
        <v>292</v>
      </c>
      <c r="O103" s="284" t="s">
        <v>464</v>
      </c>
    </row>
    <row r="104" spans="1:15" ht="16.25" customHeight="1">
      <c r="A104" s="285" t="s">
        <v>233</v>
      </c>
      <c r="B104" s="284" t="s">
        <v>465</v>
      </c>
      <c r="C104" s="284" t="s">
        <v>459</v>
      </c>
      <c r="D104" s="284" t="s">
        <v>465</v>
      </c>
      <c r="E104" s="284" t="s">
        <v>461</v>
      </c>
      <c r="F104" s="285" t="s">
        <v>28</v>
      </c>
      <c r="G104" s="284"/>
      <c r="H104" s="284"/>
      <c r="I104" s="286">
        <f>VLOOKUP(D104,[10]EBOM!$C:$P,14,0)</f>
        <v>2.66E-3</v>
      </c>
      <c r="J104" s="286">
        <f t="shared" si="12"/>
        <v>2.0600000000000002E-3</v>
      </c>
      <c r="K104" s="288"/>
      <c r="L104" s="288"/>
      <c r="M104" s="288"/>
      <c r="N104" s="284" t="s">
        <v>294</v>
      </c>
      <c r="O104" s="284"/>
    </row>
    <row r="105" spans="1:15" ht="16.25" customHeight="1">
      <c r="A105" s="285" t="s">
        <v>233</v>
      </c>
      <c r="B105" s="284" t="s">
        <v>466</v>
      </c>
      <c r="C105" s="284" t="s">
        <v>459</v>
      </c>
      <c r="D105" s="284" t="s">
        <v>466</v>
      </c>
      <c r="E105" s="284" t="s">
        <v>461</v>
      </c>
      <c r="F105" s="285" t="s">
        <v>28</v>
      </c>
      <c r="G105" s="284"/>
      <c r="H105" s="284"/>
      <c r="I105" s="286"/>
      <c r="J105" s="286">
        <f t="shared" si="12"/>
        <v>-5.9999999999999995E-4</v>
      </c>
      <c r="K105" s="288"/>
      <c r="L105" s="288"/>
      <c r="M105" s="288"/>
      <c r="N105" s="284" t="s">
        <v>289</v>
      </c>
      <c r="O105" s="284"/>
    </row>
    <row r="106" spans="1:15" ht="16.25" customHeight="1">
      <c r="A106" s="285" t="s">
        <v>233</v>
      </c>
      <c r="B106" s="284" t="s">
        <v>467</v>
      </c>
      <c r="C106" s="284" t="s">
        <v>459</v>
      </c>
      <c r="D106" s="284" t="s">
        <v>468</v>
      </c>
      <c r="E106" s="284" t="s">
        <v>461</v>
      </c>
      <c r="F106" s="285" t="s">
        <v>28</v>
      </c>
      <c r="G106" s="284"/>
      <c r="H106" s="284">
        <v>24</v>
      </c>
      <c r="I106" s="286">
        <f>VLOOKUP(D106,[10]EBOM!$C:$P,14,0)</f>
        <v>5.9999999999999995E-4</v>
      </c>
      <c r="J106" s="287">
        <f t="shared" si="12"/>
        <v>0</v>
      </c>
      <c r="K106" s="288">
        <f>I106*1.035</f>
        <v>6.2099999999999992E-4</v>
      </c>
      <c r="L106" s="288">
        <f t="shared" ref="L106:L108" si="13">K106*H106</f>
        <v>1.4903999999999997E-2</v>
      </c>
      <c r="M106" s="289"/>
      <c r="N106" s="284" t="s">
        <v>296</v>
      </c>
      <c r="O106" s="284"/>
    </row>
    <row r="107" spans="1:15" ht="16.25" customHeight="1">
      <c r="A107" s="285" t="s">
        <v>233</v>
      </c>
      <c r="B107" s="284" t="s">
        <v>248</v>
      </c>
      <c r="C107" s="284" t="s">
        <v>469</v>
      </c>
      <c r="D107" s="284" t="s">
        <v>470</v>
      </c>
      <c r="E107" s="284" t="s">
        <v>471</v>
      </c>
      <c r="F107" s="285" t="s">
        <v>28</v>
      </c>
      <c r="G107" s="284">
        <v>1</v>
      </c>
      <c r="H107" s="284">
        <v>1</v>
      </c>
      <c r="I107" s="286">
        <f>VLOOKUP(D107,[10]EBOM!$C:$P,14,0)</f>
        <v>0.125</v>
      </c>
      <c r="J107" s="287">
        <f t="shared" si="12"/>
        <v>0</v>
      </c>
      <c r="K107" s="288">
        <f t="shared" ref="K107:K108" si="14">I107*1.035</f>
        <v>0.12937499999999999</v>
      </c>
      <c r="L107" s="288">
        <f t="shared" si="13"/>
        <v>0.12937499999999999</v>
      </c>
      <c r="M107" s="289"/>
      <c r="N107" s="284" t="s">
        <v>264</v>
      </c>
      <c r="O107" s="284" t="s">
        <v>472</v>
      </c>
    </row>
    <row r="108" spans="1:15" ht="16.25" customHeight="1">
      <c r="A108" s="285" t="s">
        <v>233</v>
      </c>
      <c r="B108" s="284" t="s">
        <v>248</v>
      </c>
      <c r="C108" s="284" t="s">
        <v>473</v>
      </c>
      <c r="D108" s="284" t="s">
        <v>474</v>
      </c>
      <c r="E108" s="284" t="s">
        <v>475</v>
      </c>
      <c r="F108" s="285" t="s">
        <v>28</v>
      </c>
      <c r="G108" s="284">
        <v>1</v>
      </c>
      <c r="H108" s="284">
        <v>1</v>
      </c>
      <c r="I108" s="286">
        <f>VLOOKUP(D108,[10]EBOM!$C:$P,14,0)</f>
        <v>2.5799999999999998E-3</v>
      </c>
      <c r="J108" s="287">
        <f t="shared" si="12"/>
        <v>0</v>
      </c>
      <c r="K108" s="288">
        <f t="shared" si="14"/>
        <v>2.6702999999999996E-3</v>
      </c>
      <c r="L108" s="288">
        <f t="shared" si="13"/>
        <v>2.6702999999999996E-3</v>
      </c>
      <c r="M108" s="289"/>
      <c r="N108" s="284" t="s">
        <v>240</v>
      </c>
      <c r="O108" s="284" t="s">
        <v>476</v>
      </c>
    </row>
    <row r="109" spans="1:15" ht="16.25" customHeight="1">
      <c r="A109" s="285" t="s">
        <v>233</v>
      </c>
      <c r="B109" s="284" t="s">
        <v>477</v>
      </c>
      <c r="C109" s="284" t="s">
        <v>478</v>
      </c>
      <c r="D109" s="284" t="s">
        <v>477</v>
      </c>
      <c r="E109" s="284" t="s">
        <v>479</v>
      </c>
      <c r="F109" s="285" t="s">
        <v>28</v>
      </c>
      <c r="G109" s="284">
        <v>7</v>
      </c>
      <c r="H109" s="284"/>
      <c r="I109" s="286"/>
      <c r="J109" s="286">
        <f t="shared" si="12"/>
        <v>-4.4999999999999997E-3</v>
      </c>
      <c r="K109" s="288"/>
      <c r="L109" s="288"/>
      <c r="M109" s="288"/>
      <c r="N109" s="284" t="s">
        <v>237</v>
      </c>
      <c r="O109" s="284" t="s">
        <v>480</v>
      </c>
    </row>
    <row r="110" spans="1:15" ht="16.25" customHeight="1">
      <c r="A110" s="285" t="s">
        <v>233</v>
      </c>
      <c r="B110" s="284" t="s">
        <v>481</v>
      </c>
      <c r="C110" s="284" t="s">
        <v>478</v>
      </c>
      <c r="D110" s="284" t="s">
        <v>481</v>
      </c>
      <c r="E110" s="284" t="s">
        <v>479</v>
      </c>
      <c r="F110" s="285" t="s">
        <v>28</v>
      </c>
      <c r="G110" s="284"/>
      <c r="H110" s="284">
        <v>7</v>
      </c>
      <c r="I110" s="286">
        <f>VLOOKUP(D110,[10]EBOM!$C:$P,14,0)</f>
        <v>4.4999999999999997E-3</v>
      </c>
      <c r="J110" s="287">
        <f t="shared" si="12"/>
        <v>0</v>
      </c>
      <c r="K110" s="288">
        <f t="shared" ref="K110:K111" si="15">I110*1.035</f>
        <v>4.6574999999999993E-3</v>
      </c>
      <c r="L110" s="288">
        <f t="shared" ref="L110:L111" si="16">K110*H110</f>
        <v>3.2602499999999993E-2</v>
      </c>
      <c r="M110" s="289"/>
      <c r="N110" s="284" t="s">
        <v>237</v>
      </c>
      <c r="O110" s="284"/>
    </row>
    <row r="111" spans="1:15" ht="16.25" customHeight="1">
      <c r="A111" s="285" t="s">
        <v>233</v>
      </c>
      <c r="B111" s="284" t="s">
        <v>248</v>
      </c>
      <c r="C111" s="284" t="s">
        <v>482</v>
      </c>
      <c r="D111" s="284" t="s">
        <v>483</v>
      </c>
      <c r="E111" s="284" t="s">
        <v>484</v>
      </c>
      <c r="F111" s="285" t="s">
        <v>28</v>
      </c>
      <c r="G111" s="284">
        <v>1</v>
      </c>
      <c r="H111" s="284">
        <v>1</v>
      </c>
      <c r="I111" s="286">
        <f>VLOOKUP(D111,[10]EBOM!$C:$P,14,0)</f>
        <v>0.115</v>
      </c>
      <c r="J111" s="287">
        <f t="shared" si="12"/>
        <v>0</v>
      </c>
      <c r="K111" s="288">
        <f t="shared" si="15"/>
        <v>0.11902499999999999</v>
      </c>
      <c r="L111" s="288">
        <f t="shared" si="16"/>
        <v>0.11902499999999999</v>
      </c>
      <c r="M111" s="289"/>
      <c r="N111" s="284" t="s">
        <v>485</v>
      </c>
      <c r="O111" s="284" t="s">
        <v>486</v>
      </c>
    </row>
    <row r="112" spans="1:15" ht="16.25" customHeight="1">
      <c r="A112" s="285" t="s">
        <v>233</v>
      </c>
      <c r="B112" s="284" t="s">
        <v>248</v>
      </c>
      <c r="C112" s="284" t="s">
        <v>487</v>
      </c>
      <c r="D112" s="284" t="s">
        <v>488</v>
      </c>
      <c r="E112" s="284" t="s">
        <v>489</v>
      </c>
      <c r="F112" s="285" t="s">
        <v>28</v>
      </c>
      <c r="G112" s="284">
        <v>2</v>
      </c>
      <c r="H112" s="284"/>
      <c r="I112" s="286"/>
      <c r="J112" s="286">
        <f t="shared" si="12"/>
        <v>-2.2589999999999999E-2</v>
      </c>
      <c r="K112" s="288"/>
      <c r="L112" s="288"/>
      <c r="M112" s="288"/>
      <c r="N112" s="284" t="s">
        <v>254</v>
      </c>
      <c r="O112" s="284" t="s">
        <v>490</v>
      </c>
    </row>
    <row r="113" spans="1:15" ht="16.25" customHeight="1">
      <c r="A113" s="285" t="s">
        <v>233</v>
      </c>
      <c r="B113" s="284" t="s">
        <v>248</v>
      </c>
      <c r="C113" s="284" t="s">
        <v>487</v>
      </c>
      <c r="D113" s="284" t="s">
        <v>491</v>
      </c>
      <c r="E113" s="284" t="s">
        <v>489</v>
      </c>
      <c r="F113" s="285" t="s">
        <v>28</v>
      </c>
      <c r="G113" s="284"/>
      <c r="H113" s="284"/>
      <c r="I113" s="286">
        <f>VLOOKUP(D113,[10]EBOM!$C:$P,14,0)</f>
        <v>6.5000000000000002E-2</v>
      </c>
      <c r="J113" s="286">
        <f t="shared" si="12"/>
        <v>4.2410000000000003E-2</v>
      </c>
      <c r="K113" s="288"/>
      <c r="L113" s="288"/>
      <c r="M113" s="288"/>
      <c r="N113" s="284" t="s">
        <v>237</v>
      </c>
      <c r="O113" s="284"/>
    </row>
    <row r="114" spans="1:15" ht="16.25" customHeight="1">
      <c r="A114" s="285" t="s">
        <v>233</v>
      </c>
      <c r="B114" s="284" t="s">
        <v>248</v>
      </c>
      <c r="C114" s="284" t="s">
        <v>487</v>
      </c>
      <c r="D114" s="284" t="s">
        <v>492</v>
      </c>
      <c r="E114" s="284" t="s">
        <v>489</v>
      </c>
      <c r="F114" s="285" t="s">
        <v>28</v>
      </c>
      <c r="G114" s="284"/>
      <c r="H114" s="284"/>
      <c r="I114" s="286">
        <f>VLOOKUP(D114,[10]EBOM!$C:$P,14,0)</f>
        <v>6.5000000000000002E-2</v>
      </c>
      <c r="J114" s="286">
        <f t="shared" si="12"/>
        <v>4.2410000000000003E-2</v>
      </c>
      <c r="K114" s="288"/>
      <c r="L114" s="288"/>
      <c r="M114" s="288"/>
      <c r="N114" s="284" t="s">
        <v>237</v>
      </c>
      <c r="O114" s="284"/>
    </row>
    <row r="115" spans="1:15" ht="16.25" customHeight="1">
      <c r="A115" s="285" t="s">
        <v>233</v>
      </c>
      <c r="B115" s="284" t="s">
        <v>493</v>
      </c>
      <c r="C115" s="284" t="s">
        <v>487</v>
      </c>
      <c r="D115" s="284" t="s">
        <v>493</v>
      </c>
      <c r="E115" s="284" t="s">
        <v>489</v>
      </c>
      <c r="F115" s="285" t="s">
        <v>28</v>
      </c>
      <c r="G115" s="284"/>
      <c r="H115" s="284">
        <v>2</v>
      </c>
      <c r="I115" s="286">
        <f>VLOOKUP(D115,[10]EBOM!$C:$P,14,0)</f>
        <v>2.2589999999999999E-2</v>
      </c>
      <c r="J115" s="287">
        <f t="shared" si="12"/>
        <v>0</v>
      </c>
      <c r="K115" s="288">
        <f>I115*1.035</f>
        <v>2.3380649999999996E-2</v>
      </c>
      <c r="L115" s="288">
        <f>K115*H115</f>
        <v>4.6761299999999992E-2</v>
      </c>
      <c r="M115" s="289"/>
      <c r="N115" s="284" t="s">
        <v>494</v>
      </c>
      <c r="O115" s="284"/>
    </row>
    <row r="116" spans="1:15" ht="16.25" customHeight="1">
      <c r="A116" s="285" t="s">
        <v>233</v>
      </c>
      <c r="B116" s="284" t="s">
        <v>248</v>
      </c>
      <c r="C116" s="284" t="s">
        <v>487</v>
      </c>
      <c r="D116" s="284" t="s">
        <v>495</v>
      </c>
      <c r="E116" s="284" t="s">
        <v>489</v>
      </c>
      <c r="F116" s="285" t="s">
        <v>28</v>
      </c>
      <c r="G116" s="284"/>
      <c r="H116" s="284"/>
      <c r="I116" s="286"/>
      <c r="J116" s="286">
        <f t="shared" si="12"/>
        <v>-2.2589999999999999E-2</v>
      </c>
      <c r="K116" s="288"/>
      <c r="L116" s="288"/>
      <c r="M116" s="288"/>
      <c r="N116" s="284" t="s">
        <v>333</v>
      </c>
      <c r="O116" s="284"/>
    </row>
    <row r="117" spans="1:15" ht="16.25" customHeight="1">
      <c r="A117" s="285" t="s">
        <v>233</v>
      </c>
      <c r="B117" s="284" t="s">
        <v>248</v>
      </c>
      <c r="C117" s="284" t="s">
        <v>487</v>
      </c>
      <c r="D117" s="284" t="s">
        <v>496</v>
      </c>
      <c r="E117" s="284" t="s">
        <v>489</v>
      </c>
      <c r="F117" s="285" t="s">
        <v>28</v>
      </c>
      <c r="G117" s="284"/>
      <c r="H117" s="284"/>
      <c r="I117" s="286"/>
      <c r="J117" s="286">
        <f t="shared" si="12"/>
        <v>-2.2589999999999999E-2</v>
      </c>
      <c r="K117" s="288"/>
      <c r="L117" s="288"/>
      <c r="M117" s="288"/>
      <c r="N117" s="284" t="s">
        <v>254</v>
      </c>
      <c r="O117" s="284"/>
    </row>
    <row r="118" spans="1:15" ht="16.25" customHeight="1">
      <c r="A118" s="285" t="s">
        <v>233</v>
      </c>
      <c r="B118" s="284" t="s">
        <v>248</v>
      </c>
      <c r="C118" s="284" t="s">
        <v>487</v>
      </c>
      <c r="D118" s="284" t="s">
        <v>497</v>
      </c>
      <c r="E118" s="284" t="s">
        <v>489</v>
      </c>
      <c r="F118" s="285" t="s">
        <v>28</v>
      </c>
      <c r="G118" s="284"/>
      <c r="H118" s="284"/>
      <c r="I118" s="286"/>
      <c r="J118" s="286">
        <f t="shared" si="12"/>
        <v>-2.2589999999999999E-2</v>
      </c>
      <c r="K118" s="288"/>
      <c r="L118" s="288"/>
      <c r="M118" s="288"/>
      <c r="N118" s="284" t="s">
        <v>333</v>
      </c>
      <c r="O118" s="284"/>
    </row>
    <row r="119" spans="1:15" ht="16.25" customHeight="1">
      <c r="A119" s="285" t="s">
        <v>233</v>
      </c>
      <c r="B119" s="284" t="s">
        <v>498</v>
      </c>
      <c r="C119" s="284" t="s">
        <v>487</v>
      </c>
      <c r="D119" s="284" t="s">
        <v>498</v>
      </c>
      <c r="E119" s="284" t="s">
        <v>489</v>
      </c>
      <c r="F119" s="285" t="s">
        <v>28</v>
      </c>
      <c r="G119" s="284"/>
      <c r="H119" s="284"/>
      <c r="I119" s="286">
        <f>VLOOKUP(D119,[10]EBOM!$C:$P,14,0)</f>
        <v>0.04</v>
      </c>
      <c r="J119" s="286">
        <f t="shared" si="12"/>
        <v>1.7410000000000002E-2</v>
      </c>
      <c r="K119" s="288"/>
      <c r="L119" s="288"/>
      <c r="M119" s="288"/>
      <c r="N119" s="284" t="s">
        <v>296</v>
      </c>
      <c r="O119" s="284"/>
    </row>
    <row r="120" spans="1:15" ht="16.25" customHeight="1">
      <c r="A120" s="285" t="s">
        <v>233</v>
      </c>
      <c r="B120" s="284" t="s">
        <v>248</v>
      </c>
      <c r="C120" s="284" t="s">
        <v>499</v>
      </c>
      <c r="D120" s="284" t="s">
        <v>500</v>
      </c>
      <c r="E120" s="284" t="s">
        <v>501</v>
      </c>
      <c r="F120" s="285" t="s">
        <v>28</v>
      </c>
      <c r="G120" s="284">
        <v>1</v>
      </c>
      <c r="H120" s="284">
        <v>1</v>
      </c>
      <c r="I120" s="286">
        <f>VLOOKUP(D120,[10]EBOM!$C:$P,14,0)</f>
        <v>0.55200000000000005</v>
      </c>
      <c r="J120" s="287">
        <f t="shared" si="12"/>
        <v>0</v>
      </c>
      <c r="K120" s="288">
        <f t="shared" ref="K120:K122" si="17">I120*1.035</f>
        <v>0.57132000000000005</v>
      </c>
      <c r="L120" s="288">
        <f t="shared" ref="L120:L122" si="18">K120*H120</f>
        <v>0.57132000000000005</v>
      </c>
      <c r="M120" s="289"/>
      <c r="N120" s="284" t="s">
        <v>264</v>
      </c>
      <c r="O120" s="284" t="s">
        <v>502</v>
      </c>
    </row>
    <row r="121" spans="1:15" ht="16.25" customHeight="1">
      <c r="A121" s="285" t="s">
        <v>233</v>
      </c>
      <c r="B121" s="284" t="s">
        <v>503</v>
      </c>
      <c r="C121" s="284" t="s">
        <v>504</v>
      </c>
      <c r="D121" s="284" t="s">
        <v>503</v>
      </c>
      <c r="E121" s="284" t="s">
        <v>505</v>
      </c>
      <c r="F121" s="285" t="s">
        <v>28</v>
      </c>
      <c r="G121" s="284">
        <v>1</v>
      </c>
      <c r="H121" s="284">
        <v>1</v>
      </c>
      <c r="I121" s="286">
        <f>VLOOKUP(D121,[10]EBOM!$C:$P,14,0)</f>
        <v>4.7999999999999996E-3</v>
      </c>
      <c r="J121" s="287">
        <f t="shared" si="12"/>
        <v>0</v>
      </c>
      <c r="K121" s="288">
        <f t="shared" si="17"/>
        <v>4.9679999999999993E-3</v>
      </c>
      <c r="L121" s="288">
        <f t="shared" si="18"/>
        <v>4.9679999999999993E-3</v>
      </c>
      <c r="M121" s="289"/>
      <c r="N121" s="284" t="s">
        <v>237</v>
      </c>
      <c r="O121" s="284" t="s">
        <v>506</v>
      </c>
    </row>
    <row r="122" spans="1:15" ht="16.25" customHeight="1">
      <c r="A122" s="285" t="s">
        <v>233</v>
      </c>
      <c r="B122" s="284" t="s">
        <v>248</v>
      </c>
      <c r="C122" s="284" t="s">
        <v>507</v>
      </c>
      <c r="D122" s="284" t="s">
        <v>508</v>
      </c>
      <c r="E122" s="284" t="s">
        <v>509</v>
      </c>
      <c r="F122" s="285" t="s">
        <v>28</v>
      </c>
      <c r="G122" s="284">
        <v>1</v>
      </c>
      <c r="H122" s="284">
        <v>1</v>
      </c>
      <c r="I122" s="286">
        <f>VLOOKUP(D122,[10]EBOM!$C:$P,14,0)</f>
        <v>2.2000000000000001E-3</v>
      </c>
      <c r="J122" s="287">
        <f t="shared" si="12"/>
        <v>0</v>
      </c>
      <c r="K122" s="288">
        <f t="shared" si="17"/>
        <v>2.2769999999999999E-3</v>
      </c>
      <c r="L122" s="288">
        <f t="shared" si="18"/>
        <v>2.2769999999999999E-3</v>
      </c>
      <c r="M122" s="289"/>
      <c r="N122" s="284" t="s">
        <v>237</v>
      </c>
      <c r="O122" s="284" t="s">
        <v>510</v>
      </c>
    </row>
    <row r="123" spans="1:15" ht="16.25" customHeight="1">
      <c r="A123" s="285" t="s">
        <v>233</v>
      </c>
      <c r="B123" s="284" t="s">
        <v>511</v>
      </c>
      <c r="C123" s="284" t="s">
        <v>507</v>
      </c>
      <c r="D123" s="284" t="s">
        <v>512</v>
      </c>
      <c r="E123" s="284" t="s">
        <v>509</v>
      </c>
      <c r="F123" s="285" t="s">
        <v>28</v>
      </c>
      <c r="G123" s="284"/>
      <c r="H123" s="284"/>
      <c r="I123" s="286"/>
      <c r="J123" s="286">
        <f t="shared" si="12"/>
        <v>-2.2000000000000001E-3</v>
      </c>
      <c r="K123" s="288"/>
      <c r="L123" s="288"/>
      <c r="M123" s="288"/>
      <c r="N123" s="284" t="s">
        <v>237</v>
      </c>
      <c r="O123" s="284"/>
    </row>
    <row r="124" spans="1:15" ht="16.25" customHeight="1">
      <c r="A124" s="285" t="s">
        <v>233</v>
      </c>
      <c r="B124" s="284" t="s">
        <v>248</v>
      </c>
      <c r="C124" s="284" t="s">
        <v>507</v>
      </c>
      <c r="D124" s="284" t="s">
        <v>513</v>
      </c>
      <c r="E124" s="284" t="s">
        <v>509</v>
      </c>
      <c r="F124" s="285" t="s">
        <v>28</v>
      </c>
      <c r="G124" s="284"/>
      <c r="H124" s="284"/>
      <c r="I124" s="286">
        <f>VLOOKUP(D124,[10]EBOM!$C:$P,14,0)</f>
        <v>3.6099999999999999E-3</v>
      </c>
      <c r="J124" s="286">
        <f t="shared" si="12"/>
        <v>1.4099999999999998E-3</v>
      </c>
      <c r="K124" s="288"/>
      <c r="L124" s="288"/>
      <c r="M124" s="288"/>
      <c r="N124" s="284" t="s">
        <v>240</v>
      </c>
      <c r="O124" s="284"/>
    </row>
    <row r="125" spans="1:15" ht="16.25" customHeight="1">
      <c r="A125" s="285" t="s">
        <v>233</v>
      </c>
      <c r="B125" s="284" t="s">
        <v>514</v>
      </c>
      <c r="C125" s="284" t="s">
        <v>515</v>
      </c>
      <c r="D125" s="284" t="s">
        <v>516</v>
      </c>
      <c r="E125" s="284" t="s">
        <v>517</v>
      </c>
      <c r="F125" s="285" t="s">
        <v>28</v>
      </c>
      <c r="G125" s="284">
        <v>9</v>
      </c>
      <c r="H125" s="284">
        <v>9</v>
      </c>
      <c r="I125" s="286">
        <f>VLOOKUP(D125,[10]EBOM!$C:$P,14,0)</f>
        <v>1.6999999999999999E-3</v>
      </c>
      <c r="J125" s="287">
        <f t="shared" si="12"/>
        <v>0</v>
      </c>
      <c r="K125" s="288">
        <f>I125*1.035</f>
        <v>1.7594999999999998E-3</v>
      </c>
      <c r="L125" s="288">
        <f>K125*H125</f>
        <v>1.5835499999999999E-2</v>
      </c>
      <c r="M125" s="289"/>
      <c r="N125" s="284" t="s">
        <v>237</v>
      </c>
      <c r="O125" s="284" t="s">
        <v>518</v>
      </c>
    </row>
    <row r="126" spans="1:15" ht="16.25" customHeight="1">
      <c r="A126" s="285" t="s">
        <v>233</v>
      </c>
      <c r="B126" s="284" t="s">
        <v>519</v>
      </c>
      <c r="C126" s="284" t="s">
        <v>515</v>
      </c>
      <c r="D126" s="284" t="s">
        <v>520</v>
      </c>
      <c r="E126" s="284" t="s">
        <v>517</v>
      </c>
      <c r="F126" s="285" t="s">
        <v>28</v>
      </c>
      <c r="G126" s="284"/>
      <c r="H126" s="284"/>
      <c r="I126" s="286"/>
      <c r="J126" s="286">
        <f t="shared" si="12"/>
        <v>-1.6999999999999999E-3</v>
      </c>
      <c r="K126" s="288"/>
      <c r="L126" s="288"/>
      <c r="M126" s="288"/>
      <c r="N126" s="284" t="s">
        <v>237</v>
      </c>
      <c r="O126" s="284"/>
    </row>
    <row r="127" spans="1:15" ht="16.25" customHeight="1">
      <c r="A127" s="285" t="s">
        <v>233</v>
      </c>
      <c r="B127" s="284" t="s">
        <v>521</v>
      </c>
      <c r="C127" s="284" t="s">
        <v>515</v>
      </c>
      <c r="D127" s="284" t="s">
        <v>522</v>
      </c>
      <c r="E127" s="284" t="s">
        <v>517</v>
      </c>
      <c r="F127" s="285" t="s">
        <v>28</v>
      </c>
      <c r="G127" s="284"/>
      <c r="H127" s="284"/>
      <c r="I127" s="286">
        <f>VLOOKUP(D127,[10]EBOM!$C:$P,14,0)</f>
        <v>2.5799999999999998E-3</v>
      </c>
      <c r="J127" s="286">
        <f t="shared" si="12"/>
        <v>8.7999999999999992E-4</v>
      </c>
      <c r="K127" s="288"/>
      <c r="L127" s="288"/>
      <c r="M127" s="288"/>
      <c r="N127" s="284" t="s">
        <v>240</v>
      </c>
      <c r="O127" s="284"/>
    </row>
    <row r="128" spans="1:15" ht="16.25" customHeight="1">
      <c r="A128" s="285" t="s">
        <v>233</v>
      </c>
      <c r="B128" s="284" t="s">
        <v>523</v>
      </c>
      <c r="C128" s="284" t="s">
        <v>524</v>
      </c>
      <c r="D128" s="284" t="s">
        <v>523</v>
      </c>
      <c r="E128" s="284" t="s">
        <v>525</v>
      </c>
      <c r="F128" s="285" t="s">
        <v>28</v>
      </c>
      <c r="G128" s="284">
        <v>1</v>
      </c>
      <c r="H128" s="284">
        <v>1</v>
      </c>
      <c r="I128" s="286">
        <f>VLOOKUP(D128,[10]EBOM!$C:$P,14,0)</f>
        <v>0.27836</v>
      </c>
      <c r="J128" s="287">
        <f t="shared" si="12"/>
        <v>0</v>
      </c>
      <c r="K128" s="288">
        <f t="shared" ref="K128:K129" si="19">I128*1.035</f>
        <v>0.28810259999999999</v>
      </c>
      <c r="L128" s="288">
        <f t="shared" ref="L128:L129" si="20">K128*H128</f>
        <v>0.28810259999999999</v>
      </c>
      <c r="M128" s="289"/>
      <c r="N128" s="284" t="s">
        <v>526</v>
      </c>
      <c r="O128" s="284" t="s">
        <v>527</v>
      </c>
    </row>
    <row r="129" spans="1:15" ht="16.25" customHeight="1">
      <c r="A129" s="285" t="s">
        <v>233</v>
      </c>
      <c r="B129" s="284" t="s">
        <v>248</v>
      </c>
      <c r="C129" s="284" t="s">
        <v>528</v>
      </c>
      <c r="D129" s="284" t="s">
        <v>529</v>
      </c>
      <c r="E129" s="284" t="s">
        <v>530</v>
      </c>
      <c r="F129" s="285" t="s">
        <v>28</v>
      </c>
      <c r="G129" s="284">
        <v>1</v>
      </c>
      <c r="H129" s="284">
        <v>1</v>
      </c>
      <c r="I129" s="286">
        <f>VLOOKUP(D129,[10]EBOM!$C:$P,14,0)</f>
        <v>1.069E-2</v>
      </c>
      <c r="J129" s="287">
        <f t="shared" si="12"/>
        <v>0</v>
      </c>
      <c r="K129" s="288">
        <f t="shared" si="19"/>
        <v>1.1064149999999998E-2</v>
      </c>
      <c r="L129" s="288">
        <f t="shared" si="20"/>
        <v>1.1064149999999998E-2</v>
      </c>
      <c r="M129" s="289"/>
      <c r="N129" s="284" t="s">
        <v>244</v>
      </c>
      <c r="O129" s="284" t="s">
        <v>531</v>
      </c>
    </row>
    <row r="130" spans="1:15" ht="16.25" customHeight="1">
      <c r="A130" s="285"/>
      <c r="B130" s="284"/>
      <c r="C130" s="290" t="s">
        <v>532</v>
      </c>
      <c r="D130" s="291" t="s">
        <v>533</v>
      </c>
      <c r="E130" s="290" t="s">
        <v>534</v>
      </c>
      <c r="F130" s="285"/>
      <c r="G130" s="284"/>
      <c r="H130" s="284"/>
      <c r="I130" s="286"/>
      <c r="J130" s="287"/>
      <c r="K130" s="288"/>
      <c r="L130" s="288"/>
      <c r="M130" s="295" t="s">
        <v>535</v>
      </c>
      <c r="N130" s="284"/>
      <c r="O130" s="284"/>
    </row>
    <row r="131" spans="1:15" ht="16.25" customHeight="1">
      <c r="A131" s="285" t="s">
        <v>233</v>
      </c>
      <c r="B131" s="284" t="s">
        <v>536</v>
      </c>
      <c r="C131" s="284" t="s">
        <v>532</v>
      </c>
      <c r="D131" s="284" t="s">
        <v>537</v>
      </c>
      <c r="E131" s="284" t="s">
        <v>534</v>
      </c>
      <c r="F131" s="285" t="s">
        <v>28</v>
      </c>
      <c r="G131" s="284">
        <v>4</v>
      </c>
      <c r="H131" s="284"/>
      <c r="I131" s="286">
        <f>VLOOKUP(D131,[10]EBOM!$C:$P,14,0)</f>
        <v>3.5999999999999999E-3</v>
      </c>
      <c r="J131" s="286">
        <f>I131-_xlfn.MINIFS(I:I,C:C,C131)</f>
        <v>3.0000000000000001E-3</v>
      </c>
      <c r="K131" s="288"/>
      <c r="L131" s="288"/>
      <c r="M131" s="288"/>
      <c r="N131" s="284" t="s">
        <v>292</v>
      </c>
      <c r="O131" s="284" t="s">
        <v>538</v>
      </c>
    </row>
    <row r="132" spans="1:15" ht="16.25" customHeight="1">
      <c r="A132" s="285" t="s">
        <v>233</v>
      </c>
      <c r="B132" s="284" t="s">
        <v>539</v>
      </c>
      <c r="C132" s="284" t="s">
        <v>532</v>
      </c>
      <c r="D132" s="284" t="s">
        <v>539</v>
      </c>
      <c r="E132" s="284" t="s">
        <v>534</v>
      </c>
      <c r="F132" s="285" t="s">
        <v>28</v>
      </c>
      <c r="G132" s="284"/>
      <c r="H132" s="284"/>
      <c r="I132" s="286">
        <f>VLOOKUP(D132,[10]EBOM!$C:$P,14,0)</f>
        <v>1.52E-2</v>
      </c>
      <c r="J132" s="286">
        <f>I132-_xlfn.MINIFS(I:I,C:C,C132)</f>
        <v>1.46E-2</v>
      </c>
      <c r="K132" s="288"/>
      <c r="L132" s="288"/>
      <c r="M132" s="288"/>
      <c r="N132" s="284" t="s">
        <v>289</v>
      </c>
      <c r="O132" s="284"/>
    </row>
    <row r="133" spans="1:15" ht="16.25" customHeight="1">
      <c r="A133" s="285" t="s">
        <v>233</v>
      </c>
      <c r="B133" s="284" t="s">
        <v>540</v>
      </c>
      <c r="C133" s="284" t="s">
        <v>532</v>
      </c>
      <c r="D133" s="284" t="s">
        <v>541</v>
      </c>
      <c r="E133" s="284" t="s">
        <v>534</v>
      </c>
      <c r="F133" s="285" t="s">
        <v>28</v>
      </c>
      <c r="G133" s="284"/>
      <c r="H133" s="284">
        <v>4</v>
      </c>
      <c r="I133" s="286">
        <f>VLOOKUP(D133,[10]EBOM!$C:$P,14,0)</f>
        <v>5.9999999999999995E-4</v>
      </c>
      <c r="J133" s="287">
        <f>I133-_xlfn.MINIFS(I:I,C:C,C133)</f>
        <v>0</v>
      </c>
      <c r="K133" s="288">
        <f>I133*1.035</f>
        <v>6.2099999999999992E-4</v>
      </c>
      <c r="L133" s="288">
        <f>K133*H133</f>
        <v>2.4839999999999997E-3</v>
      </c>
      <c r="M133" s="289"/>
      <c r="N133" s="284" t="s">
        <v>296</v>
      </c>
      <c r="O133" s="284"/>
    </row>
    <row r="134" spans="1:15" ht="16.25" customHeight="1">
      <c r="A134" s="285"/>
      <c r="B134" s="284"/>
      <c r="C134" s="290" t="s">
        <v>542</v>
      </c>
      <c r="D134" s="291" t="s">
        <v>543</v>
      </c>
      <c r="E134" s="290" t="s">
        <v>544</v>
      </c>
      <c r="F134" s="285" t="s">
        <v>28</v>
      </c>
      <c r="G134" s="284"/>
      <c r="H134" s="284"/>
      <c r="I134" s="286"/>
      <c r="J134" s="287"/>
      <c r="K134" s="288"/>
      <c r="L134" s="288"/>
      <c r="M134" s="295" t="s">
        <v>535</v>
      </c>
      <c r="N134" s="284"/>
      <c r="O134" s="284"/>
    </row>
    <row r="135" spans="1:15" ht="16.25" customHeight="1">
      <c r="A135" s="285" t="s">
        <v>233</v>
      </c>
      <c r="B135" s="284" t="s">
        <v>248</v>
      </c>
      <c r="C135" s="284" t="s">
        <v>542</v>
      </c>
      <c r="D135" s="284" t="s">
        <v>545</v>
      </c>
      <c r="E135" s="284" t="s">
        <v>544</v>
      </c>
      <c r="F135" s="285" t="s">
        <v>28</v>
      </c>
      <c r="G135" s="284">
        <v>6</v>
      </c>
      <c r="H135" s="284"/>
      <c r="I135" s="286">
        <f>VLOOKUP(D135,[10]EBOM!$C:$P,14,0)</f>
        <v>2.66E-3</v>
      </c>
      <c r="J135" s="286">
        <f t="shared" ref="J135:J153" si="21">I135-_xlfn.MINIFS(I:I,C:C,C135)</f>
        <v>2.0600000000000002E-3</v>
      </c>
      <c r="K135" s="288"/>
      <c r="L135" s="288"/>
      <c r="M135" s="288"/>
      <c r="N135" s="284" t="s">
        <v>294</v>
      </c>
      <c r="O135" s="284" t="s">
        <v>546</v>
      </c>
    </row>
    <row r="136" spans="1:15" ht="16.25" customHeight="1">
      <c r="A136" s="285" t="s">
        <v>233</v>
      </c>
      <c r="B136" s="284" t="s">
        <v>248</v>
      </c>
      <c r="C136" s="284" t="s">
        <v>542</v>
      </c>
      <c r="D136" s="284" t="s">
        <v>547</v>
      </c>
      <c r="E136" s="284" t="s">
        <v>544</v>
      </c>
      <c r="F136" s="285" t="s">
        <v>28</v>
      </c>
      <c r="G136" s="284"/>
      <c r="H136" s="284"/>
      <c r="I136" s="286"/>
      <c r="J136" s="286">
        <f t="shared" si="21"/>
        <v>-5.9999999999999995E-4</v>
      </c>
      <c r="K136" s="288"/>
      <c r="L136" s="288"/>
      <c r="M136" s="288"/>
      <c r="N136" s="284" t="s">
        <v>292</v>
      </c>
      <c r="O136" s="284"/>
    </row>
    <row r="137" spans="1:15" ht="16.25" customHeight="1">
      <c r="A137" s="285" t="s">
        <v>233</v>
      </c>
      <c r="B137" s="284" t="s">
        <v>248</v>
      </c>
      <c r="C137" s="284" t="s">
        <v>542</v>
      </c>
      <c r="D137" s="284" t="s">
        <v>548</v>
      </c>
      <c r="E137" s="284" t="s">
        <v>544</v>
      </c>
      <c r="F137" s="285" t="s">
        <v>28</v>
      </c>
      <c r="G137" s="284"/>
      <c r="H137" s="284"/>
      <c r="I137" s="286"/>
      <c r="J137" s="286">
        <f t="shared" si="21"/>
        <v>-5.9999999999999995E-4</v>
      </c>
      <c r="K137" s="288"/>
      <c r="L137" s="288"/>
      <c r="M137" s="288"/>
      <c r="N137" s="284" t="s">
        <v>289</v>
      </c>
      <c r="O137" s="284"/>
    </row>
    <row r="138" spans="1:15" ht="16.25" customHeight="1">
      <c r="A138" s="285" t="s">
        <v>233</v>
      </c>
      <c r="B138" s="284" t="s">
        <v>549</v>
      </c>
      <c r="C138" s="284" t="s">
        <v>542</v>
      </c>
      <c r="D138" s="284" t="s">
        <v>550</v>
      </c>
      <c r="E138" s="284" t="s">
        <v>544</v>
      </c>
      <c r="F138" s="285" t="s">
        <v>28</v>
      </c>
      <c r="G138" s="284"/>
      <c r="H138" s="284">
        <v>6</v>
      </c>
      <c r="I138" s="286">
        <f>VLOOKUP(D138,[10]EBOM!$C:$P,14,0)</f>
        <v>5.9999999999999995E-4</v>
      </c>
      <c r="J138" s="287">
        <f t="shared" si="21"/>
        <v>0</v>
      </c>
      <c r="K138" s="288">
        <f t="shared" ref="K138:K141" si="22">I138*1.035</f>
        <v>6.2099999999999992E-4</v>
      </c>
      <c r="L138" s="288">
        <f t="shared" ref="L138:L141" si="23">K138*H138</f>
        <v>3.7259999999999993E-3</v>
      </c>
      <c r="M138" s="289"/>
      <c r="N138" s="284" t="s">
        <v>296</v>
      </c>
      <c r="O138" s="284"/>
    </row>
    <row r="139" spans="1:15" ht="16.25" customHeight="1">
      <c r="A139" s="285" t="s">
        <v>233</v>
      </c>
      <c r="B139" s="284" t="s">
        <v>248</v>
      </c>
      <c r="C139" s="284" t="s">
        <v>551</v>
      </c>
      <c r="D139" s="284" t="s">
        <v>552</v>
      </c>
      <c r="E139" s="284" t="s">
        <v>553</v>
      </c>
      <c r="F139" s="285" t="s">
        <v>28</v>
      </c>
      <c r="G139" s="284">
        <v>5</v>
      </c>
      <c r="H139" s="284">
        <v>5</v>
      </c>
      <c r="I139" s="286">
        <f>VLOOKUP(D139,[10]EBOM!$C:$P,14,0)</f>
        <v>8.2500000000000004E-3</v>
      </c>
      <c r="J139" s="287">
        <f t="shared" si="21"/>
        <v>0</v>
      </c>
      <c r="K139" s="288">
        <f t="shared" si="22"/>
        <v>8.5387499999999995E-3</v>
      </c>
      <c r="L139" s="288">
        <f t="shared" si="23"/>
        <v>4.2693749999999996E-2</v>
      </c>
      <c r="M139" s="289"/>
      <c r="N139" s="284" t="s">
        <v>554</v>
      </c>
      <c r="O139" s="284" t="s">
        <v>555</v>
      </c>
    </row>
    <row r="140" spans="1:15" ht="16.25" customHeight="1">
      <c r="A140" s="285" t="s">
        <v>233</v>
      </c>
      <c r="B140" s="284" t="s">
        <v>248</v>
      </c>
      <c r="C140" s="284" t="s">
        <v>556</v>
      </c>
      <c r="D140" s="284" t="s">
        <v>557</v>
      </c>
      <c r="E140" s="284" t="s">
        <v>558</v>
      </c>
      <c r="F140" s="285" t="s">
        <v>28</v>
      </c>
      <c r="G140" s="284">
        <v>1</v>
      </c>
      <c r="H140" s="284">
        <v>1</v>
      </c>
      <c r="I140" s="286">
        <f>VLOOKUP(D140,[10]EBOM!$C:$P,14,0)</f>
        <v>9.5000000000000001E-2</v>
      </c>
      <c r="J140" s="287">
        <f t="shared" si="21"/>
        <v>0</v>
      </c>
      <c r="K140" s="288">
        <f t="shared" si="22"/>
        <v>9.8324999999999996E-2</v>
      </c>
      <c r="L140" s="288">
        <f t="shared" si="23"/>
        <v>9.8324999999999996E-2</v>
      </c>
      <c r="M140" s="289"/>
      <c r="N140" s="284" t="s">
        <v>264</v>
      </c>
      <c r="O140" s="284" t="s">
        <v>559</v>
      </c>
    </row>
    <row r="141" spans="1:15" ht="16.25" customHeight="1">
      <c r="A141" s="285" t="s">
        <v>233</v>
      </c>
      <c r="B141" s="284" t="s">
        <v>248</v>
      </c>
      <c r="C141" s="284" t="s">
        <v>560</v>
      </c>
      <c r="D141" s="284" t="s">
        <v>561</v>
      </c>
      <c r="E141" s="284" t="s">
        <v>562</v>
      </c>
      <c r="F141" s="285" t="s">
        <v>28</v>
      </c>
      <c r="G141" s="284">
        <v>2</v>
      </c>
      <c r="H141" s="284">
        <v>2</v>
      </c>
      <c r="I141" s="286">
        <f>VLOOKUP(D141,[10]EBOM!$C:$P,14,0)</f>
        <v>0.12</v>
      </c>
      <c r="J141" s="287">
        <f t="shared" si="21"/>
        <v>0</v>
      </c>
      <c r="K141" s="288">
        <f t="shared" si="22"/>
        <v>0.12419999999999999</v>
      </c>
      <c r="L141" s="288">
        <f t="shared" si="23"/>
        <v>0.24839999999999998</v>
      </c>
      <c r="M141" s="289"/>
      <c r="N141" s="284" t="s">
        <v>296</v>
      </c>
      <c r="O141" s="284" t="s">
        <v>563</v>
      </c>
    </row>
    <row r="142" spans="1:15" ht="16.25" customHeight="1">
      <c r="A142" s="285" t="s">
        <v>233</v>
      </c>
      <c r="B142" s="284" t="s">
        <v>248</v>
      </c>
      <c r="C142" s="284" t="s">
        <v>560</v>
      </c>
      <c r="D142" s="284" t="s">
        <v>564</v>
      </c>
      <c r="E142" s="284" t="s">
        <v>562</v>
      </c>
      <c r="F142" s="285" t="s">
        <v>28</v>
      </c>
      <c r="G142" s="284"/>
      <c r="H142" s="284"/>
      <c r="I142" s="286"/>
      <c r="J142" s="286">
        <f t="shared" si="21"/>
        <v>-0.12</v>
      </c>
      <c r="K142" s="288"/>
      <c r="L142" s="288"/>
      <c r="M142" s="288"/>
      <c r="N142" s="284" t="s">
        <v>368</v>
      </c>
      <c r="O142" s="284"/>
    </row>
    <row r="143" spans="1:15" ht="16.25" customHeight="1">
      <c r="A143" s="285" t="s">
        <v>233</v>
      </c>
      <c r="B143" s="284" t="s">
        <v>248</v>
      </c>
      <c r="C143" s="284" t="s">
        <v>560</v>
      </c>
      <c r="D143" s="284" t="s">
        <v>565</v>
      </c>
      <c r="E143" s="284" t="s">
        <v>562</v>
      </c>
      <c r="F143" s="285" t="s">
        <v>28</v>
      </c>
      <c r="G143" s="284"/>
      <c r="H143" s="284"/>
      <c r="I143" s="286"/>
      <c r="J143" s="286">
        <f t="shared" si="21"/>
        <v>-0.12</v>
      </c>
      <c r="K143" s="288"/>
      <c r="L143" s="288"/>
      <c r="M143" s="288"/>
      <c r="N143" s="284" t="s">
        <v>292</v>
      </c>
      <c r="O143" s="284"/>
    </row>
    <row r="144" spans="1:15" ht="16.25" customHeight="1">
      <c r="A144" s="285" t="s">
        <v>233</v>
      </c>
      <c r="B144" s="284" t="s">
        <v>248</v>
      </c>
      <c r="C144" s="284" t="s">
        <v>560</v>
      </c>
      <c r="D144" s="284" t="s">
        <v>566</v>
      </c>
      <c r="E144" s="284" t="s">
        <v>562</v>
      </c>
      <c r="F144" s="285" t="s">
        <v>28</v>
      </c>
      <c r="G144" s="284"/>
      <c r="H144" s="284"/>
      <c r="I144" s="286"/>
      <c r="J144" s="286">
        <f t="shared" si="21"/>
        <v>-0.12</v>
      </c>
      <c r="K144" s="288"/>
      <c r="L144" s="288"/>
      <c r="M144" s="288"/>
      <c r="N144" s="284" t="s">
        <v>567</v>
      </c>
      <c r="O144" s="284"/>
    </row>
    <row r="145" spans="1:15" ht="16.25" customHeight="1">
      <c r="A145" s="285" t="s">
        <v>233</v>
      </c>
      <c r="B145" s="284" t="s">
        <v>248</v>
      </c>
      <c r="C145" s="284" t="s">
        <v>568</v>
      </c>
      <c r="D145" s="284" t="s">
        <v>569</v>
      </c>
      <c r="E145" s="284" t="s">
        <v>570</v>
      </c>
      <c r="F145" s="285" t="s">
        <v>28</v>
      </c>
      <c r="G145" s="284">
        <v>1</v>
      </c>
      <c r="H145" s="284">
        <v>1</v>
      </c>
      <c r="I145" s="286">
        <f>VLOOKUP(D145,[10]EBOM!$C:$P,14,0)</f>
        <v>6.3E-2</v>
      </c>
      <c r="J145" s="287">
        <f t="shared" si="21"/>
        <v>0</v>
      </c>
      <c r="K145" s="288">
        <f t="shared" ref="K145:K148" si="24">I145*1.035</f>
        <v>6.5204999999999999E-2</v>
      </c>
      <c r="L145" s="288">
        <f t="shared" ref="L145:L148" si="25">K145*H145</f>
        <v>6.5204999999999999E-2</v>
      </c>
      <c r="M145" s="289"/>
      <c r="N145" s="284" t="s">
        <v>264</v>
      </c>
      <c r="O145" s="284" t="s">
        <v>571</v>
      </c>
    </row>
    <row r="146" spans="1:15" ht="16.25" customHeight="1">
      <c r="A146" s="285" t="s">
        <v>233</v>
      </c>
      <c r="B146" s="284" t="s">
        <v>248</v>
      </c>
      <c r="C146" s="284" t="s">
        <v>572</v>
      </c>
      <c r="D146" s="284" t="s">
        <v>573</v>
      </c>
      <c r="E146" s="284" t="s">
        <v>574</v>
      </c>
      <c r="F146" s="285" t="s">
        <v>28</v>
      </c>
      <c r="G146" s="284">
        <v>2</v>
      </c>
      <c r="H146" s="284">
        <v>2</v>
      </c>
      <c r="I146" s="286">
        <f>VLOOKUP(D146,[10]EBOM!$C:$P,14,0)</f>
        <v>0.53</v>
      </c>
      <c r="J146" s="287">
        <f t="shared" si="21"/>
        <v>0</v>
      </c>
      <c r="K146" s="288">
        <f t="shared" si="24"/>
        <v>0.54854999999999998</v>
      </c>
      <c r="L146" s="288">
        <f t="shared" si="25"/>
        <v>1.0971</v>
      </c>
      <c r="M146" s="289"/>
      <c r="N146" s="284" t="s">
        <v>264</v>
      </c>
      <c r="O146" s="284" t="s">
        <v>575</v>
      </c>
    </row>
    <row r="147" spans="1:15" ht="16.25" customHeight="1">
      <c r="A147" s="285" t="s">
        <v>233</v>
      </c>
      <c r="B147" s="284" t="s">
        <v>248</v>
      </c>
      <c r="C147" s="284" t="s">
        <v>576</v>
      </c>
      <c r="D147" s="284" t="s">
        <v>577</v>
      </c>
      <c r="E147" s="284" t="s">
        <v>578</v>
      </c>
      <c r="F147" s="285" t="s">
        <v>28</v>
      </c>
      <c r="G147" s="284">
        <v>1</v>
      </c>
      <c r="H147" s="284">
        <v>1</v>
      </c>
      <c r="I147" s="286">
        <f>VLOOKUP(D147,[10]EBOM!$C:$P,14,0)</f>
        <v>0.36</v>
      </c>
      <c r="J147" s="287">
        <f t="shared" si="21"/>
        <v>0</v>
      </c>
      <c r="K147" s="288">
        <f t="shared" si="24"/>
        <v>0.37259999999999993</v>
      </c>
      <c r="L147" s="288">
        <f t="shared" si="25"/>
        <v>0.37259999999999993</v>
      </c>
      <c r="M147" s="289"/>
      <c r="N147" s="284" t="s">
        <v>264</v>
      </c>
      <c r="O147" s="284" t="s">
        <v>579</v>
      </c>
    </row>
    <row r="148" spans="1:15" ht="16.25" customHeight="1">
      <c r="A148" s="285" t="s">
        <v>233</v>
      </c>
      <c r="B148" s="284" t="s">
        <v>580</v>
      </c>
      <c r="C148" s="284" t="s">
        <v>581</v>
      </c>
      <c r="D148" s="284" t="s">
        <v>580</v>
      </c>
      <c r="E148" s="284" t="s">
        <v>582</v>
      </c>
      <c r="F148" s="285" t="s">
        <v>28</v>
      </c>
      <c r="G148" s="284">
        <v>13</v>
      </c>
      <c r="H148" s="284">
        <v>13</v>
      </c>
      <c r="I148" s="286">
        <f>VLOOKUP(D148,[10]EBOM!$C:$P,14,0)</f>
        <v>2.75E-2</v>
      </c>
      <c r="J148" s="287">
        <f t="shared" si="21"/>
        <v>0</v>
      </c>
      <c r="K148" s="288">
        <f t="shared" si="24"/>
        <v>2.8462499999999998E-2</v>
      </c>
      <c r="L148" s="288">
        <f t="shared" si="25"/>
        <v>0.37001249999999997</v>
      </c>
      <c r="M148" s="289"/>
      <c r="N148" s="284" t="s">
        <v>275</v>
      </c>
      <c r="O148" s="284" t="s">
        <v>583</v>
      </c>
    </row>
    <row r="149" spans="1:15" ht="16.25" customHeight="1">
      <c r="A149" s="285" t="s">
        <v>233</v>
      </c>
      <c r="B149" s="284" t="s">
        <v>584</v>
      </c>
      <c r="C149" s="284" t="s">
        <v>581</v>
      </c>
      <c r="D149" s="284" t="s">
        <v>585</v>
      </c>
      <c r="E149" s="284" t="s">
        <v>582</v>
      </c>
      <c r="F149" s="285" t="s">
        <v>28</v>
      </c>
      <c r="G149" s="284"/>
      <c r="H149" s="284"/>
      <c r="I149" s="286">
        <f>VLOOKUP(D149,[10]EBOM!$C:$P,14,0)</f>
        <v>4.6530000000000002E-2</v>
      </c>
      <c r="J149" s="286">
        <f t="shared" si="21"/>
        <v>1.9030000000000002E-2</v>
      </c>
      <c r="K149" s="288"/>
      <c r="L149" s="288"/>
      <c r="M149" s="288"/>
      <c r="N149" s="284" t="s">
        <v>240</v>
      </c>
      <c r="O149" s="284"/>
    </row>
    <row r="150" spans="1:15" ht="16.25" customHeight="1">
      <c r="A150" s="285" t="s">
        <v>233</v>
      </c>
      <c r="B150" s="284" t="s">
        <v>586</v>
      </c>
      <c r="C150" s="284" t="s">
        <v>587</v>
      </c>
      <c r="D150" s="284" t="s">
        <v>586</v>
      </c>
      <c r="E150" s="284" t="s">
        <v>588</v>
      </c>
      <c r="F150" s="285" t="s">
        <v>28</v>
      </c>
      <c r="G150" s="284">
        <v>1</v>
      </c>
      <c r="H150" s="284"/>
      <c r="I150" s="286">
        <f>VLOOKUP(D150,[10]EBOM!$C:$P,14,0)</f>
        <v>7.4999999999999997E-2</v>
      </c>
      <c r="J150" s="286">
        <f t="shared" si="21"/>
        <v>6.9999999999999923E-3</v>
      </c>
      <c r="K150" s="288"/>
      <c r="L150" s="288"/>
      <c r="M150" s="288"/>
      <c r="N150" s="284" t="s">
        <v>589</v>
      </c>
      <c r="O150" s="284" t="s">
        <v>590</v>
      </c>
    </row>
    <row r="151" spans="1:15" ht="16.25" customHeight="1">
      <c r="A151" s="285" t="s">
        <v>233</v>
      </c>
      <c r="B151" s="284" t="s">
        <v>591</v>
      </c>
      <c r="C151" s="284" t="s">
        <v>587</v>
      </c>
      <c r="D151" s="284" t="s">
        <v>591</v>
      </c>
      <c r="E151" s="284" t="s">
        <v>588</v>
      </c>
      <c r="F151" s="285" t="s">
        <v>28</v>
      </c>
      <c r="G151" s="284"/>
      <c r="H151" s="284">
        <v>1</v>
      </c>
      <c r="I151" s="286">
        <f>VLOOKUP(D151,[10]EBOM!$C:$P,14,0)</f>
        <v>6.8000000000000005E-2</v>
      </c>
      <c r="J151" s="287">
        <f t="shared" si="21"/>
        <v>0</v>
      </c>
      <c r="K151" s="288">
        <f>I151*1.035</f>
        <v>7.0379999999999998E-2</v>
      </c>
      <c r="L151" s="288">
        <f>K151*H151</f>
        <v>7.0379999999999998E-2</v>
      </c>
      <c r="M151" s="289"/>
      <c r="N151" s="284" t="s">
        <v>592</v>
      </c>
      <c r="O151" s="284"/>
    </row>
    <row r="152" spans="1:15" ht="16.25" customHeight="1">
      <c r="A152" s="285" t="s">
        <v>233</v>
      </c>
      <c r="B152" s="284" t="s">
        <v>593</v>
      </c>
      <c r="C152" s="284" t="s">
        <v>587</v>
      </c>
      <c r="D152" s="284" t="s">
        <v>593</v>
      </c>
      <c r="E152" s="284" t="s">
        <v>588</v>
      </c>
      <c r="F152" s="285" t="s">
        <v>28</v>
      </c>
      <c r="G152" s="284"/>
      <c r="H152" s="284"/>
      <c r="I152" s="286">
        <f>VLOOKUP(D152,[10]EBOM!$C:$P,14,0)</f>
        <v>0.12</v>
      </c>
      <c r="J152" s="286">
        <f t="shared" si="21"/>
        <v>5.1999999999999991E-2</v>
      </c>
      <c r="K152" s="288"/>
      <c r="L152" s="288"/>
      <c r="M152" s="288"/>
      <c r="N152" s="284" t="s">
        <v>594</v>
      </c>
      <c r="O152" s="284"/>
    </row>
    <row r="153" spans="1:15" ht="16.25" customHeight="1">
      <c r="A153" s="285" t="s">
        <v>233</v>
      </c>
      <c r="B153" s="284" t="s">
        <v>248</v>
      </c>
      <c r="C153" s="284" t="s">
        <v>587</v>
      </c>
      <c r="D153" s="284" t="s">
        <v>595</v>
      </c>
      <c r="E153" s="284" t="s">
        <v>588</v>
      </c>
      <c r="F153" s="285" t="s">
        <v>28</v>
      </c>
      <c r="G153" s="284"/>
      <c r="H153" s="284"/>
      <c r="I153" s="286"/>
      <c r="J153" s="286">
        <f t="shared" si="21"/>
        <v>-6.8000000000000005E-2</v>
      </c>
      <c r="K153" s="288"/>
      <c r="L153" s="288"/>
      <c r="M153" s="288"/>
      <c r="N153" s="284" t="s">
        <v>594</v>
      </c>
      <c r="O153" s="284"/>
    </row>
    <row r="154" spans="1:15" ht="16.25" customHeight="1">
      <c r="A154" s="285"/>
      <c r="B154" s="284"/>
      <c r="C154" s="290" t="s">
        <v>596</v>
      </c>
      <c r="D154" s="291" t="s">
        <v>597</v>
      </c>
      <c r="E154" s="290" t="s">
        <v>598</v>
      </c>
      <c r="F154" s="285" t="s">
        <v>28</v>
      </c>
      <c r="G154" s="284"/>
      <c r="H154" s="284"/>
      <c r="I154" s="286"/>
      <c r="J154" s="286"/>
      <c r="K154" s="288"/>
      <c r="L154" s="288"/>
      <c r="M154" s="295" t="s">
        <v>535</v>
      </c>
      <c r="N154" s="284"/>
      <c r="O154" s="284"/>
    </row>
    <row r="155" spans="1:15" ht="16.25" customHeight="1">
      <c r="A155" s="285" t="s">
        <v>233</v>
      </c>
      <c r="B155" s="284" t="s">
        <v>248</v>
      </c>
      <c r="C155" s="284" t="s">
        <v>596</v>
      </c>
      <c r="D155" s="284" t="s">
        <v>599</v>
      </c>
      <c r="E155" s="284" t="s">
        <v>598</v>
      </c>
      <c r="F155" s="285" t="s">
        <v>28</v>
      </c>
      <c r="G155" s="284">
        <v>1</v>
      </c>
      <c r="H155" s="284"/>
      <c r="I155" s="286"/>
      <c r="J155" s="286">
        <f t="shared" ref="J155:J169" si="26">I155-_xlfn.MINIFS(I:I,C:C,C155)</f>
        <v>-5.9999999999999995E-4</v>
      </c>
      <c r="K155" s="288"/>
      <c r="L155" s="288"/>
      <c r="M155" s="288"/>
      <c r="N155" s="284" t="s">
        <v>292</v>
      </c>
      <c r="O155" s="284" t="s">
        <v>600</v>
      </c>
    </row>
    <row r="156" spans="1:15" ht="16.25" customHeight="1">
      <c r="A156" s="285" t="s">
        <v>233</v>
      </c>
      <c r="B156" s="284" t="s">
        <v>248</v>
      </c>
      <c r="C156" s="284" t="s">
        <v>596</v>
      </c>
      <c r="D156" s="284" t="s">
        <v>601</v>
      </c>
      <c r="E156" s="284" t="s">
        <v>598</v>
      </c>
      <c r="F156" s="285" t="s">
        <v>28</v>
      </c>
      <c r="G156" s="284"/>
      <c r="H156" s="284"/>
      <c r="I156" s="286"/>
      <c r="J156" s="286">
        <f t="shared" si="26"/>
        <v>-5.9999999999999995E-4</v>
      </c>
      <c r="K156" s="288"/>
      <c r="L156" s="288"/>
      <c r="M156" s="288"/>
      <c r="N156" s="284" t="s">
        <v>289</v>
      </c>
      <c r="O156" s="284"/>
    </row>
    <row r="157" spans="1:15" ht="16.25" customHeight="1">
      <c r="A157" s="285" t="s">
        <v>233</v>
      </c>
      <c r="B157" s="284" t="s">
        <v>248</v>
      </c>
      <c r="C157" s="284" t="s">
        <v>596</v>
      </c>
      <c r="D157" s="284" t="s">
        <v>602</v>
      </c>
      <c r="E157" s="284" t="s">
        <v>598</v>
      </c>
      <c r="F157" s="285" t="s">
        <v>28</v>
      </c>
      <c r="G157" s="284"/>
      <c r="H157" s="284"/>
      <c r="I157" s="286">
        <f>VLOOKUP(D157,[10]EBOM!$C:$P,14,0)</f>
        <v>2.66E-3</v>
      </c>
      <c r="J157" s="286">
        <f t="shared" si="26"/>
        <v>2.0600000000000002E-3</v>
      </c>
      <c r="K157" s="288"/>
      <c r="L157" s="288"/>
      <c r="M157" s="288"/>
      <c r="N157" s="284" t="s">
        <v>294</v>
      </c>
      <c r="O157" s="284"/>
    </row>
    <row r="158" spans="1:15" ht="16.25" customHeight="1">
      <c r="A158" s="285" t="s">
        <v>233</v>
      </c>
      <c r="B158" s="284" t="s">
        <v>248</v>
      </c>
      <c r="C158" s="284" t="s">
        <v>596</v>
      </c>
      <c r="D158" s="284" t="s">
        <v>603</v>
      </c>
      <c r="E158" s="284" t="s">
        <v>598</v>
      </c>
      <c r="F158" s="285" t="s">
        <v>28</v>
      </c>
      <c r="G158" s="284"/>
      <c r="H158" s="284">
        <v>1</v>
      </c>
      <c r="I158" s="286">
        <f>VLOOKUP(D158,[10]EBOM!$C:$P,14,0)</f>
        <v>5.9999999999999995E-4</v>
      </c>
      <c r="J158" s="287">
        <f t="shared" si="26"/>
        <v>0</v>
      </c>
      <c r="K158" s="288">
        <f>I158*1.035</f>
        <v>6.2099999999999992E-4</v>
      </c>
      <c r="L158" s="288">
        <f>K158*H158</f>
        <v>6.2099999999999992E-4</v>
      </c>
      <c r="M158" s="289"/>
      <c r="N158" s="284" t="s">
        <v>296</v>
      </c>
      <c r="O158" s="284"/>
    </row>
    <row r="159" spans="1:15" ht="16.25" customHeight="1">
      <c r="A159" s="285" t="s">
        <v>233</v>
      </c>
      <c r="B159" s="284" t="s">
        <v>604</v>
      </c>
      <c r="C159" s="284" t="s">
        <v>605</v>
      </c>
      <c r="D159" s="284" t="s">
        <v>606</v>
      </c>
      <c r="E159" s="284" t="s">
        <v>607</v>
      </c>
      <c r="F159" s="285" t="s">
        <v>28</v>
      </c>
      <c r="G159" s="284">
        <v>2</v>
      </c>
      <c r="H159" s="284"/>
      <c r="I159" s="286">
        <f>VLOOKUP(D159,[10]EBOM!$C:$P,14,0)</f>
        <v>5.3699999999999998E-3</v>
      </c>
      <c r="J159" s="286">
        <f t="shared" si="26"/>
        <v>3.3699999999999997E-3</v>
      </c>
      <c r="K159" s="288"/>
      <c r="L159" s="288"/>
      <c r="M159" s="288"/>
      <c r="N159" s="284" t="s">
        <v>240</v>
      </c>
      <c r="O159" s="284" t="s">
        <v>608</v>
      </c>
    </row>
    <row r="160" spans="1:15" ht="16.25" customHeight="1">
      <c r="A160" s="285" t="s">
        <v>233</v>
      </c>
      <c r="B160" s="284" t="s">
        <v>248</v>
      </c>
      <c r="C160" s="284" t="s">
        <v>605</v>
      </c>
      <c r="D160" s="284" t="s">
        <v>609</v>
      </c>
      <c r="E160" s="284" t="s">
        <v>607</v>
      </c>
      <c r="F160" s="285" t="s">
        <v>28</v>
      </c>
      <c r="G160" s="284"/>
      <c r="H160" s="284"/>
      <c r="I160" s="286"/>
      <c r="J160" s="286">
        <f t="shared" si="26"/>
        <v>-2E-3</v>
      </c>
      <c r="K160" s="288"/>
      <c r="L160" s="288"/>
      <c r="M160" s="288"/>
      <c r="N160" s="284" t="s">
        <v>257</v>
      </c>
      <c r="O160" s="284"/>
    </row>
    <row r="161" spans="1:15" ht="16.25" customHeight="1">
      <c r="A161" s="285" t="s">
        <v>233</v>
      </c>
      <c r="B161" s="284" t="s">
        <v>248</v>
      </c>
      <c r="C161" s="284" t="s">
        <v>605</v>
      </c>
      <c r="D161" s="284" t="s">
        <v>610</v>
      </c>
      <c r="E161" s="284" t="s">
        <v>607</v>
      </c>
      <c r="F161" s="285" t="s">
        <v>28</v>
      </c>
      <c r="G161" s="284"/>
      <c r="H161" s="284">
        <v>2</v>
      </c>
      <c r="I161" s="286">
        <f>VLOOKUP(D161,[10]EBOM!$C:$P,14,0)</f>
        <v>2E-3</v>
      </c>
      <c r="J161" s="287">
        <f t="shared" si="26"/>
        <v>0</v>
      </c>
      <c r="K161" s="288">
        <f>I161*1.035</f>
        <v>2.0699999999999998E-3</v>
      </c>
      <c r="L161" s="288">
        <f>K161*H161</f>
        <v>4.1399999999999996E-3</v>
      </c>
      <c r="M161" s="289"/>
      <c r="N161" s="284" t="s">
        <v>237</v>
      </c>
      <c r="O161" s="284"/>
    </row>
    <row r="162" spans="1:15" ht="16.25" customHeight="1">
      <c r="A162" s="285" t="s">
        <v>233</v>
      </c>
      <c r="B162" s="284" t="s">
        <v>248</v>
      </c>
      <c r="C162" s="284" t="s">
        <v>605</v>
      </c>
      <c r="D162" s="284" t="s">
        <v>611</v>
      </c>
      <c r="E162" s="284" t="s">
        <v>607</v>
      </c>
      <c r="F162" s="285" t="s">
        <v>28</v>
      </c>
      <c r="G162" s="284"/>
      <c r="H162" s="284"/>
      <c r="I162" s="286"/>
      <c r="J162" s="286">
        <f t="shared" si="26"/>
        <v>-2E-3</v>
      </c>
      <c r="K162" s="288"/>
      <c r="L162" s="288"/>
      <c r="M162" s="288"/>
      <c r="N162" s="284" t="s">
        <v>237</v>
      </c>
      <c r="O162" s="284"/>
    </row>
    <row r="163" spans="1:15" ht="16.25" customHeight="1">
      <c r="A163" s="285" t="s">
        <v>233</v>
      </c>
      <c r="B163" s="284" t="s">
        <v>612</v>
      </c>
      <c r="C163" s="284" t="s">
        <v>613</v>
      </c>
      <c r="D163" s="284" t="s">
        <v>612</v>
      </c>
      <c r="E163" s="284" t="s">
        <v>614</v>
      </c>
      <c r="F163" s="285" t="s">
        <v>28</v>
      </c>
      <c r="G163" s="284">
        <v>1</v>
      </c>
      <c r="H163" s="284">
        <v>1</v>
      </c>
      <c r="I163" s="286">
        <f>VLOOKUP(D163,[10]EBOM!$C:$P,14,0)</f>
        <v>1.71</v>
      </c>
      <c r="J163" s="287">
        <f t="shared" si="26"/>
        <v>0</v>
      </c>
      <c r="K163" s="288">
        <f t="shared" ref="K163:K164" si="27">I163*1.035</f>
        <v>1.7698499999999999</v>
      </c>
      <c r="L163" s="288">
        <f t="shared" ref="L163:L164" si="28">K163*H163</f>
        <v>1.7698499999999999</v>
      </c>
      <c r="M163" s="289"/>
      <c r="N163" s="284" t="s">
        <v>615</v>
      </c>
      <c r="O163" s="284" t="s">
        <v>616</v>
      </c>
    </row>
    <row r="164" spans="1:15" ht="16.25" customHeight="1">
      <c r="A164" s="285" t="s">
        <v>233</v>
      </c>
      <c r="B164" s="284" t="s">
        <v>248</v>
      </c>
      <c r="C164" s="284" t="s">
        <v>617</v>
      </c>
      <c r="D164" s="284" t="s">
        <v>618</v>
      </c>
      <c r="E164" s="284" t="s">
        <v>619</v>
      </c>
      <c r="F164" s="285" t="s">
        <v>28</v>
      </c>
      <c r="G164" s="284">
        <v>1</v>
      </c>
      <c r="H164" s="284">
        <v>1</v>
      </c>
      <c r="I164" s="286">
        <f>VLOOKUP(D164,[10]EBOM!$C:$P,14,0)</f>
        <v>0.129</v>
      </c>
      <c r="J164" s="287">
        <f t="shared" si="26"/>
        <v>0</v>
      </c>
      <c r="K164" s="288">
        <f t="shared" si="27"/>
        <v>0.13351499999999999</v>
      </c>
      <c r="L164" s="288">
        <f t="shared" si="28"/>
        <v>0.13351499999999999</v>
      </c>
      <c r="M164" s="289"/>
      <c r="N164" s="284" t="s">
        <v>264</v>
      </c>
      <c r="O164" s="284" t="s">
        <v>620</v>
      </c>
    </row>
    <row r="165" spans="1:15" ht="16.25" customHeight="1">
      <c r="A165" s="285" t="s">
        <v>233</v>
      </c>
      <c r="B165" s="284" t="s">
        <v>621</v>
      </c>
      <c r="C165" s="284" t="s">
        <v>622</v>
      </c>
      <c r="D165" s="284" t="s">
        <v>623</v>
      </c>
      <c r="E165" s="284" t="s">
        <v>624</v>
      </c>
      <c r="F165" s="285" t="s">
        <v>28</v>
      </c>
      <c r="G165" s="284">
        <v>2</v>
      </c>
      <c r="H165" s="284"/>
      <c r="I165" s="286">
        <f>VLOOKUP(D165,[10]EBOM!$C:$P,14,0)</f>
        <v>9.1E-4</v>
      </c>
      <c r="J165" s="286">
        <f t="shared" si="26"/>
        <v>5.6999999999999998E-4</v>
      </c>
      <c r="K165" s="288"/>
      <c r="L165" s="288"/>
      <c r="M165" s="288"/>
      <c r="N165" s="284" t="s">
        <v>292</v>
      </c>
      <c r="O165" s="284" t="s">
        <v>625</v>
      </c>
    </row>
    <row r="166" spans="1:15" ht="16.25" customHeight="1">
      <c r="A166" s="285" t="s">
        <v>233</v>
      </c>
      <c r="B166" s="284" t="s">
        <v>626</v>
      </c>
      <c r="C166" s="284" t="s">
        <v>622</v>
      </c>
      <c r="D166" s="284" t="s">
        <v>627</v>
      </c>
      <c r="E166" s="284" t="s">
        <v>624</v>
      </c>
      <c r="F166" s="285" t="s">
        <v>28</v>
      </c>
      <c r="G166" s="284"/>
      <c r="H166" s="284"/>
      <c r="I166" s="286">
        <f>VLOOKUP(D166,[10]EBOM!$C:$P,14,0)</f>
        <v>1.1100000000000001E-3</v>
      </c>
      <c r="J166" s="286">
        <f t="shared" si="26"/>
        <v>7.7000000000000007E-4</v>
      </c>
      <c r="K166" s="288"/>
      <c r="L166" s="288"/>
      <c r="M166" s="288"/>
      <c r="N166" s="284" t="s">
        <v>294</v>
      </c>
      <c r="O166" s="284"/>
    </row>
    <row r="167" spans="1:15" ht="16.25" customHeight="1">
      <c r="A167" s="285" t="s">
        <v>233</v>
      </c>
      <c r="B167" s="284" t="s">
        <v>628</v>
      </c>
      <c r="C167" s="284" t="s">
        <v>622</v>
      </c>
      <c r="D167" s="284" t="s">
        <v>629</v>
      </c>
      <c r="E167" s="284" t="s">
        <v>624</v>
      </c>
      <c r="F167" s="285" t="s">
        <v>28</v>
      </c>
      <c r="G167" s="284"/>
      <c r="H167" s="284"/>
      <c r="I167" s="286">
        <f>VLOOKUP(D167,[10]EBOM!$C:$P,14,0)</f>
        <v>2.33E-3</v>
      </c>
      <c r="J167" s="286">
        <f t="shared" si="26"/>
        <v>1.99E-3</v>
      </c>
      <c r="K167" s="288"/>
      <c r="L167" s="288"/>
      <c r="M167" s="288"/>
      <c r="N167" s="284" t="s">
        <v>289</v>
      </c>
      <c r="O167" s="284"/>
    </row>
    <row r="168" spans="1:15" ht="16.25" customHeight="1">
      <c r="A168" s="285" t="s">
        <v>233</v>
      </c>
      <c r="B168" s="284" t="s">
        <v>630</v>
      </c>
      <c r="C168" s="284" t="s">
        <v>622</v>
      </c>
      <c r="D168" s="284" t="s">
        <v>631</v>
      </c>
      <c r="E168" s="284" t="s">
        <v>624</v>
      </c>
      <c r="F168" s="285" t="s">
        <v>28</v>
      </c>
      <c r="G168" s="284"/>
      <c r="H168" s="284"/>
      <c r="I168" s="286">
        <f>VLOOKUP(D168,[10]EBOM!$C:$P,14,0)</f>
        <v>5.0000000000000001E-4</v>
      </c>
      <c r="J168" s="286">
        <f t="shared" si="26"/>
        <v>1.5999999999999999E-4</v>
      </c>
      <c r="K168" s="288"/>
      <c r="L168" s="288"/>
      <c r="M168" s="288"/>
      <c r="N168" s="284" t="s">
        <v>368</v>
      </c>
      <c r="O168" s="284"/>
    </row>
    <row r="169" spans="1:15" ht="16.25" customHeight="1">
      <c r="A169" s="285" t="s">
        <v>233</v>
      </c>
      <c r="B169" s="284" t="s">
        <v>632</v>
      </c>
      <c r="C169" s="284" t="s">
        <v>622</v>
      </c>
      <c r="D169" s="284" t="s">
        <v>633</v>
      </c>
      <c r="E169" s="284" t="s">
        <v>624</v>
      </c>
      <c r="F169" s="285" t="s">
        <v>28</v>
      </c>
      <c r="G169" s="284"/>
      <c r="H169" s="284">
        <v>2</v>
      </c>
      <c r="I169" s="286">
        <f>VLOOKUP(D169,[10]EBOM!$C:$P,14,0)</f>
        <v>3.4000000000000002E-4</v>
      </c>
      <c r="J169" s="287">
        <f t="shared" si="26"/>
        <v>0</v>
      </c>
      <c r="K169" s="288">
        <f>I169*1.035</f>
        <v>3.5189999999999999E-4</v>
      </c>
      <c r="L169" s="288">
        <f>K169*H169</f>
        <v>7.0379999999999998E-4</v>
      </c>
      <c r="M169" s="289"/>
      <c r="N169" s="284" t="s">
        <v>296</v>
      </c>
      <c r="O169" s="284"/>
    </row>
    <row r="170" spans="1:15" ht="14.25" customHeight="1">
      <c r="D170" s="283"/>
      <c r="L170" s="283">
        <f>SUBTOTAL(9,L3:L169)</f>
        <v>11.761481249999997</v>
      </c>
    </row>
  </sheetData>
  <autoFilter ref="A2:AB169" xr:uid="{00000000-0001-0000-0000-000000000000}"/>
  <phoneticPr fontId="3" type="noConversion"/>
  <conditionalFormatting sqref="D21">
    <cfRule type="duplicateValues" dxfId="62" priority="10"/>
  </conditionalFormatting>
  <conditionalFormatting sqref="D26">
    <cfRule type="duplicateValues" dxfId="61" priority="9"/>
  </conditionalFormatting>
  <conditionalFormatting sqref="D75">
    <cfRule type="duplicateValues" dxfId="60" priority="8"/>
  </conditionalFormatting>
  <conditionalFormatting sqref="D87">
    <cfRule type="duplicateValues" dxfId="59" priority="7"/>
  </conditionalFormatting>
  <conditionalFormatting sqref="D92">
    <cfRule type="duplicateValues" dxfId="58" priority="6"/>
  </conditionalFormatting>
  <conditionalFormatting sqref="D97">
    <cfRule type="duplicateValues" dxfId="57" priority="5"/>
  </conditionalFormatting>
  <conditionalFormatting sqref="D102">
    <cfRule type="duplicateValues" dxfId="56" priority="4"/>
  </conditionalFormatting>
  <conditionalFormatting sqref="D130">
    <cfRule type="duplicateValues" dxfId="55" priority="3"/>
  </conditionalFormatting>
  <conditionalFormatting sqref="D134">
    <cfRule type="duplicateValues" dxfId="54" priority="2"/>
  </conditionalFormatting>
  <conditionalFormatting sqref="D154">
    <cfRule type="duplicateValues" dxfId="53" priority="1"/>
  </conditionalFormatting>
  <conditionalFormatting sqref="D155:D1048576 D131:D133 D76:D86 D1:D20 D22:D25 D27:D74 D88:D91 D93:D96 D98:D101 D103:D129 D135:D153">
    <cfRule type="duplicateValues" dxfId="52" priority="12"/>
  </conditionalFormatting>
  <conditionalFormatting sqref="D155:D1048576 D131:D133 D76:D86 D2:D20 D22:D25 D27:D74 D88:D91 D93:D96 D98:D101 D103:D129 D135:D153">
    <cfRule type="duplicateValues" dxfId="51" priority="11"/>
  </conditionalFormatting>
  <dataValidations count="1">
    <dataValidation type="list" allowBlank="1" showInputMessage="1" showErrorMessage="1" sqref="F3:F169" xr:uid="{C70F454C-59F2-4992-A2F8-530AAEED0C53}">
      <formula1>"G,KG,M,ML,MM,PCS,PLT,RL,SET,T"</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BC56-278C-4495-9CD1-C676A47854E4}">
  <dimension ref="A1:BB537"/>
  <sheetViews>
    <sheetView topLeftCell="B228" zoomScale="75" zoomScaleNormal="90" workbookViewId="0">
      <selection activeCell="O257" sqref="O257"/>
    </sheetView>
  </sheetViews>
  <sheetFormatPr defaultColWidth="9.81640625" defaultRowHeight="11.5"/>
  <cols>
    <col min="1" max="1" width="12.36328125" style="642" bestFit="1" customWidth="1"/>
    <col min="2" max="2" width="23.54296875" style="642" customWidth="1"/>
    <col min="3" max="3" width="18.08984375" style="642" customWidth="1"/>
    <col min="4" max="4" width="21.54296875" style="642" customWidth="1"/>
    <col min="5" max="5" width="21.36328125" style="642" hidden="1" customWidth="1"/>
    <col min="6" max="6" width="24.54296875" style="642" hidden="1" customWidth="1"/>
    <col min="7" max="7" width="39.26953125" style="642" customWidth="1"/>
    <col min="8" max="8" width="15.26953125" style="642" hidden="1" customWidth="1"/>
    <col min="9" max="9" width="20" style="642" hidden="1" customWidth="1"/>
    <col min="10" max="10" width="35.1796875" style="642" hidden="1" customWidth="1"/>
    <col min="11" max="11" width="9.08984375" style="642" customWidth="1"/>
    <col min="12" max="12" width="6.08984375" style="642" hidden="1" customWidth="1"/>
    <col min="13" max="13" width="12.26953125" style="642" customWidth="1"/>
    <col min="14" max="14" width="23.26953125" style="642" customWidth="1"/>
    <col min="15" max="15" width="21.36328125" style="698" customWidth="1"/>
    <col min="16" max="17" width="12.453125" style="698" hidden="1" customWidth="1"/>
    <col min="18" max="18" width="12.453125" style="698" customWidth="1"/>
    <col min="19" max="19" width="12.453125" style="698" hidden="1" customWidth="1"/>
    <col min="20" max="20" width="12.1796875" style="698" customWidth="1"/>
    <col min="21" max="21" width="13.6328125" style="642" hidden="1" customWidth="1"/>
    <col min="22" max="22" width="6.6328125" style="644" hidden="1" customWidth="1"/>
    <col min="23" max="23" width="8.08984375" style="645" hidden="1" customWidth="1"/>
    <col min="24" max="24" width="31.7265625" style="642" hidden="1" customWidth="1"/>
    <col min="25" max="25" width="11.54296875" style="642" customWidth="1"/>
    <col min="26" max="26" width="8.6328125" style="642" customWidth="1"/>
    <col min="27" max="27" width="14.36328125" style="753" customWidth="1"/>
    <col min="28" max="28" width="24.54296875" style="753" customWidth="1"/>
    <col min="29" max="54" width="9.81640625" style="753"/>
    <col min="55" max="16384" width="9.81640625" style="642"/>
  </cols>
  <sheetData>
    <row r="1" spans="1:54" ht="35.65" customHeight="1">
      <c r="A1" s="790"/>
      <c r="B1" s="790"/>
      <c r="C1" s="790" t="s">
        <v>1572</v>
      </c>
      <c r="D1" s="790" t="s">
        <v>1573</v>
      </c>
      <c r="E1" s="790"/>
      <c r="F1" s="790"/>
      <c r="G1" s="790"/>
      <c r="H1" s="790"/>
      <c r="I1" s="790"/>
      <c r="J1" s="790"/>
      <c r="K1" s="790"/>
      <c r="L1" s="790"/>
      <c r="M1" s="790"/>
      <c r="N1" s="1011" t="s">
        <v>1571</v>
      </c>
      <c r="O1" s="800"/>
      <c r="P1" s="800"/>
      <c r="Q1" s="800"/>
      <c r="R1" s="800"/>
      <c r="S1" s="800"/>
      <c r="T1" s="800"/>
      <c r="U1" s="800"/>
      <c r="V1" s="798"/>
      <c r="W1" s="799"/>
      <c r="X1" s="790"/>
      <c r="Y1" s="790"/>
      <c r="Z1" s="790"/>
    </row>
    <row r="2" spans="1:54" s="808" customFormat="1" ht="42.5" customHeight="1">
      <c r="A2" s="804" t="s">
        <v>218</v>
      </c>
      <c r="B2" s="804" t="s">
        <v>219</v>
      </c>
      <c r="C2" s="804" t="s">
        <v>220</v>
      </c>
      <c r="D2" s="804" t="s">
        <v>1062</v>
      </c>
      <c r="E2" s="804" t="s">
        <v>1063</v>
      </c>
      <c r="F2" s="804" t="s">
        <v>1064</v>
      </c>
      <c r="G2" s="804" t="s">
        <v>222</v>
      </c>
      <c r="H2" s="804" t="s">
        <v>1066</v>
      </c>
      <c r="I2" s="804" t="s">
        <v>1067</v>
      </c>
      <c r="J2" s="804"/>
      <c r="K2" s="804" t="s">
        <v>223</v>
      </c>
      <c r="L2" s="804" t="s">
        <v>224</v>
      </c>
      <c r="M2" s="805" t="s">
        <v>1489</v>
      </c>
      <c r="N2" s="804" t="s">
        <v>1435</v>
      </c>
      <c r="O2" s="806" t="s">
        <v>1436</v>
      </c>
      <c r="P2" s="806"/>
      <c r="Q2" s="806"/>
      <c r="R2" s="806" t="s">
        <v>1437</v>
      </c>
      <c r="S2" s="806"/>
      <c r="T2" s="806" t="s">
        <v>1438</v>
      </c>
      <c r="U2" s="804" t="s">
        <v>1068</v>
      </c>
      <c r="V2" s="806" t="s">
        <v>1069</v>
      </c>
      <c r="W2" s="804" t="s">
        <v>1070</v>
      </c>
      <c r="X2" s="804" t="s">
        <v>1439</v>
      </c>
      <c r="Y2" s="804" t="s">
        <v>1440</v>
      </c>
      <c r="Z2" s="807" t="s">
        <v>1441</v>
      </c>
      <c r="AA2" s="807" t="s">
        <v>1529</v>
      </c>
      <c r="AB2" s="807"/>
      <c r="AC2" s="807"/>
      <c r="AD2" s="807"/>
      <c r="AE2" s="807"/>
      <c r="AF2" s="807"/>
      <c r="AG2" s="807"/>
      <c r="AH2" s="807"/>
      <c r="AI2" s="807"/>
      <c r="AJ2" s="807"/>
      <c r="AK2" s="807"/>
      <c r="AL2" s="807"/>
      <c r="AM2" s="807"/>
      <c r="AN2" s="807"/>
      <c r="AO2" s="807"/>
      <c r="AP2" s="807"/>
      <c r="AQ2" s="807"/>
      <c r="AR2" s="807"/>
      <c r="AS2" s="807"/>
      <c r="AT2" s="807"/>
      <c r="AU2" s="807"/>
      <c r="AV2" s="807"/>
      <c r="AW2" s="807"/>
      <c r="AX2" s="807"/>
      <c r="AY2" s="807"/>
      <c r="AZ2" s="807"/>
      <c r="BA2" s="807"/>
      <c r="BB2" s="807"/>
    </row>
    <row r="3" spans="1:54" ht="57.5">
      <c r="A3" s="775">
        <v>2</v>
      </c>
      <c r="B3" s="774" t="s">
        <v>344</v>
      </c>
      <c r="C3" s="774" t="s">
        <v>338</v>
      </c>
      <c r="D3" s="774" t="s">
        <v>345</v>
      </c>
      <c r="E3" s="774" t="s">
        <v>345</v>
      </c>
      <c r="F3" s="774" t="s">
        <v>345</v>
      </c>
      <c r="G3" s="774" t="s">
        <v>340</v>
      </c>
      <c r="H3" s="775" t="s">
        <v>1073</v>
      </c>
      <c r="I3" s="776" t="s">
        <v>1074</v>
      </c>
      <c r="J3" s="776" t="str">
        <f>VLOOKUP(D3,[5]Sheet1!$D$1:$D$65536,1,0)</f>
        <v>AC0603KRX7R0BB103</v>
      </c>
      <c r="K3" s="775" t="s">
        <v>28</v>
      </c>
      <c r="L3" s="775">
        <v>7</v>
      </c>
      <c r="M3" s="775"/>
      <c r="N3" s="774" t="s">
        <v>1075</v>
      </c>
      <c r="O3" s="774">
        <v>2.4910000000000002E-3</v>
      </c>
      <c r="P3" s="774"/>
      <c r="Q3" s="774"/>
      <c r="R3" s="774">
        <f>O3*1.035</f>
        <v>2.5781849999999998E-3</v>
      </c>
      <c r="S3" s="774">
        <f t="shared" ref="S3:S66" si="0">R3-_xlfn.MINIFS(R:R,C:C,C3)</f>
        <v>7.3588499999999992E-4</v>
      </c>
      <c r="T3" s="774"/>
      <c r="U3" s="774" t="s">
        <v>1442</v>
      </c>
      <c r="V3" s="774">
        <v>10000</v>
      </c>
      <c r="W3" s="774">
        <v>10</v>
      </c>
      <c r="X3" s="777"/>
      <c r="Y3" s="777"/>
      <c r="Z3" s="801" t="s">
        <v>1077</v>
      </c>
    </row>
    <row r="4" spans="1:54" s="658" customFormat="1">
      <c r="A4" s="775">
        <v>2</v>
      </c>
      <c r="B4" s="774" t="s">
        <v>337</v>
      </c>
      <c r="C4" s="774" t="s">
        <v>338</v>
      </c>
      <c r="D4" s="774" t="s">
        <v>339</v>
      </c>
      <c r="E4" s="774" t="s">
        <v>339</v>
      </c>
      <c r="F4" s="774" t="s">
        <v>339</v>
      </c>
      <c r="G4" s="774" t="s">
        <v>340</v>
      </c>
      <c r="H4" s="775" t="s">
        <v>1073</v>
      </c>
      <c r="I4" s="776" t="s">
        <v>1074</v>
      </c>
      <c r="J4" s="776" t="str">
        <f>VLOOKUP(D4,[5]Sheet1!$D$1:$D$65536,1,0)</f>
        <v>CL10B103KC8WPNC</v>
      </c>
      <c r="K4" s="775" t="s">
        <v>28</v>
      </c>
      <c r="L4" s="775"/>
      <c r="M4" s="775">
        <v>7</v>
      </c>
      <c r="N4" s="774" t="s">
        <v>260</v>
      </c>
      <c r="O4" s="774">
        <v>1.7799999999999999E-3</v>
      </c>
      <c r="P4" s="774"/>
      <c r="Q4" s="774"/>
      <c r="R4" s="774">
        <f t="shared" ref="R4:R67" si="1">O4*1.035</f>
        <v>1.8422999999999998E-3</v>
      </c>
      <c r="S4" s="774">
        <f t="shared" si="0"/>
        <v>0</v>
      </c>
      <c r="T4" s="774">
        <f>R4*M4</f>
        <v>1.2896099999999999E-2</v>
      </c>
      <c r="U4" s="774" t="s">
        <v>1443</v>
      </c>
      <c r="V4" s="774">
        <v>4000</v>
      </c>
      <c r="W4" s="774">
        <v>20</v>
      </c>
      <c r="X4" s="777" t="s">
        <v>1444</v>
      </c>
      <c r="Y4" s="777" t="s">
        <v>1444</v>
      </c>
      <c r="Z4" s="801"/>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row>
    <row r="5" spans="1:54">
      <c r="A5" s="775">
        <v>2</v>
      </c>
      <c r="B5" s="774" t="s">
        <v>348</v>
      </c>
      <c r="C5" s="774" t="s">
        <v>338</v>
      </c>
      <c r="D5" s="774" t="s">
        <v>349</v>
      </c>
      <c r="E5" s="774" t="s">
        <v>349</v>
      </c>
      <c r="F5" s="774" t="s">
        <v>349</v>
      </c>
      <c r="G5" s="774" t="s">
        <v>340</v>
      </c>
      <c r="H5" s="775" t="s">
        <v>1073</v>
      </c>
      <c r="I5" s="776" t="s">
        <v>1074</v>
      </c>
      <c r="J5" s="776" t="str">
        <f>VLOOKUP(D5,[5]Sheet1!$D$1:$D$65536,1,0)</f>
        <v>GCM188R72A103KA37D</v>
      </c>
      <c r="K5" s="775" t="s">
        <v>28</v>
      </c>
      <c r="L5" s="775"/>
      <c r="M5" s="775"/>
      <c r="N5" s="774" t="s">
        <v>237</v>
      </c>
      <c r="O5" s="774">
        <v>2.7000000000000001E-3</v>
      </c>
      <c r="P5" s="774"/>
      <c r="Q5" s="774"/>
      <c r="R5" s="774">
        <f t="shared" si="1"/>
        <v>2.7945000000000001E-3</v>
      </c>
      <c r="S5" s="774">
        <f t="shared" si="0"/>
        <v>9.5220000000000027E-4</v>
      </c>
      <c r="T5" s="774"/>
      <c r="U5" s="774" t="s">
        <v>237</v>
      </c>
      <c r="V5" s="774">
        <v>10000</v>
      </c>
      <c r="W5" s="774">
        <v>12</v>
      </c>
      <c r="X5" s="777"/>
      <c r="Y5" s="777"/>
      <c r="Z5" s="801"/>
    </row>
    <row r="6" spans="1:54">
      <c r="A6" s="775">
        <v>2</v>
      </c>
      <c r="B6" s="774" t="s">
        <v>342</v>
      </c>
      <c r="C6" s="774" t="s">
        <v>338</v>
      </c>
      <c r="D6" s="774" t="s">
        <v>343</v>
      </c>
      <c r="E6" s="774" t="s">
        <v>343</v>
      </c>
      <c r="F6" s="774" t="s">
        <v>343</v>
      </c>
      <c r="G6" s="774" t="s">
        <v>340</v>
      </c>
      <c r="H6" s="775" t="s">
        <v>1073</v>
      </c>
      <c r="I6" s="776" t="s">
        <v>1074</v>
      </c>
      <c r="J6" s="776" t="str">
        <f>VLOOKUP(D6,[5]Sheet1!$D$1:$D$65536,1,0)</f>
        <v>HMK107B7103KAHT</v>
      </c>
      <c r="K6" s="775" t="s">
        <v>28</v>
      </c>
      <c r="L6" s="775"/>
      <c r="M6" s="775"/>
      <c r="N6" s="774" t="s">
        <v>257</v>
      </c>
      <c r="O6" s="774">
        <v>2.3400000000000001E-3</v>
      </c>
      <c r="P6" s="774"/>
      <c r="Q6" s="774"/>
      <c r="R6" s="774">
        <f t="shared" si="1"/>
        <v>2.4218999999999998E-3</v>
      </c>
      <c r="S6" s="774">
        <f t="shared" si="0"/>
        <v>5.7959999999999999E-4</v>
      </c>
      <c r="T6" s="774"/>
      <c r="U6" s="774" t="s">
        <v>1079</v>
      </c>
      <c r="V6" s="774"/>
      <c r="W6" s="774"/>
      <c r="X6" s="777"/>
      <c r="Y6" s="777"/>
      <c r="Z6" s="801"/>
    </row>
    <row r="7" spans="1:54">
      <c r="A7" s="775">
        <v>2</v>
      </c>
      <c r="B7" s="774" t="s">
        <v>350</v>
      </c>
      <c r="C7" s="774" t="s">
        <v>338</v>
      </c>
      <c r="D7" s="774" t="s">
        <v>350</v>
      </c>
      <c r="E7" s="774" t="s">
        <v>350</v>
      </c>
      <c r="F7" s="774" t="s">
        <v>350</v>
      </c>
      <c r="G7" s="774" t="s">
        <v>340</v>
      </c>
      <c r="H7" s="775" t="s">
        <v>1073</v>
      </c>
      <c r="I7" s="776" t="s">
        <v>1074</v>
      </c>
      <c r="J7" s="776" t="str">
        <f>VLOOKUP(D7,[5]Sheet1!$D$1:$D$65536,1,0)</f>
        <v>MCASH168SB7103KTNA01</v>
      </c>
      <c r="K7" s="775" t="s">
        <v>28</v>
      </c>
      <c r="L7" s="775"/>
      <c r="M7" s="775"/>
      <c r="N7" s="774" t="s">
        <v>257</v>
      </c>
      <c r="O7" s="774">
        <v>2.3800000000000002E-3</v>
      </c>
      <c r="P7" s="774"/>
      <c r="Q7" s="774"/>
      <c r="R7" s="774">
        <f t="shared" si="1"/>
        <v>2.4632999999999999E-3</v>
      </c>
      <c r="S7" s="774">
        <f t="shared" si="0"/>
        <v>6.2100000000000002E-4</v>
      </c>
      <c r="T7" s="774"/>
      <c r="U7" s="774" t="s">
        <v>1080</v>
      </c>
      <c r="V7" s="774"/>
      <c r="W7" s="774"/>
      <c r="X7" s="777"/>
      <c r="Y7" s="777"/>
      <c r="Z7" s="801"/>
    </row>
    <row r="8" spans="1:54">
      <c r="A8" s="775">
        <v>2</v>
      </c>
      <c r="B8" s="774" t="s">
        <v>351</v>
      </c>
      <c r="C8" s="774" t="s">
        <v>338</v>
      </c>
      <c r="D8" s="774" t="s">
        <v>351</v>
      </c>
      <c r="E8" s="774" t="s">
        <v>351</v>
      </c>
      <c r="F8" s="774" t="s">
        <v>351</v>
      </c>
      <c r="G8" s="774" t="s">
        <v>340</v>
      </c>
      <c r="H8" s="775" t="s">
        <v>1073</v>
      </c>
      <c r="I8" s="776" t="s">
        <v>1074</v>
      </c>
      <c r="J8" s="776" t="str">
        <f>VLOOKUP(D8,[5]Sheet1!$D$1:$D$65536,1,0)</f>
        <v>MAASH168SB7103KTCA01</v>
      </c>
      <c r="K8" s="775" t="s">
        <v>28</v>
      </c>
      <c r="L8" s="775"/>
      <c r="M8" s="775"/>
      <c r="N8" s="774" t="s">
        <v>257</v>
      </c>
      <c r="O8" s="774">
        <v>2.3800000000000002E-3</v>
      </c>
      <c r="P8" s="774"/>
      <c r="Q8" s="774"/>
      <c r="R8" s="774">
        <f t="shared" si="1"/>
        <v>2.4632999999999999E-3</v>
      </c>
      <c r="S8" s="774">
        <f t="shared" si="0"/>
        <v>6.2100000000000002E-4</v>
      </c>
      <c r="T8" s="774"/>
      <c r="U8" s="774" t="s">
        <v>1081</v>
      </c>
      <c r="V8" s="774"/>
      <c r="W8" s="774"/>
      <c r="X8" s="777"/>
      <c r="Y8" s="777"/>
      <c r="Z8" s="801"/>
    </row>
    <row r="9" spans="1:54" ht="30.5" customHeight="1">
      <c r="A9" s="775">
        <v>2</v>
      </c>
      <c r="B9" s="774" t="s">
        <v>346</v>
      </c>
      <c r="C9" s="774" t="s">
        <v>338</v>
      </c>
      <c r="D9" s="774" t="s">
        <v>347</v>
      </c>
      <c r="E9" s="774" t="s">
        <v>347</v>
      </c>
      <c r="F9" s="774" t="s">
        <v>347</v>
      </c>
      <c r="G9" s="774" t="s">
        <v>340</v>
      </c>
      <c r="H9" s="775" t="s">
        <v>1073</v>
      </c>
      <c r="I9" s="776" t="s">
        <v>1074</v>
      </c>
      <c r="J9" s="776" t="str">
        <f>VLOOKUP(D9,[5]Sheet1!$D$1:$D$65536,1,0)</f>
        <v>CGA3E2X7R2A103K080AA</v>
      </c>
      <c r="K9" s="775" t="s">
        <v>28</v>
      </c>
      <c r="L9" s="775"/>
      <c r="M9" s="775"/>
      <c r="N9" s="774" t="s">
        <v>240</v>
      </c>
      <c r="O9" s="774">
        <v>4.6230000000000004E-3</v>
      </c>
      <c r="P9" s="774"/>
      <c r="Q9" s="774"/>
      <c r="R9" s="774">
        <f t="shared" si="1"/>
        <v>4.7848049999999996E-3</v>
      </c>
      <c r="S9" s="774">
        <f t="shared" si="0"/>
        <v>2.9425049999999998E-3</v>
      </c>
      <c r="T9" s="774"/>
      <c r="U9" s="774" t="s">
        <v>1445</v>
      </c>
      <c r="V9" s="774"/>
      <c r="W9" s="774"/>
      <c r="X9" s="777"/>
      <c r="Y9" s="777"/>
      <c r="Z9" s="801"/>
    </row>
    <row r="10" spans="1:54" ht="43.5" customHeight="1">
      <c r="A10" s="775">
        <v>2</v>
      </c>
      <c r="B10" s="774" t="s">
        <v>281</v>
      </c>
      <c r="C10" s="774" t="s">
        <v>272</v>
      </c>
      <c r="D10" s="774" t="s">
        <v>282</v>
      </c>
      <c r="E10" s="774" t="s">
        <v>282</v>
      </c>
      <c r="F10" s="774" t="s">
        <v>282</v>
      </c>
      <c r="G10" s="774" t="s">
        <v>274</v>
      </c>
      <c r="H10" s="775" t="s">
        <v>1073</v>
      </c>
      <c r="I10" s="776" t="s">
        <v>1074</v>
      </c>
      <c r="J10" s="776" t="str">
        <f>VLOOKUP(D10,[5]Sheet1!$D$1:$D$65536,1,0)</f>
        <v>GCM155R71H104KE02D</v>
      </c>
      <c r="K10" s="775" t="s">
        <v>28</v>
      </c>
      <c r="L10" s="775">
        <v>9</v>
      </c>
      <c r="M10" s="775"/>
      <c r="N10" s="774" t="s">
        <v>237</v>
      </c>
      <c r="O10" s="774">
        <v>2.32E-3</v>
      </c>
      <c r="P10" s="774"/>
      <c r="Q10" s="774"/>
      <c r="R10" s="774">
        <f t="shared" si="1"/>
        <v>2.4012E-3</v>
      </c>
      <c r="S10" s="774">
        <f t="shared" si="0"/>
        <v>8.2593000000000033E-4</v>
      </c>
      <c r="T10" s="774"/>
      <c r="U10" s="774" t="s">
        <v>237</v>
      </c>
      <c r="V10" s="774">
        <v>10000</v>
      </c>
      <c r="W10" s="774">
        <v>12</v>
      </c>
      <c r="X10" s="777"/>
      <c r="Y10" s="777"/>
      <c r="Z10" s="801" t="s">
        <v>1083</v>
      </c>
    </row>
    <row r="11" spans="1:54" s="658" customFormat="1" ht="15.75" customHeight="1">
      <c r="A11" s="775">
        <v>2</v>
      </c>
      <c r="B11" s="774" t="s">
        <v>271</v>
      </c>
      <c r="C11" s="774" t="s">
        <v>272</v>
      </c>
      <c r="D11" s="774" t="s">
        <v>1084</v>
      </c>
      <c r="E11" s="774" t="s">
        <v>1084</v>
      </c>
      <c r="F11" s="774" t="e">
        <v>#N/A</v>
      </c>
      <c r="G11" s="774" t="s">
        <v>274</v>
      </c>
      <c r="H11" s="775" t="s">
        <v>1073</v>
      </c>
      <c r="I11" s="776" t="s">
        <v>1074</v>
      </c>
      <c r="J11" s="776" t="str">
        <f>VLOOKUP(D11,[5]Sheet1!$D$1:$D$65536,1,0)</f>
        <v>CL05B104KB54PNC</v>
      </c>
      <c r="K11" s="775" t="s">
        <v>28</v>
      </c>
      <c r="L11" s="775"/>
      <c r="M11" s="775">
        <v>9</v>
      </c>
      <c r="N11" s="774" t="s">
        <v>275</v>
      </c>
      <c r="O11" s="774">
        <v>1.5219999999999999E-3</v>
      </c>
      <c r="P11" s="774"/>
      <c r="Q11" s="774"/>
      <c r="R11" s="774">
        <f t="shared" si="1"/>
        <v>1.5752699999999997E-3</v>
      </c>
      <c r="S11" s="774">
        <f t="shared" si="0"/>
        <v>0</v>
      </c>
      <c r="T11" s="774">
        <f>R11*M11</f>
        <v>1.4177429999999998E-2</v>
      </c>
      <c r="U11" s="774" t="s">
        <v>1443</v>
      </c>
      <c r="V11" s="774">
        <v>2000</v>
      </c>
      <c r="W11" s="774">
        <v>18</v>
      </c>
      <c r="X11" s="777" t="s">
        <v>1444</v>
      </c>
      <c r="Y11" s="777" t="s">
        <v>1444</v>
      </c>
      <c r="Z11" s="801"/>
      <c r="AA11" s="753"/>
      <c r="AB11" s="753"/>
      <c r="AC11" s="753"/>
      <c r="AD11" s="753"/>
      <c r="AE11" s="753"/>
      <c r="AF11" s="753"/>
      <c r="AG11" s="753"/>
      <c r="AH11" s="753"/>
      <c r="AI11" s="753"/>
      <c r="AJ11" s="753"/>
      <c r="AK11" s="753"/>
      <c r="AL11" s="753"/>
      <c r="AM11" s="753"/>
      <c r="AN11" s="753"/>
      <c r="AO11" s="753"/>
      <c r="AP11" s="753"/>
      <c r="AQ11" s="753"/>
      <c r="AR11" s="753"/>
      <c r="AS11" s="753"/>
      <c r="AT11" s="753"/>
      <c r="AU11" s="753"/>
      <c r="AV11" s="753"/>
      <c r="AW11" s="753"/>
      <c r="AX11" s="753"/>
      <c r="AY11" s="753"/>
      <c r="AZ11" s="753"/>
      <c r="BA11" s="753"/>
      <c r="BB11" s="753"/>
    </row>
    <row r="12" spans="1:54" ht="15.75" customHeight="1">
      <c r="A12" s="775">
        <v>2</v>
      </c>
      <c r="B12" s="774" t="s">
        <v>277</v>
      </c>
      <c r="C12" s="774" t="s">
        <v>272</v>
      </c>
      <c r="D12" s="774" t="s">
        <v>278</v>
      </c>
      <c r="E12" s="774" t="s">
        <v>278</v>
      </c>
      <c r="F12" s="774" t="s">
        <v>278</v>
      </c>
      <c r="G12" s="774" t="s">
        <v>274</v>
      </c>
      <c r="H12" s="775" t="s">
        <v>1073</v>
      </c>
      <c r="I12" s="776" t="s">
        <v>1074</v>
      </c>
      <c r="J12" s="776" t="str">
        <f>VLOOKUP(D12,[5]Sheet1!$D$1:$D$65536,1,0)</f>
        <v>GCM155R71H104KE02J</v>
      </c>
      <c r="K12" s="775" t="s">
        <v>28</v>
      </c>
      <c r="L12" s="775"/>
      <c r="M12" s="775"/>
      <c r="N12" s="774" t="s">
        <v>237</v>
      </c>
      <c r="O12" s="774">
        <v>1.9E-3</v>
      </c>
      <c r="P12" s="774"/>
      <c r="Q12" s="774"/>
      <c r="R12" s="774">
        <f t="shared" si="1"/>
        <v>1.9664999999999999E-3</v>
      </c>
      <c r="S12" s="774">
        <f t="shared" si="0"/>
        <v>3.9123000000000022E-4</v>
      </c>
      <c r="T12" s="774"/>
      <c r="U12" s="774" t="s">
        <v>1086</v>
      </c>
      <c r="V12" s="774">
        <v>10000</v>
      </c>
      <c r="W12" s="774">
        <v>12</v>
      </c>
      <c r="X12" s="777"/>
      <c r="Y12" s="777"/>
      <c r="Z12" s="801"/>
    </row>
    <row r="13" spans="1:54" ht="15.75" customHeight="1">
      <c r="A13" s="775">
        <v>2</v>
      </c>
      <c r="B13" s="774" t="s">
        <v>283</v>
      </c>
      <c r="C13" s="774" t="s">
        <v>272</v>
      </c>
      <c r="D13" s="774" t="s">
        <v>283</v>
      </c>
      <c r="E13" s="774" t="s">
        <v>283</v>
      </c>
      <c r="F13" s="774" t="s">
        <v>283</v>
      </c>
      <c r="G13" s="774" t="s">
        <v>274</v>
      </c>
      <c r="H13" s="775" t="s">
        <v>1073</v>
      </c>
      <c r="I13" s="776" t="s">
        <v>1074</v>
      </c>
      <c r="J13" s="776" t="str">
        <f>VLOOKUP(D13,[5]Sheet1!$D$1:$D$65536,1,0)</f>
        <v>MCASU105SB7104KFNA01</v>
      </c>
      <c r="K13" s="775" t="s">
        <v>28</v>
      </c>
      <c r="L13" s="775"/>
      <c r="M13" s="775"/>
      <c r="N13" s="774" t="s">
        <v>257</v>
      </c>
      <c r="O13" s="774">
        <v>2.3600000000000001E-3</v>
      </c>
      <c r="P13" s="774"/>
      <c r="Q13" s="774"/>
      <c r="R13" s="774">
        <f t="shared" si="1"/>
        <v>2.4426000000000001E-3</v>
      </c>
      <c r="S13" s="774">
        <f t="shared" si="0"/>
        <v>8.6733000000000036E-4</v>
      </c>
      <c r="T13" s="774"/>
      <c r="U13" s="774" t="s">
        <v>1446</v>
      </c>
      <c r="V13" s="774"/>
      <c r="W13" s="774"/>
      <c r="X13" s="777"/>
      <c r="Y13" s="777"/>
      <c r="Z13" s="801"/>
    </row>
    <row r="14" spans="1:54" ht="15.75" customHeight="1">
      <c r="A14" s="775">
        <v>2</v>
      </c>
      <c r="B14" s="774" t="s">
        <v>279</v>
      </c>
      <c r="C14" s="774" t="s">
        <v>272</v>
      </c>
      <c r="D14" s="774" t="s">
        <v>280</v>
      </c>
      <c r="E14" s="774" t="s">
        <v>280</v>
      </c>
      <c r="F14" s="774" t="s">
        <v>280</v>
      </c>
      <c r="G14" s="774" t="s">
        <v>274</v>
      </c>
      <c r="H14" s="775" t="s">
        <v>1073</v>
      </c>
      <c r="I14" s="776" t="s">
        <v>1074</v>
      </c>
      <c r="J14" s="776" t="str">
        <f>VLOOKUP(D14,[5]Sheet1!$D$1:$D$65536,1,0)</f>
        <v>CGA2B3X7R1H104K050BB</v>
      </c>
      <c r="K14" s="775" t="s">
        <v>28</v>
      </c>
      <c r="L14" s="775"/>
      <c r="M14" s="775"/>
      <c r="N14" s="774" t="s">
        <v>240</v>
      </c>
      <c r="O14" s="774">
        <v>2.2699999999999999E-3</v>
      </c>
      <c r="P14" s="774"/>
      <c r="Q14" s="774"/>
      <c r="R14" s="774">
        <f t="shared" si="1"/>
        <v>2.3494499999999999E-3</v>
      </c>
      <c r="S14" s="774">
        <f t="shared" si="0"/>
        <v>7.7418000000000018E-4</v>
      </c>
      <c r="T14" s="774"/>
      <c r="U14" s="774" t="s">
        <v>1445</v>
      </c>
      <c r="V14" s="774"/>
      <c r="W14" s="774"/>
      <c r="X14" s="777"/>
      <c r="Y14" s="777"/>
      <c r="Z14" s="801"/>
    </row>
    <row r="15" spans="1:54" s="658" customFormat="1" ht="37.5" customHeight="1">
      <c r="A15" s="775">
        <v>2</v>
      </c>
      <c r="B15" s="774" t="s">
        <v>514</v>
      </c>
      <c r="C15" s="774" t="s">
        <v>515</v>
      </c>
      <c r="D15" s="774" t="s">
        <v>516</v>
      </c>
      <c r="E15" s="774" t="s">
        <v>516</v>
      </c>
      <c r="F15" s="774" t="s">
        <v>516</v>
      </c>
      <c r="G15" s="774" t="s">
        <v>517</v>
      </c>
      <c r="H15" s="775" t="s">
        <v>1073</v>
      </c>
      <c r="I15" s="776" t="s">
        <v>1074</v>
      </c>
      <c r="J15" s="776" t="str">
        <f>VLOOKUP(D15,[5]Sheet1!$D$1:$D$65536,1,0)</f>
        <v>GCM033R71A103KA03D</v>
      </c>
      <c r="K15" s="775" t="s">
        <v>28</v>
      </c>
      <c r="L15" s="775">
        <v>16</v>
      </c>
      <c r="M15" s="775">
        <v>16</v>
      </c>
      <c r="N15" s="774" t="s">
        <v>237</v>
      </c>
      <c r="O15" s="774">
        <v>1.5299999999999999E-3</v>
      </c>
      <c r="P15" s="774">
        <f>VLOOKUP(D15,'EEBOM Feb.2nd2026'!$D:$N,11,0)</f>
        <v>1.5299999999999999E-3</v>
      </c>
      <c r="Q15" s="774">
        <f>O15-P15</f>
        <v>0</v>
      </c>
      <c r="R15" s="774">
        <f t="shared" si="1"/>
        <v>1.5835499999999998E-3</v>
      </c>
      <c r="S15" s="774">
        <f t="shared" si="0"/>
        <v>0</v>
      </c>
      <c r="T15" s="774">
        <f>R15*M15</f>
        <v>2.5336799999999996E-2</v>
      </c>
      <c r="U15" s="774" t="s">
        <v>1089</v>
      </c>
      <c r="V15" s="774">
        <v>10000</v>
      </c>
      <c r="W15" s="774">
        <v>12</v>
      </c>
      <c r="X15" s="777" t="s">
        <v>1447</v>
      </c>
      <c r="Y15" s="777" t="s">
        <v>1448</v>
      </c>
      <c r="Z15" s="801" t="s">
        <v>1091</v>
      </c>
      <c r="AA15" s="753"/>
      <c r="AB15" s="753"/>
      <c r="AC15" s="753"/>
      <c r="AD15" s="753"/>
      <c r="AE15" s="753"/>
      <c r="AF15" s="753"/>
      <c r="AG15" s="753"/>
      <c r="AH15" s="753"/>
      <c r="AI15" s="753"/>
      <c r="AJ15" s="753"/>
      <c r="AK15" s="753"/>
      <c r="AL15" s="753"/>
      <c r="AM15" s="753"/>
      <c r="AN15" s="753"/>
      <c r="AO15" s="753"/>
      <c r="AP15" s="753"/>
      <c r="AQ15" s="753"/>
      <c r="AR15" s="753"/>
      <c r="AS15" s="753"/>
      <c r="AT15" s="753"/>
      <c r="AU15" s="753"/>
      <c r="AV15" s="753"/>
      <c r="AW15" s="753"/>
      <c r="AX15" s="753"/>
      <c r="AY15" s="753"/>
      <c r="AZ15" s="753"/>
      <c r="BA15" s="753"/>
      <c r="BB15" s="753"/>
    </row>
    <row r="16" spans="1:54">
      <c r="A16" s="775">
        <v>2</v>
      </c>
      <c r="B16" s="774" t="s">
        <v>519</v>
      </c>
      <c r="C16" s="774" t="s">
        <v>515</v>
      </c>
      <c r="D16" s="774" t="s">
        <v>520</v>
      </c>
      <c r="E16" s="774" t="s">
        <v>520</v>
      </c>
      <c r="F16" s="774" t="s">
        <v>520</v>
      </c>
      <c r="G16" s="774" t="s">
        <v>517</v>
      </c>
      <c r="H16" s="775" t="s">
        <v>1073</v>
      </c>
      <c r="I16" s="776" t="s">
        <v>1074</v>
      </c>
      <c r="J16" s="776" t="str">
        <f>VLOOKUP(D16,[5]Sheet1!$D$1:$D$65536,1,0)</f>
        <v>GCM033R71A103KA03J</v>
      </c>
      <c r="K16" s="775" t="s">
        <v>28</v>
      </c>
      <c r="L16" s="775"/>
      <c r="M16" s="775"/>
      <c r="N16" s="774" t="s">
        <v>237</v>
      </c>
      <c r="O16" s="774">
        <v>1.5299999999999999E-3</v>
      </c>
      <c r="P16" s="774"/>
      <c r="Q16" s="774"/>
      <c r="R16" s="774">
        <f t="shared" si="1"/>
        <v>1.5835499999999998E-3</v>
      </c>
      <c r="S16" s="774">
        <f t="shared" si="0"/>
        <v>0</v>
      </c>
      <c r="T16" s="774"/>
      <c r="U16" s="774" t="s">
        <v>1089</v>
      </c>
      <c r="V16" s="774">
        <v>10000</v>
      </c>
      <c r="W16" s="774" t="s">
        <v>1090</v>
      </c>
      <c r="X16" s="777"/>
      <c r="Y16" s="777"/>
      <c r="Z16" s="801"/>
    </row>
    <row r="17" spans="1:54">
      <c r="A17" s="775">
        <v>2</v>
      </c>
      <c r="B17" s="774" t="s">
        <v>521</v>
      </c>
      <c r="C17" s="774" t="s">
        <v>515</v>
      </c>
      <c r="D17" s="774" t="s">
        <v>522</v>
      </c>
      <c r="E17" s="774" t="s">
        <v>522</v>
      </c>
      <c r="F17" s="774" t="s">
        <v>522</v>
      </c>
      <c r="G17" s="774" t="s">
        <v>517</v>
      </c>
      <c r="H17" s="775" t="s">
        <v>1073</v>
      </c>
      <c r="I17" s="776" t="s">
        <v>1074</v>
      </c>
      <c r="J17" s="776" t="str">
        <f>VLOOKUP(D17,[5]Sheet1!$D$1:$D$65536,1,0)</f>
        <v>CGA1A2X7R1A103K030BA</v>
      </c>
      <c r="K17" s="775" t="s">
        <v>28</v>
      </c>
      <c r="L17" s="775"/>
      <c r="M17" s="775"/>
      <c r="N17" s="774" t="s">
        <v>240</v>
      </c>
      <c r="O17" s="774">
        <v>2.0500000000000002E-3</v>
      </c>
      <c r="P17" s="774"/>
      <c r="Q17" s="774"/>
      <c r="R17" s="774">
        <f t="shared" si="1"/>
        <v>2.1217499999999999E-3</v>
      </c>
      <c r="S17" s="774">
        <f t="shared" si="0"/>
        <v>5.3820000000000018E-4</v>
      </c>
      <c r="T17" s="774"/>
      <c r="U17" s="774" t="s">
        <v>1443</v>
      </c>
      <c r="V17" s="774">
        <v>1000</v>
      </c>
      <c r="W17" s="774">
        <v>24</v>
      </c>
      <c r="X17" s="777"/>
      <c r="Y17" s="777"/>
      <c r="Z17" s="801"/>
    </row>
    <row r="18" spans="1:54" ht="15.75" customHeight="1">
      <c r="A18" s="775">
        <v>2</v>
      </c>
      <c r="B18" s="774" t="s">
        <v>399</v>
      </c>
      <c r="C18" s="774" t="s">
        <v>396</v>
      </c>
      <c r="D18" s="774" t="s">
        <v>399</v>
      </c>
      <c r="E18" s="774" t="s">
        <v>399</v>
      </c>
      <c r="F18" s="774" t="s">
        <v>399</v>
      </c>
      <c r="G18" s="774" t="s">
        <v>1093</v>
      </c>
      <c r="H18" s="775" t="s">
        <v>1073</v>
      </c>
      <c r="I18" s="776" t="s">
        <v>1074</v>
      </c>
      <c r="J18" s="776" t="str">
        <f>VLOOKUP(D18,[5]Sheet1!$D$1:$D$65536,1,0)</f>
        <v>HMJ107BB7104KAHT</v>
      </c>
      <c r="K18" s="775" t="s">
        <v>28</v>
      </c>
      <c r="L18" s="775">
        <v>10</v>
      </c>
      <c r="M18" s="775"/>
      <c r="N18" s="774" t="s">
        <v>257</v>
      </c>
      <c r="O18" s="774">
        <v>3.73E-2</v>
      </c>
      <c r="P18" s="774"/>
      <c r="Q18" s="774"/>
      <c r="R18" s="774">
        <f t="shared" si="1"/>
        <v>3.8605499999999994E-2</v>
      </c>
      <c r="S18" s="774">
        <f t="shared" si="0"/>
        <v>3.1360499999999993E-2</v>
      </c>
      <c r="T18" s="774"/>
      <c r="U18" s="774" t="s">
        <v>1094</v>
      </c>
      <c r="V18" s="774"/>
      <c r="W18" s="774"/>
      <c r="X18" s="777"/>
      <c r="Y18" s="777"/>
      <c r="Z18" s="801" t="s">
        <v>1095</v>
      </c>
    </row>
    <row r="19" spans="1:54" ht="15.75" customHeight="1">
      <c r="A19" s="775">
        <v>2</v>
      </c>
      <c r="B19" s="774" t="s">
        <v>400</v>
      </c>
      <c r="C19" s="774" t="s">
        <v>396</v>
      </c>
      <c r="D19" s="774" t="s">
        <v>400</v>
      </c>
      <c r="E19" s="774" t="s">
        <v>400</v>
      </c>
      <c r="F19" s="774" t="s">
        <v>400</v>
      </c>
      <c r="G19" s="774" t="s">
        <v>1093</v>
      </c>
      <c r="H19" s="775" t="s">
        <v>1073</v>
      </c>
      <c r="I19" s="776" t="s">
        <v>1074</v>
      </c>
      <c r="J19" s="776" t="str">
        <f>VLOOKUP(D19,[5]Sheet1!$D$1:$D$65536,1,0)</f>
        <v>MCJCH168BB7104KTPA01</v>
      </c>
      <c r="K19" s="775" t="s">
        <v>28</v>
      </c>
      <c r="L19" s="775"/>
      <c r="M19" s="775"/>
      <c r="N19" s="774" t="s">
        <v>257</v>
      </c>
      <c r="O19" s="774">
        <v>3.8800000000000001E-2</v>
      </c>
      <c r="P19" s="774"/>
      <c r="Q19" s="774"/>
      <c r="R19" s="774">
        <f t="shared" si="1"/>
        <v>4.0157999999999999E-2</v>
      </c>
      <c r="S19" s="774">
        <f t="shared" si="0"/>
        <v>3.2912999999999998E-2</v>
      </c>
      <c r="T19" s="774"/>
      <c r="U19" s="774" t="s">
        <v>1094</v>
      </c>
      <c r="V19" s="774"/>
      <c r="W19" s="774"/>
      <c r="X19" s="777"/>
      <c r="Y19" s="777"/>
      <c r="Z19" s="801"/>
    </row>
    <row r="20" spans="1:54" s="658" customFormat="1" ht="15.75" customHeight="1">
      <c r="A20" s="775">
        <v>2</v>
      </c>
      <c r="B20" s="774" t="s">
        <v>395</v>
      </c>
      <c r="C20" s="774" t="s">
        <v>396</v>
      </c>
      <c r="D20" s="787" t="s">
        <v>395</v>
      </c>
      <c r="E20" s="774" t="s">
        <v>395</v>
      </c>
      <c r="F20" s="774" t="s">
        <v>395</v>
      </c>
      <c r="G20" s="774" t="s">
        <v>1093</v>
      </c>
      <c r="H20" s="775" t="s">
        <v>1073</v>
      </c>
      <c r="I20" s="776" t="s">
        <v>1074</v>
      </c>
      <c r="J20" s="776" t="str">
        <f>VLOOKUP(D20,[5]Sheet1!$D$1:$D$65536,1,0)</f>
        <v>GCJ188R72A104KA01D</v>
      </c>
      <c r="K20" s="775" t="s">
        <v>28</v>
      </c>
      <c r="L20" s="775"/>
      <c r="M20" s="775">
        <v>10</v>
      </c>
      <c r="N20" s="774" t="s">
        <v>237</v>
      </c>
      <c r="O20" s="774">
        <v>7.0000000000000001E-3</v>
      </c>
      <c r="P20" s="774">
        <f>VLOOKUP(D20,'EEBOM Feb.2nd2026'!$D:$N,11,0)</f>
        <v>7.0000000000000001E-3</v>
      </c>
      <c r="Q20" s="774">
        <f t="shared" ref="Q20:Q22" si="2">O20-P20</f>
        <v>0</v>
      </c>
      <c r="R20" s="774">
        <f t="shared" si="1"/>
        <v>7.2449999999999997E-3</v>
      </c>
      <c r="S20" s="774">
        <f t="shared" si="0"/>
        <v>0</v>
      </c>
      <c r="T20" s="774">
        <f t="shared" ref="T20:T21" si="3">R20*M20</f>
        <v>7.2450000000000001E-2</v>
      </c>
      <c r="U20" s="774" t="s">
        <v>1089</v>
      </c>
      <c r="V20" s="774">
        <v>10000</v>
      </c>
      <c r="W20" s="774">
        <v>12</v>
      </c>
      <c r="X20" s="777" t="s">
        <v>1447</v>
      </c>
      <c r="Y20" s="777" t="s">
        <v>1448</v>
      </c>
      <c r="Z20" s="801"/>
      <c r="AA20" s="753"/>
      <c r="AB20" s="753"/>
      <c r="AC20" s="753"/>
      <c r="AD20" s="753"/>
      <c r="AE20" s="753"/>
      <c r="AF20" s="753"/>
      <c r="AG20" s="753"/>
      <c r="AH20" s="753"/>
      <c r="AI20" s="753"/>
      <c r="AJ20" s="753"/>
      <c r="AK20" s="753"/>
      <c r="AL20" s="753"/>
      <c r="AM20" s="753"/>
      <c r="AN20" s="753"/>
      <c r="AO20" s="753"/>
      <c r="AP20" s="753"/>
      <c r="AQ20" s="753"/>
      <c r="AR20" s="753"/>
      <c r="AS20" s="753"/>
      <c r="AT20" s="753"/>
      <c r="AU20" s="753"/>
      <c r="AV20" s="753"/>
      <c r="AW20" s="753"/>
      <c r="AX20" s="753"/>
      <c r="AY20" s="753"/>
      <c r="AZ20" s="753"/>
      <c r="BA20" s="753"/>
      <c r="BB20" s="753"/>
    </row>
    <row r="21" spans="1:54" s="658" customFormat="1" ht="15" customHeight="1">
      <c r="A21" s="775">
        <v>2</v>
      </c>
      <c r="B21" s="774" t="s">
        <v>477</v>
      </c>
      <c r="C21" s="774" t="s">
        <v>478</v>
      </c>
      <c r="D21" s="787" t="s">
        <v>477</v>
      </c>
      <c r="E21" s="774" t="s">
        <v>477</v>
      </c>
      <c r="F21" s="774" t="s">
        <v>477</v>
      </c>
      <c r="G21" s="774" t="s">
        <v>479</v>
      </c>
      <c r="H21" s="775" t="s">
        <v>1073</v>
      </c>
      <c r="I21" s="776" t="s">
        <v>1074</v>
      </c>
      <c r="J21" s="776" t="str">
        <f>VLOOKUP(D21,[5]Sheet1!$D$1:$D$65536,1,0)</f>
        <v>GCM033C71A104KE02D</v>
      </c>
      <c r="K21" s="775" t="s">
        <v>28</v>
      </c>
      <c r="L21" s="775">
        <v>28</v>
      </c>
      <c r="M21" s="775">
        <v>28</v>
      </c>
      <c r="N21" s="774" t="s">
        <v>237</v>
      </c>
      <c r="O21" s="774">
        <v>4.0499999999999998E-3</v>
      </c>
      <c r="P21" s="774">
        <f>VLOOKUP(D21,'EEBOM Feb.2nd2026'!$D:$N,11,0)</f>
        <v>4.0499999999999998E-3</v>
      </c>
      <c r="Q21" s="774">
        <f t="shared" si="2"/>
        <v>0</v>
      </c>
      <c r="R21" s="774">
        <f t="shared" si="1"/>
        <v>4.1917499999999993E-3</v>
      </c>
      <c r="S21" s="774">
        <f t="shared" si="0"/>
        <v>0</v>
      </c>
      <c r="T21" s="774">
        <f t="shared" si="3"/>
        <v>0.11736899999999997</v>
      </c>
      <c r="U21" s="774" t="s">
        <v>1089</v>
      </c>
      <c r="V21" s="774">
        <v>10000</v>
      </c>
      <c r="W21" s="774">
        <v>12</v>
      </c>
      <c r="X21" s="777" t="s">
        <v>1447</v>
      </c>
      <c r="Y21" s="777" t="s">
        <v>1448</v>
      </c>
      <c r="Z21" s="801" t="s">
        <v>1096</v>
      </c>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row>
    <row r="22" spans="1:54" s="658" customFormat="1" ht="15" customHeight="1">
      <c r="A22" s="775">
        <v>2</v>
      </c>
      <c r="B22" s="774" t="s">
        <v>481</v>
      </c>
      <c r="C22" s="774" t="s">
        <v>478</v>
      </c>
      <c r="D22" s="774" t="s">
        <v>481</v>
      </c>
      <c r="E22" s="774" t="s">
        <v>481</v>
      </c>
      <c r="F22" s="774" t="s">
        <v>481</v>
      </c>
      <c r="G22" s="774" t="s">
        <v>479</v>
      </c>
      <c r="H22" s="775" t="s">
        <v>1073</v>
      </c>
      <c r="I22" s="776" t="s">
        <v>1074</v>
      </c>
      <c r="J22" s="776" t="str">
        <f>VLOOKUP(D22,[5]Sheet1!$D$1:$D$65536,1,0)</f>
        <v>GCM033C71A104KE02J</v>
      </c>
      <c r="K22" s="775" t="s">
        <v>28</v>
      </c>
      <c r="L22" s="775"/>
      <c r="M22" s="775"/>
      <c r="N22" s="774" t="s">
        <v>237</v>
      </c>
      <c r="O22" s="774">
        <v>4.0499999999999998E-3</v>
      </c>
      <c r="P22" s="774">
        <f>VLOOKUP(D22,'EEBOM Feb.2nd2026'!$D:$N,11,0)</f>
        <v>4.0499999999999998E-3</v>
      </c>
      <c r="Q22" s="774">
        <f t="shared" si="2"/>
        <v>0</v>
      </c>
      <c r="R22" s="774">
        <f t="shared" si="1"/>
        <v>4.1917499999999993E-3</v>
      </c>
      <c r="S22" s="774">
        <f t="shared" si="0"/>
        <v>0</v>
      </c>
      <c r="T22" s="774"/>
      <c r="U22" s="774" t="s">
        <v>1089</v>
      </c>
      <c r="V22" s="774">
        <v>10000</v>
      </c>
      <c r="W22" s="774">
        <v>12</v>
      </c>
      <c r="X22" s="777" t="s">
        <v>1447</v>
      </c>
      <c r="Y22" s="777" t="s">
        <v>1448</v>
      </c>
      <c r="Z22" s="801"/>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row>
    <row r="23" spans="1:54" s="658" customFormat="1" ht="15.75" customHeight="1">
      <c r="A23" s="775">
        <v>2</v>
      </c>
      <c r="B23" s="774" t="s">
        <v>234</v>
      </c>
      <c r="C23" s="774" t="s">
        <v>235</v>
      </c>
      <c r="D23" s="787" t="s">
        <v>234</v>
      </c>
      <c r="E23" s="774" t="s">
        <v>234</v>
      </c>
      <c r="F23" s="774" t="s">
        <v>234</v>
      </c>
      <c r="G23" s="774" t="s">
        <v>1097</v>
      </c>
      <c r="H23" s="775" t="s">
        <v>1073</v>
      </c>
      <c r="I23" s="776" t="s">
        <v>1074</v>
      </c>
      <c r="J23" s="776" t="str">
        <f>VLOOKUP(D23,[5]Sheet1!$D$1:$D$65536,1,0)</f>
        <v>GCM21BR71E225KA73L</v>
      </c>
      <c r="K23" s="775" t="s">
        <v>28</v>
      </c>
      <c r="L23" s="775">
        <v>7</v>
      </c>
      <c r="M23" s="775">
        <v>7</v>
      </c>
      <c r="N23" s="774" t="s">
        <v>237</v>
      </c>
      <c r="O23" s="774">
        <v>1.7999999999999999E-2</v>
      </c>
      <c r="P23" s="774"/>
      <c r="Q23" s="774"/>
      <c r="R23" s="774">
        <f t="shared" si="1"/>
        <v>1.8629999999999997E-2</v>
      </c>
      <c r="S23" s="774">
        <f t="shared" si="0"/>
        <v>0</v>
      </c>
      <c r="T23" s="774">
        <f>R23*M23</f>
        <v>0.13040999999999997</v>
      </c>
      <c r="U23" s="774" t="s">
        <v>1449</v>
      </c>
      <c r="V23" s="774">
        <v>10000</v>
      </c>
      <c r="W23" s="774">
        <v>12</v>
      </c>
      <c r="X23" s="777" t="s">
        <v>1444</v>
      </c>
      <c r="Y23" s="777" t="s">
        <v>1444</v>
      </c>
      <c r="Z23" s="801" t="s">
        <v>1099</v>
      </c>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row>
    <row r="24" spans="1:54" ht="15.75" customHeight="1">
      <c r="A24" s="775">
        <v>2</v>
      </c>
      <c r="B24" s="774" t="s">
        <v>239</v>
      </c>
      <c r="C24" s="774" t="s">
        <v>235</v>
      </c>
      <c r="D24" s="774" t="s">
        <v>239</v>
      </c>
      <c r="E24" s="774" t="s">
        <v>239</v>
      </c>
      <c r="F24" s="774" t="s">
        <v>239</v>
      </c>
      <c r="G24" s="774" t="s">
        <v>1097</v>
      </c>
      <c r="H24" s="775" t="s">
        <v>1073</v>
      </c>
      <c r="I24" s="776" t="s">
        <v>1074</v>
      </c>
      <c r="J24" s="776" t="str">
        <f>VLOOKUP(D24,[5]Sheet1!$D$1:$D$65536,1,0)</f>
        <v>CGA4J3X7R1E225K125AB</v>
      </c>
      <c r="K24" s="775" t="s">
        <v>28</v>
      </c>
      <c r="L24" s="775"/>
      <c r="M24" s="775"/>
      <c r="N24" s="774" t="s">
        <v>240</v>
      </c>
      <c r="O24" s="774">
        <v>3.2219999999999999E-2</v>
      </c>
      <c r="P24" s="774"/>
      <c r="Q24" s="774"/>
      <c r="R24" s="774">
        <f t="shared" si="1"/>
        <v>3.3347699999999994E-2</v>
      </c>
      <c r="S24" s="774">
        <f t="shared" si="0"/>
        <v>1.4717699999999997E-2</v>
      </c>
      <c r="T24" s="774"/>
      <c r="U24" s="774" t="s">
        <v>1443</v>
      </c>
      <c r="V24" s="774">
        <v>4000</v>
      </c>
      <c r="W24" s="774">
        <v>24</v>
      </c>
      <c r="X24" s="777"/>
      <c r="Y24" s="777"/>
      <c r="Z24" s="801"/>
    </row>
    <row r="25" spans="1:54" s="668" customFormat="1" ht="15.75" customHeight="1">
      <c r="A25" s="775">
        <v>2</v>
      </c>
      <c r="B25" s="774" t="s">
        <v>1450</v>
      </c>
      <c r="C25" s="774" t="s">
        <v>1101</v>
      </c>
      <c r="D25" s="787" t="s">
        <v>1100</v>
      </c>
      <c r="E25" s="774" t="s">
        <v>1100</v>
      </c>
      <c r="F25" s="774" t="e">
        <v>#N/A</v>
      </c>
      <c r="G25" s="774" t="s">
        <v>1102</v>
      </c>
      <c r="H25" s="775" t="s">
        <v>1073</v>
      </c>
      <c r="I25" s="776" t="s">
        <v>1074</v>
      </c>
      <c r="J25" s="776" t="str">
        <f>VLOOKUP(D25,[5]Sheet1!$D$1:$D$65536,1,0)</f>
        <v>MCASJ21GAB7106KTNA01</v>
      </c>
      <c r="K25" s="775" t="s">
        <v>28</v>
      </c>
      <c r="L25" s="775">
        <v>3</v>
      </c>
      <c r="M25" s="775">
        <v>3</v>
      </c>
      <c r="N25" s="774" t="s">
        <v>257</v>
      </c>
      <c r="O25" s="774">
        <v>1.0999999999999999E-2</v>
      </c>
      <c r="P25" s="774"/>
      <c r="Q25" s="774"/>
      <c r="R25" s="774">
        <f t="shared" si="1"/>
        <v>1.1384999999999999E-2</v>
      </c>
      <c r="S25" s="774">
        <f t="shared" si="0"/>
        <v>0</v>
      </c>
      <c r="T25" s="774">
        <f>R25*M25</f>
        <v>3.4154999999999998E-2</v>
      </c>
      <c r="U25" s="778" t="s">
        <v>1451</v>
      </c>
      <c r="V25" s="779">
        <v>3000</v>
      </c>
      <c r="W25" s="780">
        <v>11</v>
      </c>
      <c r="X25" s="777" t="s">
        <v>1452</v>
      </c>
      <c r="Y25" s="777" t="s">
        <v>1453</v>
      </c>
      <c r="Z25" s="801" t="s">
        <v>1104</v>
      </c>
      <c r="AA25" s="753"/>
      <c r="AB25" s="753"/>
      <c r="AC25" s="753"/>
      <c r="AD25" s="753"/>
      <c r="AE25" s="753"/>
      <c r="AF25" s="753"/>
      <c r="AG25" s="753"/>
      <c r="AH25" s="753"/>
      <c r="AI25" s="753"/>
      <c r="AJ25" s="753"/>
      <c r="AK25" s="753"/>
      <c r="AL25" s="753"/>
      <c r="AM25" s="753"/>
      <c r="AN25" s="753"/>
      <c r="AO25" s="753"/>
      <c r="AP25" s="753"/>
      <c r="AQ25" s="753"/>
      <c r="AR25" s="753"/>
      <c r="AS25" s="753"/>
      <c r="AT25" s="753"/>
      <c r="AU25" s="753"/>
      <c r="AV25" s="753"/>
      <c r="AW25" s="753"/>
      <c r="AX25" s="753"/>
      <c r="AY25" s="753"/>
      <c r="AZ25" s="753"/>
      <c r="BA25" s="753"/>
      <c r="BB25" s="753"/>
    </row>
    <row r="26" spans="1:54" ht="15.75" customHeight="1">
      <c r="A26" s="775">
        <v>2</v>
      </c>
      <c r="B26" s="774" t="s">
        <v>1105</v>
      </c>
      <c r="C26" s="774" t="s">
        <v>1101</v>
      </c>
      <c r="D26" s="774" t="s">
        <v>1106</v>
      </c>
      <c r="E26" s="774" t="s">
        <v>1106</v>
      </c>
      <c r="F26" s="774" t="e">
        <v>#N/A</v>
      </c>
      <c r="G26" s="774" t="s">
        <v>1102</v>
      </c>
      <c r="H26" s="775" t="s">
        <v>1073</v>
      </c>
      <c r="I26" s="776" t="s">
        <v>1074</v>
      </c>
      <c r="J26" s="776" t="str">
        <f>VLOOKUP(D26,[5]Sheet1!$D$1:$D$65536,1,0)</f>
        <v>GCM21BR70J106KE22L</v>
      </c>
      <c r="K26" s="775" t="s">
        <v>28</v>
      </c>
      <c r="L26" s="775"/>
      <c r="M26" s="775"/>
      <c r="N26" s="774" t="s">
        <v>237</v>
      </c>
      <c r="O26" s="774">
        <v>2.0250000000000001E-2</v>
      </c>
      <c r="P26" s="774"/>
      <c r="Q26" s="774"/>
      <c r="R26" s="774">
        <f t="shared" si="1"/>
        <v>2.0958749999999998E-2</v>
      </c>
      <c r="S26" s="774">
        <f t="shared" si="0"/>
        <v>9.5737499999999989E-3</v>
      </c>
      <c r="T26" s="774"/>
      <c r="U26" s="774" t="s">
        <v>1089</v>
      </c>
      <c r="V26" s="774">
        <v>10000</v>
      </c>
      <c r="W26" s="774" t="s">
        <v>1090</v>
      </c>
      <c r="X26" s="777"/>
      <c r="Y26" s="777"/>
      <c r="Z26" s="801"/>
    </row>
    <row r="27" spans="1:54" ht="15.75" customHeight="1">
      <c r="A27" s="775">
        <v>2</v>
      </c>
      <c r="B27" s="774" t="s">
        <v>1107</v>
      </c>
      <c r="C27" s="774" t="s">
        <v>1101</v>
      </c>
      <c r="D27" s="774" t="s">
        <v>1107</v>
      </c>
      <c r="E27" s="774" t="s">
        <v>1107</v>
      </c>
      <c r="F27" s="774" t="e">
        <v>#N/A</v>
      </c>
      <c r="G27" s="774" t="s">
        <v>1102</v>
      </c>
      <c r="H27" s="775" t="s">
        <v>1073</v>
      </c>
      <c r="I27" s="776" t="s">
        <v>1074</v>
      </c>
      <c r="J27" s="776" t="str">
        <f>VLOOKUP(D27,[5]Sheet1!$D$1:$D$65536,1,0)</f>
        <v>CGA4J1X7R0J106K125AC</v>
      </c>
      <c r="K27" s="775" t="s">
        <v>28</v>
      </c>
      <c r="L27" s="775"/>
      <c r="M27" s="775"/>
      <c r="N27" s="774" t="s">
        <v>240</v>
      </c>
      <c r="O27" s="774">
        <v>2.4750000000000001E-2</v>
      </c>
      <c r="P27" s="774"/>
      <c r="Q27" s="774"/>
      <c r="R27" s="774">
        <f t="shared" si="1"/>
        <v>2.561625E-2</v>
      </c>
      <c r="S27" s="774">
        <f t="shared" si="0"/>
        <v>1.4231250000000001E-2</v>
      </c>
      <c r="T27" s="774"/>
      <c r="U27" s="774" t="s">
        <v>1445</v>
      </c>
      <c r="V27" s="774">
        <v>2000</v>
      </c>
      <c r="W27" s="774">
        <v>16</v>
      </c>
      <c r="X27" s="777"/>
      <c r="Y27" s="777"/>
      <c r="Z27" s="801"/>
    </row>
    <row r="28" spans="1:54" ht="15.75" customHeight="1">
      <c r="A28" s="775">
        <v>2</v>
      </c>
      <c r="B28" s="774" t="s">
        <v>1109</v>
      </c>
      <c r="C28" s="774" t="s">
        <v>1101</v>
      </c>
      <c r="D28" s="774" t="s">
        <v>1109</v>
      </c>
      <c r="E28" s="774" t="s">
        <v>1109</v>
      </c>
      <c r="F28" s="774" t="e">
        <v>#N/A</v>
      </c>
      <c r="G28" s="774" t="s">
        <v>1102</v>
      </c>
      <c r="H28" s="775" t="s">
        <v>1073</v>
      </c>
      <c r="I28" s="776" t="s">
        <v>1074</v>
      </c>
      <c r="J28" s="776" t="str">
        <f>VLOOKUP(D28,[5]Sheet1!$D$1:$D$65536,1,0)</f>
        <v>C0805C106K9RACAUTO</v>
      </c>
      <c r="K28" s="775" t="s">
        <v>28</v>
      </c>
      <c r="L28" s="775"/>
      <c r="M28" s="775"/>
      <c r="N28" s="774" t="s">
        <v>254</v>
      </c>
      <c r="O28" s="774">
        <v>1.0999999999999999E-2</v>
      </c>
      <c r="P28" s="774"/>
      <c r="Q28" s="774"/>
      <c r="R28" s="774">
        <f t="shared" si="1"/>
        <v>1.1384999999999999E-2</v>
      </c>
      <c r="S28" s="774">
        <f t="shared" si="0"/>
        <v>0</v>
      </c>
      <c r="T28" s="774"/>
      <c r="U28" s="774" t="s">
        <v>1081</v>
      </c>
      <c r="V28" s="774"/>
      <c r="W28" s="774"/>
      <c r="X28" s="777"/>
      <c r="Y28" s="777"/>
      <c r="Z28" s="801"/>
    </row>
    <row r="29" spans="1:54" s="658" customFormat="1" ht="15.75" customHeight="1">
      <c r="A29" s="775">
        <v>2</v>
      </c>
      <c r="B29" s="774" t="s">
        <v>580</v>
      </c>
      <c r="C29" s="774" t="s">
        <v>581</v>
      </c>
      <c r="D29" s="787" t="s">
        <v>580</v>
      </c>
      <c r="E29" s="774" t="s">
        <v>580</v>
      </c>
      <c r="F29" s="774" t="s">
        <v>580</v>
      </c>
      <c r="G29" s="774" t="s">
        <v>582</v>
      </c>
      <c r="H29" s="775" t="s">
        <v>1073</v>
      </c>
      <c r="I29" s="776" t="s">
        <v>1074</v>
      </c>
      <c r="J29" s="776" t="str">
        <f>VLOOKUP(D29,[5]Sheet1!$D$1:$D$65536,1,0)</f>
        <v>CL31B106KAHVPNE</v>
      </c>
      <c r="K29" s="775" t="s">
        <v>28</v>
      </c>
      <c r="L29" s="775">
        <v>5</v>
      </c>
      <c r="M29" s="775">
        <v>5</v>
      </c>
      <c r="N29" s="774" t="s">
        <v>275</v>
      </c>
      <c r="O29" s="774">
        <v>2.5760000000000002E-2</v>
      </c>
      <c r="P29" s="774">
        <f>VLOOKUP(D29,'EEBOM Feb.2nd2026'!$D:$N,11,0)</f>
        <v>2.5760000000000002E-2</v>
      </c>
      <c r="Q29" s="774">
        <f>O29-P29</f>
        <v>0</v>
      </c>
      <c r="R29" s="774">
        <f t="shared" si="1"/>
        <v>2.6661600000000001E-2</v>
      </c>
      <c r="S29" s="774">
        <f t="shared" si="0"/>
        <v>0</v>
      </c>
      <c r="T29" s="774">
        <f>R29*M29</f>
        <v>0.13330800000000001</v>
      </c>
      <c r="U29" s="774" t="s">
        <v>1443</v>
      </c>
      <c r="V29" s="774">
        <v>2000</v>
      </c>
      <c r="W29" s="774">
        <v>18</v>
      </c>
      <c r="X29" s="777" t="s">
        <v>1454</v>
      </c>
      <c r="Y29" s="777" t="s">
        <v>1448</v>
      </c>
      <c r="Z29" s="801" t="s">
        <v>1110</v>
      </c>
      <c r="AA29" s="753"/>
      <c r="AB29" s="753"/>
      <c r="AC29" s="753"/>
      <c r="AD29" s="753"/>
      <c r="AE29" s="753"/>
      <c r="AF29" s="753"/>
      <c r="AG29" s="753"/>
      <c r="AH29" s="753"/>
      <c r="AI29" s="753"/>
      <c r="AJ29" s="753"/>
      <c r="AK29" s="753"/>
      <c r="AL29" s="753"/>
      <c r="AM29" s="753"/>
      <c r="AN29" s="753"/>
      <c r="AO29" s="753"/>
      <c r="AP29" s="753"/>
      <c r="AQ29" s="753"/>
      <c r="AR29" s="753"/>
      <c r="AS29" s="753"/>
      <c r="AT29" s="753"/>
      <c r="AU29" s="753"/>
      <c r="AV29" s="753"/>
      <c r="AW29" s="753"/>
      <c r="AX29" s="753"/>
      <c r="AY29" s="753"/>
      <c r="AZ29" s="753"/>
      <c r="BA29" s="753"/>
      <c r="BB29" s="753"/>
    </row>
    <row r="30" spans="1:54" ht="15.75" customHeight="1">
      <c r="A30" s="775">
        <v>2</v>
      </c>
      <c r="B30" s="774" t="s">
        <v>584</v>
      </c>
      <c r="C30" s="774" t="s">
        <v>581</v>
      </c>
      <c r="D30" s="774" t="s">
        <v>585</v>
      </c>
      <c r="E30" s="774" t="s">
        <v>585</v>
      </c>
      <c r="F30" s="774" t="s">
        <v>585</v>
      </c>
      <c r="G30" s="774" t="s">
        <v>582</v>
      </c>
      <c r="H30" s="775" t="s">
        <v>1073</v>
      </c>
      <c r="I30" s="776" t="s">
        <v>1074</v>
      </c>
      <c r="J30" s="776" t="str">
        <f>VLOOKUP(D30,[5]Sheet1!$D$1:$D$65536,1,0)</f>
        <v>CGA5L1X7R1E106K160AC</v>
      </c>
      <c r="K30" s="775" t="s">
        <v>28</v>
      </c>
      <c r="L30" s="775"/>
      <c r="M30" s="775"/>
      <c r="N30" s="774" t="s">
        <v>240</v>
      </c>
      <c r="O30" s="774">
        <v>3.5060000000000001E-2</v>
      </c>
      <c r="P30" s="774"/>
      <c r="Q30" s="774"/>
      <c r="R30" s="774">
        <f t="shared" si="1"/>
        <v>3.6287099999999996E-2</v>
      </c>
      <c r="S30" s="774">
        <f t="shared" si="0"/>
        <v>9.6254999999999952E-3</v>
      </c>
      <c r="T30" s="774"/>
      <c r="U30" s="774" t="s">
        <v>1445</v>
      </c>
      <c r="V30" s="774">
        <v>2000</v>
      </c>
      <c r="W30" s="774">
        <v>16</v>
      </c>
      <c r="X30" s="777"/>
      <c r="Y30" s="777"/>
      <c r="Z30" s="801"/>
    </row>
    <row r="31" spans="1:54" s="658" customFormat="1" ht="15.5" customHeight="1">
      <c r="A31" s="775">
        <v>2</v>
      </c>
      <c r="B31" s="774" t="s">
        <v>1111</v>
      </c>
      <c r="C31" s="774" t="s">
        <v>1112</v>
      </c>
      <c r="D31" s="787" t="s">
        <v>1111</v>
      </c>
      <c r="E31" s="774" t="s">
        <v>1111</v>
      </c>
      <c r="F31" s="774" t="e">
        <v>#N/A</v>
      </c>
      <c r="G31" s="774" t="s">
        <v>1113</v>
      </c>
      <c r="H31" s="775" t="s">
        <v>1073</v>
      </c>
      <c r="I31" s="776" t="s">
        <v>1074</v>
      </c>
      <c r="J31" s="776" t="str">
        <f>VLOOKUP(D31,[5]Sheet1!$D$1:$D$65536,1,0)</f>
        <v>CGA2B3X7S2A103K050BB</v>
      </c>
      <c r="K31" s="775" t="s">
        <v>28</v>
      </c>
      <c r="L31" s="775">
        <v>4</v>
      </c>
      <c r="M31" s="775">
        <v>4</v>
      </c>
      <c r="N31" s="774" t="s">
        <v>240</v>
      </c>
      <c r="O31" s="774">
        <v>1.0999999999999999E-2</v>
      </c>
      <c r="P31" s="774"/>
      <c r="Q31" s="774"/>
      <c r="R31" s="774">
        <f t="shared" si="1"/>
        <v>1.1384999999999999E-2</v>
      </c>
      <c r="S31" s="774">
        <f t="shared" si="0"/>
        <v>0</v>
      </c>
      <c r="T31" s="774">
        <f t="shared" ref="T31:T33" si="4">R31*M31</f>
        <v>4.5539999999999997E-2</v>
      </c>
      <c r="U31" s="774" t="s">
        <v>1445</v>
      </c>
      <c r="V31" s="774"/>
      <c r="W31" s="774"/>
      <c r="X31" s="777" t="s">
        <v>1444</v>
      </c>
      <c r="Y31" s="777" t="s">
        <v>1444</v>
      </c>
      <c r="Z31" s="801" t="s">
        <v>1114</v>
      </c>
      <c r="AA31" s="753"/>
      <c r="AB31" s="753"/>
      <c r="AC31" s="753"/>
      <c r="AD31" s="753"/>
      <c r="AE31" s="753"/>
      <c r="AF31" s="753"/>
      <c r="AG31" s="753"/>
      <c r="AH31" s="753"/>
      <c r="AI31" s="753"/>
      <c r="AJ31" s="753"/>
      <c r="AK31" s="753"/>
      <c r="AL31" s="753"/>
      <c r="AM31" s="753"/>
      <c r="AN31" s="753"/>
      <c r="AO31" s="753"/>
      <c r="AP31" s="753"/>
      <c r="AQ31" s="753"/>
      <c r="AR31" s="753"/>
      <c r="AS31" s="753"/>
      <c r="AT31" s="753"/>
      <c r="AU31" s="753"/>
      <c r="AV31" s="753"/>
      <c r="AW31" s="753"/>
      <c r="AX31" s="753"/>
      <c r="AY31" s="753"/>
      <c r="AZ31" s="753"/>
      <c r="BA31" s="753"/>
      <c r="BB31" s="753"/>
    </row>
    <row r="32" spans="1:54" s="658" customFormat="1" ht="15.75" customHeight="1">
      <c r="A32" s="775">
        <v>2</v>
      </c>
      <c r="B32" s="774" t="s">
        <v>503</v>
      </c>
      <c r="C32" s="774" t="s">
        <v>504</v>
      </c>
      <c r="D32" s="787" t="s">
        <v>503</v>
      </c>
      <c r="E32" s="774" t="s">
        <v>503</v>
      </c>
      <c r="F32" s="774" t="s">
        <v>503</v>
      </c>
      <c r="G32" s="774" t="s">
        <v>1115</v>
      </c>
      <c r="H32" s="775" t="s">
        <v>1073</v>
      </c>
      <c r="I32" s="776" t="s">
        <v>1074</v>
      </c>
      <c r="J32" s="776" t="str">
        <f>VLOOKUP(D32,[5]Sheet1!$D$1:$D$65536,1,0)</f>
        <v>GCM1885C2A221JA16D</v>
      </c>
      <c r="K32" s="775" t="s">
        <v>28</v>
      </c>
      <c r="L32" s="775">
        <v>1</v>
      </c>
      <c r="M32" s="775">
        <v>1</v>
      </c>
      <c r="N32" s="774" t="s">
        <v>237</v>
      </c>
      <c r="O32" s="774">
        <v>4.7999999999999996E-3</v>
      </c>
      <c r="P32" s="774">
        <f>VLOOKUP(D32,'EEBOM Feb.2nd2026'!$D:$N,11,0)</f>
        <v>4.7999999999999996E-3</v>
      </c>
      <c r="Q32" s="774">
        <f>O32-P32</f>
        <v>0</v>
      </c>
      <c r="R32" s="774">
        <f t="shared" si="1"/>
        <v>4.9679999999999993E-3</v>
      </c>
      <c r="S32" s="774">
        <f t="shared" si="0"/>
        <v>0</v>
      </c>
      <c r="T32" s="774">
        <f t="shared" si="4"/>
        <v>4.9679999999999993E-3</v>
      </c>
      <c r="U32" s="774" t="s">
        <v>1086</v>
      </c>
      <c r="V32" s="774">
        <v>10000</v>
      </c>
      <c r="W32" s="774">
        <v>12</v>
      </c>
      <c r="X32" s="777" t="s">
        <v>1455</v>
      </c>
      <c r="Y32" s="777" t="s">
        <v>1448</v>
      </c>
      <c r="Z32" s="801" t="s">
        <v>506</v>
      </c>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row>
    <row r="33" spans="1:54" s="658" customFormat="1" ht="15.75" customHeight="1">
      <c r="A33" s="775">
        <v>2</v>
      </c>
      <c r="B33" s="774" t="s">
        <v>311</v>
      </c>
      <c r="C33" s="774" t="s">
        <v>307</v>
      </c>
      <c r="D33" s="787" t="s">
        <v>311</v>
      </c>
      <c r="E33" s="774" t="s">
        <v>311</v>
      </c>
      <c r="F33" s="774" t="s">
        <v>311</v>
      </c>
      <c r="G33" s="774" t="s">
        <v>1116</v>
      </c>
      <c r="H33" s="775" t="s">
        <v>1073</v>
      </c>
      <c r="I33" s="776" t="s">
        <v>1074</v>
      </c>
      <c r="J33" s="776" t="str">
        <f>VLOOKUP(D33,[5]Sheet1!$D$1:$D$65536,1,0)</f>
        <v>CL10B105KA8VPNC</v>
      </c>
      <c r="K33" s="775" t="s">
        <v>28</v>
      </c>
      <c r="L33" s="775">
        <v>5</v>
      </c>
      <c r="M33" s="775">
        <v>5</v>
      </c>
      <c r="N33" s="774" t="s">
        <v>275</v>
      </c>
      <c r="O33" s="774">
        <v>4.8999999999999998E-3</v>
      </c>
      <c r="P33" s="774"/>
      <c r="Q33" s="774"/>
      <c r="R33" s="774">
        <f t="shared" si="1"/>
        <v>5.0714999999999996E-3</v>
      </c>
      <c r="S33" s="774">
        <f t="shared" si="0"/>
        <v>3.3119999999999998E-3</v>
      </c>
      <c r="T33" s="774">
        <f t="shared" si="4"/>
        <v>2.5357499999999998E-2</v>
      </c>
      <c r="U33" s="774" t="s">
        <v>1443</v>
      </c>
      <c r="V33" s="774">
        <v>2000</v>
      </c>
      <c r="W33" s="774">
        <v>18</v>
      </c>
      <c r="X33" s="777" t="s">
        <v>1444</v>
      </c>
      <c r="Y33" s="777" t="s">
        <v>1444</v>
      </c>
      <c r="Z33" s="801" t="s">
        <v>1117</v>
      </c>
      <c r="AA33" s="753"/>
      <c r="AB33" s="753"/>
      <c r="AC33" s="753"/>
      <c r="AD33" s="753"/>
      <c r="AE33" s="753"/>
      <c r="AF33" s="753"/>
      <c r="AG33" s="753"/>
      <c r="AH33" s="753"/>
      <c r="AI33" s="753"/>
      <c r="AJ33" s="753"/>
      <c r="AK33" s="753"/>
      <c r="AL33" s="753"/>
      <c r="AM33" s="753"/>
      <c r="AN33" s="753"/>
      <c r="AO33" s="753"/>
      <c r="AP33" s="753"/>
      <c r="AQ33" s="753"/>
      <c r="AR33" s="753"/>
      <c r="AS33" s="753"/>
      <c r="AT33" s="753"/>
      <c r="AU33" s="753"/>
      <c r="AV33" s="753"/>
      <c r="AW33" s="753"/>
      <c r="AX33" s="753"/>
      <c r="AY33" s="753"/>
      <c r="AZ33" s="753"/>
      <c r="BA33" s="753"/>
      <c r="BB33" s="753"/>
    </row>
    <row r="34" spans="1:54" ht="15.75" customHeight="1">
      <c r="A34" s="775">
        <v>2</v>
      </c>
      <c r="B34" s="774" t="s">
        <v>310</v>
      </c>
      <c r="C34" s="774" t="s">
        <v>307</v>
      </c>
      <c r="D34" s="774" t="s">
        <v>310</v>
      </c>
      <c r="E34" s="774" t="s">
        <v>310</v>
      </c>
      <c r="F34" s="774" t="s">
        <v>310</v>
      </c>
      <c r="G34" s="774" t="s">
        <v>1116</v>
      </c>
      <c r="H34" s="775" t="s">
        <v>1073</v>
      </c>
      <c r="I34" s="776" t="s">
        <v>1074</v>
      </c>
      <c r="J34" s="776" t="str">
        <f>VLOOKUP(D34,[5]Sheet1!$D$1:$D$65536,1,0)</f>
        <v>GCM188R71E105KA64D</v>
      </c>
      <c r="K34" s="775" t="s">
        <v>28</v>
      </c>
      <c r="L34" s="775"/>
      <c r="M34" s="775"/>
      <c r="N34" s="774" t="s">
        <v>237</v>
      </c>
      <c r="O34" s="774">
        <v>5.0000000000000001E-3</v>
      </c>
      <c r="P34" s="774"/>
      <c r="Q34" s="774"/>
      <c r="R34" s="774">
        <f t="shared" si="1"/>
        <v>5.1749999999999999E-3</v>
      </c>
      <c r="S34" s="774">
        <f t="shared" si="0"/>
        <v>3.4155000000000001E-3</v>
      </c>
      <c r="T34" s="774"/>
      <c r="U34" s="774" t="s">
        <v>1086</v>
      </c>
      <c r="V34" s="774">
        <v>10000</v>
      </c>
      <c r="W34" s="774">
        <v>12</v>
      </c>
      <c r="X34" s="777"/>
      <c r="Y34" s="777"/>
      <c r="Z34" s="801"/>
    </row>
    <row r="35" spans="1:54" ht="15.75" customHeight="1">
      <c r="A35" s="775">
        <v>2</v>
      </c>
      <c r="B35" s="774" t="s">
        <v>306</v>
      </c>
      <c r="C35" s="774" t="s">
        <v>307</v>
      </c>
      <c r="D35" s="774" t="s">
        <v>306</v>
      </c>
      <c r="E35" s="774" t="s">
        <v>306</v>
      </c>
      <c r="F35" s="774" t="s">
        <v>306</v>
      </c>
      <c r="G35" s="774" t="s">
        <v>1116</v>
      </c>
      <c r="H35" s="775" t="s">
        <v>1073</v>
      </c>
      <c r="I35" s="776" t="s">
        <v>1074</v>
      </c>
      <c r="J35" s="776" t="str">
        <f>VLOOKUP(D35,[5]Sheet1!$D$1:$D$65536,1,0)</f>
        <v>CGA3E1X7R1E105K080AC</v>
      </c>
      <c r="K35" s="775" t="s">
        <v>28</v>
      </c>
      <c r="L35" s="775"/>
      <c r="M35" s="775"/>
      <c r="N35" s="774" t="s">
        <v>240</v>
      </c>
      <c r="O35" s="774">
        <v>1.6999999999999999E-3</v>
      </c>
      <c r="P35" s="774"/>
      <c r="Q35" s="774"/>
      <c r="R35" s="774">
        <f t="shared" si="1"/>
        <v>1.7594999999999998E-3</v>
      </c>
      <c r="S35" s="774">
        <f t="shared" si="0"/>
        <v>0</v>
      </c>
      <c r="T35" s="774"/>
      <c r="U35" s="774" t="s">
        <v>1443</v>
      </c>
      <c r="V35" s="774">
        <v>4000</v>
      </c>
      <c r="W35" s="774">
        <v>20</v>
      </c>
      <c r="X35" s="777"/>
      <c r="Y35" s="777"/>
      <c r="Z35" s="801"/>
    </row>
    <row r="36" spans="1:54" s="658" customFormat="1" ht="15.75" customHeight="1">
      <c r="A36" s="775">
        <v>2</v>
      </c>
      <c r="B36" s="774" t="s">
        <v>430</v>
      </c>
      <c r="C36" s="774" t="s">
        <v>427</v>
      </c>
      <c r="D36" s="787" t="s">
        <v>431</v>
      </c>
      <c r="E36" s="774" t="s">
        <v>431</v>
      </c>
      <c r="F36" s="774" t="s">
        <v>431</v>
      </c>
      <c r="G36" s="774" t="s">
        <v>428</v>
      </c>
      <c r="H36" s="775" t="s">
        <v>1073</v>
      </c>
      <c r="I36" s="776" t="s">
        <v>1074</v>
      </c>
      <c r="J36" s="776" t="str">
        <f>VLOOKUP(D36,[5]Sheet1!$D$1:$D$65536,1,0)</f>
        <v>GCJ188C70J475KE02D</v>
      </c>
      <c r="K36" s="775" t="s">
        <v>28</v>
      </c>
      <c r="L36" s="775">
        <v>4</v>
      </c>
      <c r="M36" s="775">
        <v>4</v>
      </c>
      <c r="N36" s="774" t="s">
        <v>237</v>
      </c>
      <c r="O36" s="774">
        <v>2.9000000000000001E-2</v>
      </c>
      <c r="P36" s="774">
        <f>VLOOKUP(D36,'EEBOM Feb.2nd2026'!$D:$N,11,0)</f>
        <v>2.9000000000000001E-2</v>
      </c>
      <c r="Q36" s="774">
        <f>O36-P36</f>
        <v>0</v>
      </c>
      <c r="R36" s="774">
        <f t="shared" si="1"/>
        <v>3.0015E-2</v>
      </c>
      <c r="S36" s="774">
        <f t="shared" si="0"/>
        <v>1.8630000000000001E-2</v>
      </c>
      <c r="T36" s="774">
        <f>R36*M36</f>
        <v>0.12006</v>
      </c>
      <c r="U36" s="774" t="s">
        <v>1086</v>
      </c>
      <c r="V36" s="774">
        <v>10000</v>
      </c>
      <c r="W36" s="774">
        <v>12</v>
      </c>
      <c r="X36" s="777" t="s">
        <v>1455</v>
      </c>
      <c r="Y36" s="777" t="s">
        <v>1448</v>
      </c>
      <c r="Z36" s="801" t="s">
        <v>1118</v>
      </c>
      <c r="AA36" s="753"/>
      <c r="AB36" s="753"/>
      <c r="AC36" s="753"/>
      <c r="AD36" s="753"/>
      <c r="AE36" s="753"/>
      <c r="AF36" s="753"/>
      <c r="AG36" s="753"/>
      <c r="AH36" s="753"/>
      <c r="AI36" s="753"/>
      <c r="AJ36" s="753"/>
      <c r="AK36" s="753"/>
      <c r="AL36" s="753"/>
      <c r="AM36" s="753"/>
      <c r="AN36" s="753"/>
      <c r="AO36" s="753"/>
      <c r="AP36" s="753"/>
      <c r="AQ36" s="753"/>
      <c r="AR36" s="753"/>
      <c r="AS36" s="753"/>
      <c r="AT36" s="753"/>
      <c r="AU36" s="753"/>
      <c r="AV36" s="753"/>
      <c r="AW36" s="753"/>
      <c r="AX36" s="753"/>
      <c r="AY36" s="753"/>
      <c r="AZ36" s="753"/>
      <c r="BA36" s="753"/>
      <c r="BB36" s="753"/>
    </row>
    <row r="37" spans="1:54" ht="15.75" customHeight="1">
      <c r="A37" s="775">
        <v>2</v>
      </c>
      <c r="B37" s="774" t="s">
        <v>426</v>
      </c>
      <c r="C37" s="774" t="s">
        <v>427</v>
      </c>
      <c r="D37" s="774" t="s">
        <v>426</v>
      </c>
      <c r="E37" s="774" t="s">
        <v>426</v>
      </c>
      <c r="F37" s="774" t="s">
        <v>426</v>
      </c>
      <c r="G37" s="774" t="s">
        <v>428</v>
      </c>
      <c r="H37" s="775" t="s">
        <v>1073</v>
      </c>
      <c r="I37" s="776" t="s">
        <v>1074</v>
      </c>
      <c r="J37" s="776" t="str">
        <f>VLOOKUP(D37,[5]Sheet1!$D$1:$D$65536,1,0)</f>
        <v>GCJ188C70J475KE02J</v>
      </c>
      <c r="K37" s="775" t="s">
        <v>28</v>
      </c>
      <c r="L37" s="775"/>
      <c r="M37" s="775"/>
      <c r="N37" s="774" t="s">
        <v>237</v>
      </c>
      <c r="O37" s="774">
        <v>1.0999999999999999E-2</v>
      </c>
      <c r="P37" s="774"/>
      <c r="Q37" s="774"/>
      <c r="R37" s="774">
        <f t="shared" si="1"/>
        <v>1.1384999999999999E-2</v>
      </c>
      <c r="S37" s="774">
        <f t="shared" si="0"/>
        <v>0</v>
      </c>
      <c r="T37" s="774"/>
      <c r="U37" s="774" t="s">
        <v>1086</v>
      </c>
      <c r="V37" s="774">
        <v>10000</v>
      </c>
      <c r="W37" s="774">
        <v>12</v>
      </c>
      <c r="X37" s="777"/>
      <c r="Y37" s="777"/>
      <c r="Z37" s="801"/>
    </row>
    <row r="38" spans="1:54" s="658" customFormat="1" ht="15.75" customHeight="1">
      <c r="A38" s="775">
        <v>2</v>
      </c>
      <c r="B38" s="774" t="s">
        <v>552</v>
      </c>
      <c r="C38" s="774" t="s">
        <v>551</v>
      </c>
      <c r="D38" s="787" t="s">
        <v>552</v>
      </c>
      <c r="E38" s="774" t="s">
        <v>552</v>
      </c>
      <c r="F38" s="774" t="s">
        <v>552</v>
      </c>
      <c r="G38" s="774" t="s">
        <v>553</v>
      </c>
      <c r="H38" s="775" t="s">
        <v>1073</v>
      </c>
      <c r="I38" s="776" t="s">
        <v>1074</v>
      </c>
      <c r="J38" s="776" t="str">
        <f>VLOOKUP(D38,[5]Sheet1!$D$1:$D$65536,1,0)</f>
        <v>KAM05CR71A105KH</v>
      </c>
      <c r="K38" s="775" t="s">
        <v>28</v>
      </c>
      <c r="L38" s="775">
        <v>7</v>
      </c>
      <c r="M38" s="775">
        <v>7</v>
      </c>
      <c r="N38" s="774" t="s">
        <v>554</v>
      </c>
      <c r="O38" s="774">
        <v>1.6999999999999999E-3</v>
      </c>
      <c r="P38" s="774">
        <f>VLOOKUP(D38,'EEBOM Feb.2nd2026'!$D:$N,11,0)</f>
        <v>8.2500000000000004E-3</v>
      </c>
      <c r="Q38" s="774">
        <f>O38-P38</f>
        <v>-6.5500000000000003E-3</v>
      </c>
      <c r="R38" s="774">
        <f t="shared" si="1"/>
        <v>1.7594999999999998E-3</v>
      </c>
      <c r="S38" s="774">
        <f t="shared" si="0"/>
        <v>0</v>
      </c>
      <c r="T38" s="774">
        <f>R38*M38</f>
        <v>1.2316499999999998E-2</v>
      </c>
      <c r="U38" s="774" t="s">
        <v>1119</v>
      </c>
      <c r="V38" s="774">
        <v>10000</v>
      </c>
      <c r="W38" s="774">
        <v>20</v>
      </c>
      <c r="X38" s="777" t="s">
        <v>1456</v>
      </c>
      <c r="Y38" s="777" t="s">
        <v>1448</v>
      </c>
      <c r="Z38" s="801" t="s">
        <v>1120</v>
      </c>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3"/>
      <c r="AY38" s="753"/>
      <c r="AZ38" s="753"/>
      <c r="BA38" s="753"/>
      <c r="BB38" s="753"/>
    </row>
    <row r="39" spans="1:54" ht="15.75" customHeight="1">
      <c r="A39" s="775">
        <v>2</v>
      </c>
      <c r="B39" s="774" t="s">
        <v>609</v>
      </c>
      <c r="C39" s="774" t="s">
        <v>605</v>
      </c>
      <c r="D39" s="774" t="s">
        <v>1121</v>
      </c>
      <c r="E39" s="774" t="s">
        <v>609</v>
      </c>
      <c r="F39" s="774" t="s">
        <v>609</v>
      </c>
      <c r="G39" s="774" t="s">
        <v>607</v>
      </c>
      <c r="H39" s="775" t="s">
        <v>1073</v>
      </c>
      <c r="I39" s="776" t="s">
        <v>1074</v>
      </c>
      <c r="J39" s="776" t="str">
        <f>VLOOKUP(D39,[5]Sheet1!$D$1:$D$65536,1,0)</f>
        <v>MCASU063SCG180JFNA01</v>
      </c>
      <c r="K39" s="775" t="s">
        <v>28</v>
      </c>
      <c r="L39" s="775">
        <v>2</v>
      </c>
      <c r="M39" s="775"/>
      <c r="N39" s="774" t="s">
        <v>257</v>
      </c>
      <c r="O39" s="774">
        <v>1.7700000000000001E-3</v>
      </c>
      <c r="P39" s="774"/>
      <c r="Q39" s="774"/>
      <c r="R39" s="774">
        <f t="shared" si="1"/>
        <v>1.8319499999999999E-3</v>
      </c>
      <c r="S39" s="774">
        <f t="shared" si="0"/>
        <v>7.2450000000000162E-5</v>
      </c>
      <c r="T39" s="774"/>
      <c r="U39" s="774" t="s">
        <v>1122</v>
      </c>
      <c r="V39" s="774">
        <v>150000</v>
      </c>
      <c r="W39" s="774">
        <v>12</v>
      </c>
      <c r="X39" s="777"/>
      <c r="Y39" s="777"/>
      <c r="Z39" s="801"/>
    </row>
    <row r="40" spans="1:54" s="658" customFormat="1" ht="15.75" customHeight="1">
      <c r="A40" s="775">
        <v>2</v>
      </c>
      <c r="B40" s="774" t="s">
        <v>610</v>
      </c>
      <c r="C40" s="774" t="s">
        <v>605</v>
      </c>
      <c r="D40" s="787" t="s">
        <v>610</v>
      </c>
      <c r="E40" s="774" t="s">
        <v>610</v>
      </c>
      <c r="F40" s="774" t="s">
        <v>610</v>
      </c>
      <c r="G40" s="774" t="s">
        <v>607</v>
      </c>
      <c r="H40" s="775" t="s">
        <v>1073</v>
      </c>
      <c r="I40" s="776" t="s">
        <v>1074</v>
      </c>
      <c r="J40" s="776" t="str">
        <f>VLOOKUP(D40,[5]Sheet1!$D$1:$D$65536,1,0)</f>
        <v>GCM0335C1H180JA16D</v>
      </c>
      <c r="K40" s="775" t="s">
        <v>28</v>
      </c>
      <c r="L40" s="775"/>
      <c r="M40" s="775">
        <v>2</v>
      </c>
      <c r="N40" s="774" t="s">
        <v>237</v>
      </c>
      <c r="O40" s="774">
        <v>1.6999999999999999E-3</v>
      </c>
      <c r="P40" s="774">
        <f>VLOOKUP(D40,'EEBOM Feb.2nd2026'!$D:$N,11,0)</f>
        <v>1.6999999999999999E-3</v>
      </c>
      <c r="Q40" s="774">
        <f>O40-P40</f>
        <v>0</v>
      </c>
      <c r="R40" s="774">
        <f t="shared" si="1"/>
        <v>1.7594999999999998E-3</v>
      </c>
      <c r="S40" s="774">
        <f t="shared" si="0"/>
        <v>0</v>
      </c>
      <c r="T40" s="774">
        <f>R40*M40</f>
        <v>3.5189999999999996E-3</v>
      </c>
      <c r="U40" s="774" t="s">
        <v>1089</v>
      </c>
      <c r="V40" s="774">
        <v>10000</v>
      </c>
      <c r="W40" s="774">
        <v>12</v>
      </c>
      <c r="X40" s="777" t="s">
        <v>1447</v>
      </c>
      <c r="Y40" s="777" t="s">
        <v>1448</v>
      </c>
      <c r="Z40" s="801"/>
      <c r="AA40" s="753"/>
      <c r="AB40" s="753"/>
      <c r="AC40" s="753"/>
      <c r="AD40" s="753"/>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row>
    <row r="41" spans="1:54" ht="15.75" customHeight="1">
      <c r="A41" s="775">
        <v>2</v>
      </c>
      <c r="B41" s="774" t="s">
        <v>611</v>
      </c>
      <c r="C41" s="774" t="s">
        <v>605</v>
      </c>
      <c r="D41" s="774" t="s">
        <v>611</v>
      </c>
      <c r="E41" s="774" t="s">
        <v>611</v>
      </c>
      <c r="F41" s="774" t="s">
        <v>611</v>
      </c>
      <c r="G41" s="774" t="s">
        <v>607</v>
      </c>
      <c r="H41" s="775" t="s">
        <v>1073</v>
      </c>
      <c r="I41" s="776" t="s">
        <v>1074</v>
      </c>
      <c r="J41" s="776" t="str">
        <f>VLOOKUP(D41,[5]Sheet1!$D$1:$D$65536,1,0)</f>
        <v>GCM0335C1H180JA16J</v>
      </c>
      <c r="K41" s="775" t="s">
        <v>28</v>
      </c>
      <c r="L41" s="775"/>
      <c r="M41" s="775"/>
      <c r="N41" s="774" t="s">
        <v>237</v>
      </c>
      <c r="O41" s="774">
        <v>1.6999999999999999E-3</v>
      </c>
      <c r="P41" s="774"/>
      <c r="Q41" s="774"/>
      <c r="R41" s="774">
        <f t="shared" si="1"/>
        <v>1.7594999999999998E-3</v>
      </c>
      <c r="S41" s="774">
        <f t="shared" si="0"/>
        <v>0</v>
      </c>
      <c r="T41" s="774"/>
      <c r="U41" s="774" t="s">
        <v>1089</v>
      </c>
      <c r="V41" s="774"/>
      <c r="W41" s="774"/>
      <c r="X41" s="777"/>
      <c r="Y41" s="777"/>
      <c r="Z41" s="801"/>
    </row>
    <row r="42" spans="1:54" ht="15.75" customHeight="1">
      <c r="A42" s="775">
        <v>2</v>
      </c>
      <c r="B42" s="774" t="s">
        <v>604</v>
      </c>
      <c r="C42" s="774" t="s">
        <v>605</v>
      </c>
      <c r="D42" s="774" t="s">
        <v>606</v>
      </c>
      <c r="E42" s="774" t="s">
        <v>606</v>
      </c>
      <c r="F42" s="774" t="s">
        <v>606</v>
      </c>
      <c r="G42" s="774" t="s">
        <v>607</v>
      </c>
      <c r="H42" s="775" t="s">
        <v>1073</v>
      </c>
      <c r="I42" s="776" t="s">
        <v>1074</v>
      </c>
      <c r="J42" s="776" t="str">
        <f>VLOOKUP(D42,[5]Sheet1!$D$1:$D$65536,1,0)</f>
        <v>CGA1A2C0G1H180J030BA</v>
      </c>
      <c r="K42" s="775" t="s">
        <v>28</v>
      </c>
      <c r="L42" s="775"/>
      <c r="M42" s="775"/>
      <c r="N42" s="774" t="s">
        <v>240</v>
      </c>
      <c r="O42" s="774">
        <v>3.1080000000000001E-3</v>
      </c>
      <c r="P42" s="774"/>
      <c r="Q42" s="774"/>
      <c r="R42" s="774">
        <f t="shared" si="1"/>
        <v>3.2167799999999998E-3</v>
      </c>
      <c r="S42" s="774">
        <f t="shared" si="0"/>
        <v>1.45728E-3</v>
      </c>
      <c r="T42" s="774"/>
      <c r="U42" s="774" t="s">
        <v>1443</v>
      </c>
      <c r="V42" s="774"/>
      <c r="W42" s="774"/>
      <c r="X42" s="777"/>
      <c r="Y42" s="777"/>
      <c r="Z42" s="801"/>
    </row>
    <row r="43" spans="1:54" s="658" customFormat="1" ht="25" customHeight="1">
      <c r="A43" s="775">
        <v>2</v>
      </c>
      <c r="B43" s="781" t="s">
        <v>356</v>
      </c>
      <c r="C43" s="781" t="s">
        <v>352</v>
      </c>
      <c r="D43" s="781" t="s">
        <v>356</v>
      </c>
      <c r="E43" s="774" t="s">
        <v>356</v>
      </c>
      <c r="F43" s="774" t="s">
        <v>356</v>
      </c>
      <c r="G43" s="781" t="s">
        <v>354</v>
      </c>
      <c r="H43" s="782" t="s">
        <v>1073</v>
      </c>
      <c r="I43" s="783" t="s">
        <v>1074</v>
      </c>
      <c r="J43" s="783" t="e">
        <f>VLOOKUP(D43,[5]Sheet1!$D$1:$D$65536,1,0)</f>
        <v>#N/A</v>
      </c>
      <c r="K43" s="782" t="s">
        <v>28</v>
      </c>
      <c r="L43" s="782"/>
      <c r="M43" s="782"/>
      <c r="N43" s="781" t="s">
        <v>275</v>
      </c>
      <c r="O43" s="781">
        <v>0.153333</v>
      </c>
      <c r="P43" s="774">
        <f>VLOOKUP(D43,'EEBOM Feb.2nd2026'!$D:$N,11,0)</f>
        <v>0.153333</v>
      </c>
      <c r="Q43" s="774">
        <f>O43-P43</f>
        <v>0</v>
      </c>
      <c r="R43" s="781">
        <f t="shared" si="1"/>
        <v>0.158699655</v>
      </c>
      <c r="S43" s="774">
        <f t="shared" si="0"/>
        <v>0</v>
      </c>
      <c r="T43" s="781"/>
      <c r="U43" s="774" t="s">
        <v>1443</v>
      </c>
      <c r="V43" s="774">
        <v>1000</v>
      </c>
      <c r="W43" s="774">
        <v>18</v>
      </c>
      <c r="X43" s="777" t="s">
        <v>1454</v>
      </c>
      <c r="Y43" s="784" t="s">
        <v>1448</v>
      </c>
      <c r="Z43" s="801" t="s">
        <v>1123</v>
      </c>
      <c r="AA43" s="753" t="s">
        <v>1538</v>
      </c>
      <c r="AB43" s="802" t="str">
        <f>VLOOKUP(D43,[6]删除物料!$C$3:$F$14,4,0)</f>
        <v>位号不变，主料删除</v>
      </c>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row>
    <row r="44" spans="1:54" ht="15.75" customHeight="1">
      <c r="A44" s="775">
        <v>2</v>
      </c>
      <c r="B44" s="781" t="s">
        <v>353</v>
      </c>
      <c r="C44" s="781" t="s">
        <v>352</v>
      </c>
      <c r="D44" s="781" t="s">
        <v>353</v>
      </c>
      <c r="E44" s="774" t="s">
        <v>353</v>
      </c>
      <c r="F44" s="774" t="s">
        <v>353</v>
      </c>
      <c r="G44" s="781" t="s">
        <v>354</v>
      </c>
      <c r="H44" s="782" t="s">
        <v>1073</v>
      </c>
      <c r="I44" s="783" t="s">
        <v>1074</v>
      </c>
      <c r="J44" s="783" t="e">
        <f>VLOOKUP(D44,[5]Sheet1!$D$1:$D$65536,1,0)</f>
        <v>#N/A</v>
      </c>
      <c r="K44" s="782" t="s">
        <v>28</v>
      </c>
      <c r="L44" s="775"/>
      <c r="M44" s="782"/>
      <c r="N44" s="781" t="s">
        <v>237</v>
      </c>
      <c r="O44" s="781">
        <v>0.19800000000000001</v>
      </c>
      <c r="P44" s="774"/>
      <c r="Q44" s="774"/>
      <c r="R44" s="781">
        <f t="shared" si="1"/>
        <v>0.20493</v>
      </c>
      <c r="S44" s="774">
        <f t="shared" si="0"/>
        <v>4.6230345000000006E-2</v>
      </c>
      <c r="T44" s="781"/>
      <c r="U44" s="774" t="s">
        <v>237</v>
      </c>
      <c r="V44" s="774">
        <v>10000</v>
      </c>
      <c r="W44" s="774">
        <v>12</v>
      </c>
      <c r="X44" s="777"/>
      <c r="Y44" s="784"/>
      <c r="Z44" s="801"/>
      <c r="AA44" s="753" t="s">
        <v>1538</v>
      </c>
      <c r="AB44" s="802" t="str">
        <f>VLOOKUP(D44,[6]删除物料!$C$3:$F$14,4,0)</f>
        <v>位号不变，替代料删除</v>
      </c>
    </row>
    <row r="45" spans="1:54" ht="15.75" customHeight="1">
      <c r="A45" s="775">
        <v>2</v>
      </c>
      <c r="B45" s="774" t="s">
        <v>256</v>
      </c>
      <c r="C45" s="774" t="s">
        <v>249</v>
      </c>
      <c r="D45" s="774" t="s">
        <v>256</v>
      </c>
      <c r="E45" s="774" t="s">
        <v>256</v>
      </c>
      <c r="F45" s="774" t="s">
        <v>256</v>
      </c>
      <c r="G45" s="774" t="s">
        <v>1124</v>
      </c>
      <c r="H45" s="775" t="s">
        <v>1073</v>
      </c>
      <c r="I45" s="776" t="s">
        <v>1074</v>
      </c>
      <c r="J45" s="776" t="str">
        <f>VLOOKUP(D45,[5]Sheet1!$D$1:$D$65536,1,0)</f>
        <v>HMK107B7472KAHT</v>
      </c>
      <c r="K45" s="775" t="s">
        <v>28</v>
      </c>
      <c r="L45" s="775">
        <v>2</v>
      </c>
      <c r="M45" s="775"/>
      <c r="N45" s="774" t="s">
        <v>257</v>
      </c>
      <c r="O45" s="774">
        <v>1.6999999999999999E-3</v>
      </c>
      <c r="P45" s="774"/>
      <c r="Q45" s="774"/>
      <c r="R45" s="774">
        <f t="shared" si="1"/>
        <v>1.7594999999999998E-3</v>
      </c>
      <c r="S45" s="774">
        <f t="shared" si="0"/>
        <v>0</v>
      </c>
      <c r="T45" s="774"/>
      <c r="U45" s="774" t="s">
        <v>1122</v>
      </c>
      <c r="V45" s="774">
        <v>40000</v>
      </c>
      <c r="W45" s="774">
        <v>12</v>
      </c>
      <c r="X45" s="777"/>
      <c r="Y45" s="777"/>
      <c r="Z45" s="801" t="s">
        <v>1125</v>
      </c>
    </row>
    <row r="46" spans="1:54" ht="15.75" customHeight="1">
      <c r="A46" s="775">
        <v>2</v>
      </c>
      <c r="B46" s="774" t="s">
        <v>258</v>
      </c>
      <c r="C46" s="774" t="s">
        <v>249</v>
      </c>
      <c r="D46" s="774" t="s">
        <v>258</v>
      </c>
      <c r="E46" s="774" t="s">
        <v>258</v>
      </c>
      <c r="F46" s="774" t="s">
        <v>258</v>
      </c>
      <c r="G46" s="774" t="s">
        <v>1124</v>
      </c>
      <c r="H46" s="775" t="s">
        <v>1073</v>
      </c>
      <c r="I46" s="776" t="s">
        <v>1074</v>
      </c>
      <c r="J46" s="776" t="str">
        <f>VLOOKUP(D46,[5]Sheet1!$D$1:$D$65536,1,0)</f>
        <v>MCASH168SB7472KTNA01</v>
      </c>
      <c r="K46" s="775" t="s">
        <v>28</v>
      </c>
      <c r="L46" s="775"/>
      <c r="M46" s="775"/>
      <c r="N46" s="774" t="s">
        <v>257</v>
      </c>
      <c r="O46" s="774">
        <v>6.3E-3</v>
      </c>
      <c r="P46" s="774"/>
      <c r="Q46" s="774"/>
      <c r="R46" s="774">
        <f t="shared" si="1"/>
        <v>6.5204999999999994E-3</v>
      </c>
      <c r="S46" s="774">
        <f t="shared" si="0"/>
        <v>4.7609999999999996E-3</v>
      </c>
      <c r="T46" s="774"/>
      <c r="U46" s="774" t="s">
        <v>1122</v>
      </c>
      <c r="V46" s="774">
        <v>40000</v>
      </c>
      <c r="W46" s="774">
        <v>12</v>
      </c>
      <c r="X46" s="777"/>
      <c r="Y46" s="777"/>
      <c r="Z46" s="801" t="s">
        <v>1125</v>
      </c>
    </row>
    <row r="47" spans="1:54" ht="15.75" customHeight="1">
      <c r="A47" s="775">
        <v>2</v>
      </c>
      <c r="B47" s="774" t="s">
        <v>253</v>
      </c>
      <c r="C47" s="774" t="s">
        <v>249</v>
      </c>
      <c r="D47" s="774" t="s">
        <v>253</v>
      </c>
      <c r="E47" s="774" t="s">
        <v>253</v>
      </c>
      <c r="F47" s="774" t="s">
        <v>253</v>
      </c>
      <c r="G47" s="774" t="s">
        <v>1124</v>
      </c>
      <c r="H47" s="775" t="s">
        <v>1073</v>
      </c>
      <c r="I47" s="776" t="s">
        <v>1074</v>
      </c>
      <c r="J47" s="776" t="str">
        <f>VLOOKUP(D47,[5]Sheet1!$D$1:$D$65536,1,0)</f>
        <v>C0603C472K1RACAUTO</v>
      </c>
      <c r="K47" s="775" t="s">
        <v>28</v>
      </c>
      <c r="L47" s="775"/>
      <c r="M47" s="775"/>
      <c r="N47" s="774" t="s">
        <v>254</v>
      </c>
      <c r="O47" s="774">
        <v>1.6999999999999999E-3</v>
      </c>
      <c r="P47" s="774"/>
      <c r="Q47" s="774"/>
      <c r="R47" s="774">
        <f t="shared" si="1"/>
        <v>1.7594999999999998E-3</v>
      </c>
      <c r="S47" s="774">
        <f t="shared" si="0"/>
        <v>0</v>
      </c>
      <c r="T47" s="774"/>
      <c r="U47" s="774" t="s">
        <v>1127</v>
      </c>
      <c r="V47" s="774"/>
      <c r="W47" s="774"/>
      <c r="X47" s="777"/>
      <c r="Y47" s="777"/>
      <c r="Z47" s="801"/>
    </row>
    <row r="48" spans="1:54" s="658" customFormat="1" ht="15.75" customHeight="1">
      <c r="A48" s="775">
        <v>2</v>
      </c>
      <c r="B48" s="774" t="s">
        <v>255</v>
      </c>
      <c r="C48" s="774" t="s">
        <v>249</v>
      </c>
      <c r="D48" s="787" t="s">
        <v>255</v>
      </c>
      <c r="E48" s="774" t="s">
        <v>255</v>
      </c>
      <c r="F48" s="774" t="s">
        <v>255</v>
      </c>
      <c r="G48" s="774" t="s">
        <v>1124</v>
      </c>
      <c r="H48" s="775" t="s">
        <v>1073</v>
      </c>
      <c r="I48" s="776" t="s">
        <v>1074</v>
      </c>
      <c r="J48" s="776" t="str">
        <f>VLOOKUP(D48,[5]Sheet1!$D$1:$D$65536,1,0)</f>
        <v>GCM188R72A472KA37D</v>
      </c>
      <c r="K48" s="775" t="s">
        <v>28</v>
      </c>
      <c r="L48" s="775"/>
      <c r="M48" s="775">
        <v>2</v>
      </c>
      <c r="N48" s="774" t="s">
        <v>237</v>
      </c>
      <c r="O48" s="774">
        <v>2.7000000000000001E-3</v>
      </c>
      <c r="P48" s="774">
        <f>VLOOKUP(D48,'EEBOM Feb.2nd2026'!$D:$N,11,0)</f>
        <v>2.7000000000000001E-3</v>
      </c>
      <c r="Q48" s="774">
        <f>O48-P48</f>
        <v>0</v>
      </c>
      <c r="R48" s="774">
        <f t="shared" si="1"/>
        <v>2.7945000000000001E-3</v>
      </c>
      <c r="S48" s="774">
        <f t="shared" si="0"/>
        <v>1.0350000000000003E-3</v>
      </c>
      <c r="T48" s="774">
        <f>R48*M48</f>
        <v>5.5890000000000002E-3</v>
      </c>
      <c r="U48" s="774" t="s">
        <v>1086</v>
      </c>
      <c r="V48" s="774">
        <v>10000</v>
      </c>
      <c r="W48" s="774">
        <v>12</v>
      </c>
      <c r="X48" s="777" t="s">
        <v>1455</v>
      </c>
      <c r="Y48" s="777" t="s">
        <v>1448</v>
      </c>
      <c r="Z48" s="801"/>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row>
    <row r="49" spans="1:54" ht="15.75" customHeight="1">
      <c r="A49" s="775">
        <v>2</v>
      </c>
      <c r="B49" s="774" t="s">
        <v>250</v>
      </c>
      <c r="C49" s="774" t="s">
        <v>249</v>
      </c>
      <c r="D49" s="774" t="s">
        <v>250</v>
      </c>
      <c r="E49" s="774" t="s">
        <v>250</v>
      </c>
      <c r="F49" s="774" t="s">
        <v>250</v>
      </c>
      <c r="G49" s="774" t="s">
        <v>1124</v>
      </c>
      <c r="H49" s="775" t="s">
        <v>1073</v>
      </c>
      <c r="I49" s="776" t="s">
        <v>1074</v>
      </c>
      <c r="J49" s="776" t="str">
        <f>VLOOKUP(D49,[5]Sheet1!$D$1:$D$65536,1,0)</f>
        <v>CGA3E2X7R2A472K080AA</v>
      </c>
      <c r="K49" s="775" t="s">
        <v>28</v>
      </c>
      <c r="L49" s="775"/>
      <c r="M49" s="775"/>
      <c r="N49" s="774" t="s">
        <v>240</v>
      </c>
      <c r="O49" s="774">
        <v>3.0000000000000001E-3</v>
      </c>
      <c r="P49" s="774"/>
      <c r="Q49" s="774"/>
      <c r="R49" s="774">
        <f t="shared" si="1"/>
        <v>3.1049999999999997E-3</v>
      </c>
      <c r="S49" s="774">
        <f t="shared" si="0"/>
        <v>1.3454999999999999E-3</v>
      </c>
      <c r="T49" s="774"/>
      <c r="U49" s="774" t="s">
        <v>1445</v>
      </c>
      <c r="V49" s="774"/>
      <c r="W49" s="774"/>
      <c r="X49" s="777"/>
      <c r="Y49" s="777"/>
      <c r="Z49" s="801"/>
    </row>
    <row r="50" spans="1:54" ht="15.75" customHeight="1">
      <c r="A50" s="775">
        <v>2</v>
      </c>
      <c r="B50" s="774" t="s">
        <v>259</v>
      </c>
      <c r="C50" s="774" t="s">
        <v>249</v>
      </c>
      <c r="D50" s="774" t="s">
        <v>259</v>
      </c>
      <c r="E50" s="774" t="s">
        <v>259</v>
      </c>
      <c r="F50" s="774" t="s">
        <v>259</v>
      </c>
      <c r="G50" s="774" t="s">
        <v>1124</v>
      </c>
      <c r="H50" s="775" t="s">
        <v>1073</v>
      </c>
      <c r="I50" s="776" t="s">
        <v>1074</v>
      </c>
      <c r="J50" s="776" t="str">
        <f>VLOOKUP(D50,[5]Sheet1!$D$1:$D$65536,1,0)</f>
        <v>CL10B472KC8WPNC</v>
      </c>
      <c r="K50" s="775" t="s">
        <v>28</v>
      </c>
      <c r="L50" s="775"/>
      <c r="M50" s="775"/>
      <c r="N50" s="774" t="s">
        <v>260</v>
      </c>
      <c r="O50" s="774">
        <v>1.6999999999999999E-3</v>
      </c>
      <c r="P50" s="774"/>
      <c r="Q50" s="774"/>
      <c r="R50" s="774">
        <f t="shared" si="1"/>
        <v>1.7594999999999998E-3</v>
      </c>
      <c r="S50" s="774">
        <f t="shared" si="0"/>
        <v>0</v>
      </c>
      <c r="T50" s="774"/>
      <c r="U50" s="774" t="s">
        <v>1443</v>
      </c>
      <c r="V50" s="774"/>
      <c r="W50" s="774"/>
      <c r="X50" s="777"/>
      <c r="Y50" s="777"/>
      <c r="Z50" s="801"/>
    </row>
    <row r="51" spans="1:54" ht="15.75" customHeight="1">
      <c r="A51" s="775">
        <v>2</v>
      </c>
      <c r="B51" s="781" t="s">
        <v>498</v>
      </c>
      <c r="C51" s="781" t="s">
        <v>487</v>
      </c>
      <c r="D51" s="781" t="s">
        <v>498</v>
      </c>
      <c r="E51" s="774" t="s">
        <v>498</v>
      </c>
      <c r="F51" s="774" t="s">
        <v>498</v>
      </c>
      <c r="G51" s="781" t="s">
        <v>489</v>
      </c>
      <c r="H51" s="782" t="s">
        <v>1073</v>
      </c>
      <c r="I51" s="783" t="s">
        <v>1074</v>
      </c>
      <c r="J51" s="783" t="e">
        <f>VLOOKUP(D51,[5]Sheet1!$D$1:$D$65536,1,0)</f>
        <v>#N/A</v>
      </c>
      <c r="K51" s="782" t="s">
        <v>28</v>
      </c>
      <c r="L51" s="782"/>
      <c r="M51" s="782"/>
      <c r="N51" s="781" t="s">
        <v>296</v>
      </c>
      <c r="O51" s="774">
        <v>1.6999999999999999E-3</v>
      </c>
      <c r="P51" s="774"/>
      <c r="Q51" s="774"/>
      <c r="R51" s="781">
        <f t="shared" si="1"/>
        <v>1.7594999999999998E-3</v>
      </c>
      <c r="S51" s="774">
        <f t="shared" si="0"/>
        <v>0</v>
      </c>
      <c r="T51" s="781"/>
      <c r="U51" s="774" t="s">
        <v>1127</v>
      </c>
      <c r="V51" s="774"/>
      <c r="W51" s="774"/>
      <c r="X51" s="777"/>
      <c r="Y51" s="784"/>
      <c r="Z51" s="801" t="s">
        <v>1128</v>
      </c>
      <c r="AA51" s="753" t="s">
        <v>1538</v>
      </c>
      <c r="AB51" s="802" t="str">
        <f>VLOOKUP(D51,[6]删除物料!$C$3:$F$14,4,0)</f>
        <v>位号不变，主料删除</v>
      </c>
    </row>
    <row r="52" spans="1:54" s="658" customFormat="1" ht="15.75" customHeight="1">
      <c r="A52" s="775">
        <v>2</v>
      </c>
      <c r="B52" s="781" t="s">
        <v>493</v>
      </c>
      <c r="C52" s="781" t="s">
        <v>487</v>
      </c>
      <c r="D52" s="781" t="s">
        <v>493</v>
      </c>
      <c r="E52" s="774" t="s">
        <v>493</v>
      </c>
      <c r="F52" s="774" t="s">
        <v>493</v>
      </c>
      <c r="G52" s="781" t="s">
        <v>489</v>
      </c>
      <c r="H52" s="782" t="s">
        <v>1073</v>
      </c>
      <c r="I52" s="783" t="s">
        <v>1074</v>
      </c>
      <c r="J52" s="783" t="e">
        <f>VLOOKUP(D52,[5]Sheet1!$D$1:$D$65536,1,0)</f>
        <v>#N/A</v>
      </c>
      <c r="K52" s="782" t="s">
        <v>28</v>
      </c>
      <c r="L52" s="775"/>
      <c r="M52" s="782"/>
      <c r="N52" s="781" t="s">
        <v>494</v>
      </c>
      <c r="O52" s="774">
        <v>1.6999999999999999E-3</v>
      </c>
      <c r="P52" s="774">
        <f>VLOOKUP(D52,'EEBOM Feb.2nd2026'!$D:$N,11,0)</f>
        <v>2.2599999999999999E-2</v>
      </c>
      <c r="Q52" s="774">
        <f>O52-P52</f>
        <v>-2.0899999999999998E-2</v>
      </c>
      <c r="R52" s="781">
        <f t="shared" si="1"/>
        <v>1.7594999999999998E-3</v>
      </c>
      <c r="S52" s="774">
        <f t="shared" si="0"/>
        <v>0</v>
      </c>
      <c r="T52" s="781"/>
      <c r="U52" s="774" t="s">
        <v>1443</v>
      </c>
      <c r="V52" s="774">
        <v>2000</v>
      </c>
      <c r="W52" s="774">
        <v>18</v>
      </c>
      <c r="X52" s="777" t="s">
        <v>1454</v>
      </c>
      <c r="Y52" s="784" t="s">
        <v>1448</v>
      </c>
      <c r="Z52" s="801"/>
      <c r="AA52" s="753" t="s">
        <v>1538</v>
      </c>
      <c r="AB52" s="802" t="str">
        <f>VLOOKUP(D52,[6]删除物料!$C$3:$F$14,4,0)</f>
        <v>位号不变，替代料删除</v>
      </c>
      <c r="AC52" s="753"/>
      <c r="AD52" s="753"/>
      <c r="AE52" s="753"/>
      <c r="AF52" s="753"/>
      <c r="AG52" s="753"/>
      <c r="AH52" s="753"/>
      <c r="AI52" s="753"/>
      <c r="AJ52" s="753"/>
      <c r="AK52" s="753"/>
      <c r="AL52" s="753"/>
      <c r="AM52" s="753"/>
      <c r="AN52" s="753"/>
      <c r="AO52" s="753"/>
      <c r="AP52" s="753"/>
      <c r="AQ52" s="753"/>
      <c r="AR52" s="753"/>
      <c r="AS52" s="753"/>
      <c r="AT52" s="753"/>
      <c r="AU52" s="753"/>
      <c r="AV52" s="753"/>
      <c r="AW52" s="753"/>
      <c r="AX52" s="753"/>
      <c r="AY52" s="753"/>
      <c r="AZ52" s="753"/>
      <c r="BA52" s="753"/>
      <c r="BB52" s="753"/>
    </row>
    <row r="53" spans="1:54" ht="15.75" customHeight="1">
      <c r="A53" s="775">
        <v>2</v>
      </c>
      <c r="B53" s="781" t="s">
        <v>492</v>
      </c>
      <c r="C53" s="781" t="s">
        <v>487</v>
      </c>
      <c r="D53" s="781" t="s">
        <v>492</v>
      </c>
      <c r="E53" s="774" t="s">
        <v>492</v>
      </c>
      <c r="F53" s="774" t="s">
        <v>492</v>
      </c>
      <c r="G53" s="781" t="s">
        <v>489</v>
      </c>
      <c r="H53" s="782" t="s">
        <v>1073</v>
      </c>
      <c r="I53" s="783" t="s">
        <v>1074</v>
      </c>
      <c r="J53" s="783" t="e">
        <f>VLOOKUP(D53,[5]Sheet1!$D$1:$D$65536,1,0)</f>
        <v>#N/A</v>
      </c>
      <c r="K53" s="782" t="s">
        <v>28</v>
      </c>
      <c r="L53" s="775"/>
      <c r="M53" s="782"/>
      <c r="N53" s="781" t="s">
        <v>237</v>
      </c>
      <c r="O53" s="781">
        <v>6.5000000000000002E-2</v>
      </c>
      <c r="P53" s="774"/>
      <c r="Q53" s="774"/>
      <c r="R53" s="781">
        <f t="shared" si="1"/>
        <v>6.7275000000000001E-2</v>
      </c>
      <c r="S53" s="774">
        <f t="shared" si="0"/>
        <v>6.5515500000000004E-2</v>
      </c>
      <c r="T53" s="781"/>
      <c r="U53" s="774" t="s">
        <v>1086</v>
      </c>
      <c r="V53" s="774">
        <v>10000</v>
      </c>
      <c r="W53" s="774">
        <v>12</v>
      </c>
      <c r="X53" s="777"/>
      <c r="Y53" s="784"/>
      <c r="Z53" s="801"/>
      <c r="AA53" s="753" t="s">
        <v>1538</v>
      </c>
      <c r="AB53" s="802" t="str">
        <f>VLOOKUP(D53,[6]删除物料!$C$3:$F$14,4,0)</f>
        <v>位号不变，替代料删除</v>
      </c>
    </row>
    <row r="54" spans="1:54" ht="15.75" customHeight="1">
      <c r="A54" s="775">
        <v>2</v>
      </c>
      <c r="B54" s="781" t="s">
        <v>491</v>
      </c>
      <c r="C54" s="781" t="s">
        <v>487</v>
      </c>
      <c r="D54" s="781" t="s">
        <v>491</v>
      </c>
      <c r="E54" s="774" t="s">
        <v>491</v>
      </c>
      <c r="F54" s="774" t="s">
        <v>491</v>
      </c>
      <c r="G54" s="781" t="s">
        <v>489</v>
      </c>
      <c r="H54" s="782" t="s">
        <v>1073</v>
      </c>
      <c r="I54" s="783" t="s">
        <v>1074</v>
      </c>
      <c r="J54" s="783" t="e">
        <f>VLOOKUP(D54,[5]Sheet1!$D$1:$D$65536,1,0)</f>
        <v>#N/A</v>
      </c>
      <c r="K54" s="782" t="s">
        <v>28</v>
      </c>
      <c r="L54" s="775"/>
      <c r="M54" s="782"/>
      <c r="N54" s="781" t="s">
        <v>237</v>
      </c>
      <c r="O54" s="774">
        <v>1.6999999999999999E-3</v>
      </c>
      <c r="P54" s="774"/>
      <c r="Q54" s="774"/>
      <c r="R54" s="781">
        <f t="shared" si="1"/>
        <v>1.7594999999999998E-3</v>
      </c>
      <c r="S54" s="774">
        <f t="shared" si="0"/>
        <v>0</v>
      </c>
      <c r="T54" s="781"/>
      <c r="U54" s="774" t="s">
        <v>1086</v>
      </c>
      <c r="V54" s="774">
        <v>10000</v>
      </c>
      <c r="W54" s="774">
        <v>12</v>
      </c>
      <c r="X54" s="777"/>
      <c r="Y54" s="784"/>
      <c r="Z54" s="801"/>
      <c r="AA54" s="753" t="s">
        <v>1538</v>
      </c>
      <c r="AB54" s="802" t="str">
        <f>VLOOKUP(D54,[6]删除物料!$C$3:$F$14,4,0)</f>
        <v>位号不变，替代料删除</v>
      </c>
    </row>
    <row r="55" spans="1:54" ht="15.75" customHeight="1">
      <c r="A55" s="775">
        <v>2</v>
      </c>
      <c r="B55" s="781" t="s">
        <v>496</v>
      </c>
      <c r="C55" s="781" t="s">
        <v>487</v>
      </c>
      <c r="D55" s="781" t="s">
        <v>496</v>
      </c>
      <c r="E55" s="774" t="s">
        <v>496</v>
      </c>
      <c r="F55" s="774" t="s">
        <v>496</v>
      </c>
      <c r="G55" s="781" t="s">
        <v>489</v>
      </c>
      <c r="H55" s="782" t="s">
        <v>1073</v>
      </c>
      <c r="I55" s="783" t="s">
        <v>1074</v>
      </c>
      <c r="J55" s="783" t="e">
        <f>VLOOKUP(D55,[5]Sheet1!$D$1:$D$65536,1,0)</f>
        <v>#N/A</v>
      </c>
      <c r="K55" s="782" t="s">
        <v>28</v>
      </c>
      <c r="L55" s="775"/>
      <c r="M55" s="782"/>
      <c r="N55" s="781" t="s">
        <v>254</v>
      </c>
      <c r="O55" s="781">
        <v>7.0000000000000007E-2</v>
      </c>
      <c r="P55" s="774"/>
      <c r="Q55" s="774"/>
      <c r="R55" s="781">
        <f t="shared" si="1"/>
        <v>7.2450000000000001E-2</v>
      </c>
      <c r="S55" s="774">
        <f t="shared" si="0"/>
        <v>7.0690500000000003E-2</v>
      </c>
      <c r="T55" s="781"/>
      <c r="U55" s="774" t="s">
        <v>1127</v>
      </c>
      <c r="V55" s="774"/>
      <c r="W55" s="774"/>
      <c r="X55" s="777"/>
      <c r="Y55" s="784"/>
      <c r="Z55" s="801"/>
      <c r="AA55" s="753" t="s">
        <v>1538</v>
      </c>
      <c r="AB55" s="802" t="str">
        <f>VLOOKUP(D55,[6]删除物料!$C$3:$F$14,4,0)</f>
        <v>位号不变，替代料删除</v>
      </c>
    </row>
    <row r="56" spans="1:54" ht="15.75" customHeight="1">
      <c r="A56" s="775">
        <v>2</v>
      </c>
      <c r="B56" s="781" t="s">
        <v>488</v>
      </c>
      <c r="C56" s="781" t="s">
        <v>487</v>
      </c>
      <c r="D56" s="781" t="s">
        <v>488</v>
      </c>
      <c r="E56" s="774" t="s">
        <v>488</v>
      </c>
      <c r="F56" s="774" t="s">
        <v>488</v>
      </c>
      <c r="G56" s="781" t="s">
        <v>489</v>
      </c>
      <c r="H56" s="782" t="s">
        <v>1073</v>
      </c>
      <c r="I56" s="783" t="s">
        <v>1074</v>
      </c>
      <c r="J56" s="783" t="e">
        <f>VLOOKUP(D56,[5]Sheet1!$D$1:$D$65536,1,0)</f>
        <v>#N/A</v>
      </c>
      <c r="K56" s="782" t="s">
        <v>28</v>
      </c>
      <c r="L56" s="775"/>
      <c r="M56" s="782"/>
      <c r="N56" s="781" t="s">
        <v>254</v>
      </c>
      <c r="O56" s="781">
        <v>7.0000000000000007E-2</v>
      </c>
      <c r="P56" s="774"/>
      <c r="Q56" s="774"/>
      <c r="R56" s="781">
        <f t="shared" si="1"/>
        <v>7.2450000000000001E-2</v>
      </c>
      <c r="S56" s="774">
        <f t="shared" si="0"/>
        <v>7.0690500000000003E-2</v>
      </c>
      <c r="T56" s="781"/>
      <c r="U56" s="774" t="s">
        <v>1127</v>
      </c>
      <c r="V56" s="774"/>
      <c r="W56" s="774"/>
      <c r="X56" s="777"/>
      <c r="Y56" s="784"/>
      <c r="Z56" s="801"/>
      <c r="AA56" s="753" t="s">
        <v>1538</v>
      </c>
      <c r="AB56" s="802" t="str">
        <f>VLOOKUP(D56,[6]删除物料!$C$3:$F$14,4,0)</f>
        <v>位号不变，替代料删除</v>
      </c>
    </row>
    <row r="57" spans="1:54" ht="15.75" customHeight="1">
      <c r="A57" s="775">
        <v>2</v>
      </c>
      <c r="B57" s="781" t="s">
        <v>495</v>
      </c>
      <c r="C57" s="781" t="s">
        <v>487</v>
      </c>
      <c r="D57" s="781" t="s">
        <v>1397</v>
      </c>
      <c r="E57" s="774" t="s">
        <v>495</v>
      </c>
      <c r="F57" s="774" t="s">
        <v>495</v>
      </c>
      <c r="G57" s="781" t="s">
        <v>489</v>
      </c>
      <c r="H57" s="782" t="s">
        <v>1073</v>
      </c>
      <c r="I57" s="783" t="s">
        <v>1074</v>
      </c>
      <c r="J57" s="783" t="e">
        <f>VLOOKUP(D57,[5]Sheet1!$D$1:$D$65536,1,0)</f>
        <v>#N/A</v>
      </c>
      <c r="K57" s="782" t="s">
        <v>28</v>
      </c>
      <c r="L57" s="775"/>
      <c r="M57" s="782"/>
      <c r="N57" s="781" t="s">
        <v>333</v>
      </c>
      <c r="O57" s="785">
        <v>2.5409999999999999E-2</v>
      </c>
      <c r="P57" s="786"/>
      <c r="Q57" s="786"/>
      <c r="R57" s="781">
        <f t="shared" si="1"/>
        <v>2.6299349999999996E-2</v>
      </c>
      <c r="S57" s="774">
        <f t="shared" si="0"/>
        <v>2.4539849999999995E-2</v>
      </c>
      <c r="T57" s="785"/>
      <c r="U57" s="774" t="s">
        <v>1443</v>
      </c>
      <c r="V57" s="774"/>
      <c r="W57" s="774"/>
      <c r="X57" s="777"/>
      <c r="Y57" s="784"/>
      <c r="Z57" s="801"/>
      <c r="AA57" s="753" t="s">
        <v>1538</v>
      </c>
      <c r="AB57" s="802" t="str">
        <f>VLOOKUP(D57,[6]删除物料!$C$3:$F$14,4,0)</f>
        <v>位号不变，替代料删除</v>
      </c>
    </row>
    <row r="58" spans="1:54" ht="15.75" customHeight="1">
      <c r="A58" s="775">
        <v>2</v>
      </c>
      <c r="B58" s="781" t="s">
        <v>497</v>
      </c>
      <c r="C58" s="781" t="s">
        <v>487</v>
      </c>
      <c r="D58" s="781" t="s">
        <v>497</v>
      </c>
      <c r="E58" s="774" t="s">
        <v>497</v>
      </c>
      <c r="F58" s="774" t="s">
        <v>497</v>
      </c>
      <c r="G58" s="781" t="s">
        <v>489</v>
      </c>
      <c r="H58" s="782" t="s">
        <v>1073</v>
      </c>
      <c r="I58" s="783" t="s">
        <v>1074</v>
      </c>
      <c r="J58" s="783" t="e">
        <f>VLOOKUP(D58,[5]Sheet1!$D$1:$D$65536,1,0)</f>
        <v>#N/A</v>
      </c>
      <c r="K58" s="782" t="s">
        <v>28</v>
      </c>
      <c r="L58" s="775"/>
      <c r="M58" s="782"/>
      <c r="N58" s="781" t="s">
        <v>333</v>
      </c>
      <c r="O58" s="785">
        <v>2.5409999999999999E-2</v>
      </c>
      <c r="P58" s="786"/>
      <c r="Q58" s="786"/>
      <c r="R58" s="781">
        <f t="shared" si="1"/>
        <v>2.6299349999999996E-2</v>
      </c>
      <c r="S58" s="774">
        <f t="shared" si="0"/>
        <v>2.4539849999999995E-2</v>
      </c>
      <c r="T58" s="785"/>
      <c r="U58" s="774" t="s">
        <v>1443</v>
      </c>
      <c r="V58" s="774"/>
      <c r="W58" s="774"/>
      <c r="X58" s="777"/>
      <c r="Y58" s="784"/>
      <c r="Z58" s="801"/>
      <c r="AA58" s="753" t="s">
        <v>1538</v>
      </c>
      <c r="AB58" s="802" t="str">
        <f>VLOOKUP(D58,[6]删除物料!$C$3:$F$14,4,0)</f>
        <v>位号不变，替代料删除</v>
      </c>
    </row>
    <row r="59" spans="1:54" ht="15.75" customHeight="1">
      <c r="A59" s="775">
        <v>2</v>
      </c>
      <c r="B59" s="774" t="s">
        <v>336</v>
      </c>
      <c r="C59" s="774" t="s">
        <v>328</v>
      </c>
      <c r="D59" s="774" t="s">
        <v>336</v>
      </c>
      <c r="E59" s="774" t="s">
        <v>336</v>
      </c>
      <c r="F59" s="774" t="s">
        <v>336</v>
      </c>
      <c r="G59" s="774" t="s">
        <v>329</v>
      </c>
      <c r="H59" s="775" t="s">
        <v>1073</v>
      </c>
      <c r="I59" s="776" t="s">
        <v>1074</v>
      </c>
      <c r="J59" s="776" t="str">
        <f>VLOOKUP(D59,[5]Sheet1!$D$1:$D$65536,1,0)</f>
        <v>MAASH21GSB7224KTNA01</v>
      </c>
      <c r="K59" s="775" t="s">
        <v>28</v>
      </c>
      <c r="L59" s="775">
        <v>1</v>
      </c>
      <c r="M59" s="775"/>
      <c r="N59" s="774" t="s">
        <v>257</v>
      </c>
      <c r="O59" s="774">
        <v>1.7299999999999999E-2</v>
      </c>
      <c r="P59" s="774"/>
      <c r="Q59" s="774"/>
      <c r="R59" s="774">
        <f t="shared" si="1"/>
        <v>1.7905499999999998E-2</v>
      </c>
      <c r="S59" s="774">
        <f t="shared" si="0"/>
        <v>1.6145999999999997E-2</v>
      </c>
      <c r="T59" s="774"/>
      <c r="U59" s="774" t="s">
        <v>1129</v>
      </c>
      <c r="V59" s="774"/>
      <c r="W59" s="774"/>
      <c r="X59" s="777"/>
      <c r="Y59" s="777"/>
      <c r="Z59" s="801" t="s">
        <v>330</v>
      </c>
    </row>
    <row r="60" spans="1:54" ht="15.75" customHeight="1">
      <c r="A60" s="775">
        <v>2</v>
      </c>
      <c r="B60" s="774" t="s">
        <v>327</v>
      </c>
      <c r="C60" s="774" t="s">
        <v>328</v>
      </c>
      <c r="D60" s="774" t="s">
        <v>327</v>
      </c>
      <c r="E60" s="774" t="s">
        <v>327</v>
      </c>
      <c r="F60" s="774" t="s">
        <v>327</v>
      </c>
      <c r="G60" s="774" t="s">
        <v>329</v>
      </c>
      <c r="H60" s="775" t="s">
        <v>1073</v>
      </c>
      <c r="I60" s="776" t="s">
        <v>1074</v>
      </c>
      <c r="J60" s="776" t="str">
        <f>VLOOKUP(D60,[5]Sheet1!$D$1:$D$65536,1,0)</f>
        <v>MCASH21GSB7224KTNA01</v>
      </c>
      <c r="K60" s="775" t="s">
        <v>28</v>
      </c>
      <c r="L60" s="775"/>
      <c r="M60" s="775"/>
      <c r="N60" s="774" t="s">
        <v>257</v>
      </c>
      <c r="O60" s="774">
        <v>1.6999999999999999E-3</v>
      </c>
      <c r="P60" s="774"/>
      <c r="Q60" s="774"/>
      <c r="R60" s="774">
        <f t="shared" si="1"/>
        <v>1.7594999999999998E-3</v>
      </c>
      <c r="S60" s="774">
        <f t="shared" si="0"/>
        <v>0</v>
      </c>
      <c r="T60" s="774"/>
      <c r="U60" s="774" t="s">
        <v>1080</v>
      </c>
      <c r="V60" s="774"/>
      <c r="W60" s="774"/>
      <c r="X60" s="777"/>
      <c r="Y60" s="777"/>
      <c r="Z60" s="801"/>
    </row>
    <row r="61" spans="1:54" ht="15.75" customHeight="1">
      <c r="A61" s="775">
        <v>2</v>
      </c>
      <c r="B61" s="774" t="s">
        <v>335</v>
      </c>
      <c r="C61" s="774" t="s">
        <v>328</v>
      </c>
      <c r="D61" s="774" t="s">
        <v>335</v>
      </c>
      <c r="E61" s="774" t="s">
        <v>335</v>
      </c>
      <c r="F61" s="774" t="s">
        <v>335</v>
      </c>
      <c r="G61" s="774" t="s">
        <v>329</v>
      </c>
      <c r="H61" s="775" t="s">
        <v>1073</v>
      </c>
      <c r="I61" s="776" t="s">
        <v>1074</v>
      </c>
      <c r="J61" s="776" t="str">
        <f>VLOOKUP(D61,[5]Sheet1!$D$1:$D$65536,1,0)</f>
        <v>C0805C224K1RACAUTO</v>
      </c>
      <c r="K61" s="775" t="s">
        <v>28</v>
      </c>
      <c r="L61" s="775"/>
      <c r="M61" s="775"/>
      <c r="N61" s="774" t="s">
        <v>254</v>
      </c>
      <c r="O61" s="774">
        <v>0.14000000000000001</v>
      </c>
      <c r="P61" s="774"/>
      <c r="Q61" s="774"/>
      <c r="R61" s="774">
        <f t="shared" si="1"/>
        <v>0.1449</v>
      </c>
      <c r="S61" s="774">
        <f t="shared" si="0"/>
        <v>0.1431405</v>
      </c>
      <c r="T61" s="774"/>
      <c r="U61" s="774" t="s">
        <v>1127</v>
      </c>
      <c r="V61" s="774"/>
      <c r="W61" s="774"/>
      <c r="X61" s="777"/>
      <c r="Y61" s="777"/>
      <c r="Z61" s="801"/>
    </row>
    <row r="62" spans="1:54" ht="15.75" customHeight="1">
      <c r="A62" s="775">
        <v>2</v>
      </c>
      <c r="B62" s="774" t="s">
        <v>334</v>
      </c>
      <c r="C62" s="774" t="s">
        <v>328</v>
      </c>
      <c r="D62" s="774" t="s">
        <v>334</v>
      </c>
      <c r="E62" s="774" t="s">
        <v>334</v>
      </c>
      <c r="F62" s="774" t="s">
        <v>334</v>
      </c>
      <c r="G62" s="774" t="s">
        <v>329</v>
      </c>
      <c r="H62" s="775" t="s">
        <v>1073</v>
      </c>
      <c r="I62" s="776" t="s">
        <v>1074</v>
      </c>
      <c r="J62" s="776" t="str">
        <f>VLOOKUP(D62,[5]Sheet1!$D$1:$D$65536,1,0)</f>
        <v>C0805C224K1RACAUTO7210</v>
      </c>
      <c r="K62" s="775" t="s">
        <v>28</v>
      </c>
      <c r="L62" s="775"/>
      <c r="M62" s="775"/>
      <c r="N62" s="774" t="s">
        <v>254</v>
      </c>
      <c r="O62" s="774">
        <v>1.6999999999999999E-3</v>
      </c>
      <c r="P62" s="774"/>
      <c r="Q62" s="774"/>
      <c r="R62" s="774">
        <f t="shared" si="1"/>
        <v>1.7594999999999998E-3</v>
      </c>
      <c r="S62" s="774">
        <f t="shared" si="0"/>
        <v>0</v>
      </c>
      <c r="T62" s="774"/>
      <c r="U62" s="774" t="s">
        <v>1127</v>
      </c>
      <c r="V62" s="774"/>
      <c r="W62" s="774"/>
      <c r="X62" s="777"/>
      <c r="Y62" s="777"/>
      <c r="Z62" s="801"/>
    </row>
    <row r="63" spans="1:54" s="658" customFormat="1" ht="15.75" customHeight="1">
      <c r="A63" s="775">
        <v>2</v>
      </c>
      <c r="B63" s="774" t="s">
        <v>331</v>
      </c>
      <c r="C63" s="774" t="s">
        <v>328</v>
      </c>
      <c r="D63" s="787" t="s">
        <v>331</v>
      </c>
      <c r="E63" s="774" t="s">
        <v>331</v>
      </c>
      <c r="F63" s="774" t="s">
        <v>331</v>
      </c>
      <c r="G63" s="774" t="s">
        <v>329</v>
      </c>
      <c r="H63" s="775" t="s">
        <v>1073</v>
      </c>
      <c r="I63" s="776" t="s">
        <v>1074</v>
      </c>
      <c r="J63" s="776" t="str">
        <f>VLOOKUP(D63,[5]Sheet1!$D$1:$D$65536,1,0)</f>
        <v>CL21B224KCQVPNE</v>
      </c>
      <c r="K63" s="775" t="s">
        <v>28</v>
      </c>
      <c r="L63" s="775"/>
      <c r="M63" s="775">
        <v>1</v>
      </c>
      <c r="N63" s="774" t="s">
        <v>275</v>
      </c>
      <c r="O63" s="774">
        <v>1.0022E-2</v>
      </c>
      <c r="P63" s="774">
        <f>VLOOKUP(D63,'EEBOM Feb.2nd2026'!$D:$N,11,0)</f>
        <v>1.0022E-2</v>
      </c>
      <c r="Q63" s="774">
        <f>O63-P63</f>
        <v>0</v>
      </c>
      <c r="R63" s="774">
        <f t="shared" si="1"/>
        <v>1.0372769999999998E-2</v>
      </c>
      <c r="S63" s="774">
        <f t="shared" si="0"/>
        <v>8.6132699999999993E-3</v>
      </c>
      <c r="T63" s="774">
        <f>R63*M63</f>
        <v>1.0372769999999998E-2</v>
      </c>
      <c r="U63" s="774" t="s">
        <v>1443</v>
      </c>
      <c r="V63" s="774">
        <v>2000</v>
      </c>
      <c r="W63" s="774">
        <v>18</v>
      </c>
      <c r="X63" s="777" t="s">
        <v>1454</v>
      </c>
      <c r="Y63" s="777" t="s">
        <v>1448</v>
      </c>
      <c r="Z63" s="801"/>
      <c r="AA63" s="753"/>
      <c r="AB63" s="753"/>
      <c r="AC63" s="753"/>
      <c r="AD63" s="753"/>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3"/>
    </row>
    <row r="64" spans="1:54" ht="15.5" customHeight="1">
      <c r="A64" s="775">
        <v>2</v>
      </c>
      <c r="B64" s="774" t="s">
        <v>332</v>
      </c>
      <c r="C64" s="774" t="s">
        <v>328</v>
      </c>
      <c r="D64" s="774" t="s">
        <v>332</v>
      </c>
      <c r="E64" s="774" t="s">
        <v>332</v>
      </c>
      <c r="F64" s="774" t="s">
        <v>332</v>
      </c>
      <c r="G64" s="774" t="s">
        <v>329</v>
      </c>
      <c r="H64" s="775" t="s">
        <v>1073</v>
      </c>
      <c r="I64" s="776" t="s">
        <v>1074</v>
      </c>
      <c r="J64" s="776" t="str">
        <f>VLOOKUP(D64,[5]Sheet1!$D$1:$D$65536,1,0)</f>
        <v>08051C224K4T2A</v>
      </c>
      <c r="K64" s="775" t="s">
        <v>28</v>
      </c>
      <c r="L64" s="775"/>
      <c r="M64" s="775"/>
      <c r="N64" s="774" t="s">
        <v>333</v>
      </c>
      <c r="O64" s="774">
        <v>1.6999999999999999E-3</v>
      </c>
      <c r="P64" s="786"/>
      <c r="Q64" s="786"/>
      <c r="R64" s="774">
        <f t="shared" si="1"/>
        <v>1.7594999999999998E-3</v>
      </c>
      <c r="S64" s="774">
        <f t="shared" si="0"/>
        <v>0</v>
      </c>
      <c r="T64" s="786"/>
      <c r="U64" s="774" t="s">
        <v>1443</v>
      </c>
      <c r="V64" s="774"/>
      <c r="W64" s="774"/>
      <c r="X64" s="777"/>
      <c r="Y64" s="777"/>
      <c r="Z64" s="801"/>
    </row>
    <row r="65" spans="1:54" ht="15.75" customHeight="1">
      <c r="A65" s="775">
        <v>2</v>
      </c>
      <c r="B65" s="774" t="s">
        <v>326</v>
      </c>
      <c r="C65" s="774" t="s">
        <v>318</v>
      </c>
      <c r="D65" s="774" t="s">
        <v>326</v>
      </c>
      <c r="E65" s="774" t="s">
        <v>326</v>
      </c>
      <c r="F65" s="774" t="s">
        <v>326</v>
      </c>
      <c r="G65" s="774" t="s">
        <v>320</v>
      </c>
      <c r="H65" s="775" t="s">
        <v>1073</v>
      </c>
      <c r="I65" s="776" t="s">
        <v>1074</v>
      </c>
      <c r="J65" s="776" t="str">
        <f>VLOOKUP(D65,[5]Sheet1!$D$1:$D$65536,1,0)</f>
        <v>A771KS476M1JLAS020</v>
      </c>
      <c r="K65" s="775" t="s">
        <v>28</v>
      </c>
      <c r="L65" s="775">
        <v>2</v>
      </c>
      <c r="M65" s="775"/>
      <c r="N65" s="774" t="s">
        <v>1399</v>
      </c>
      <c r="O65" s="774"/>
      <c r="P65" s="774"/>
      <c r="Q65" s="774"/>
      <c r="R65" s="774">
        <f t="shared" si="1"/>
        <v>0</v>
      </c>
      <c r="S65" s="774">
        <f t="shared" si="0"/>
        <v>0</v>
      </c>
      <c r="T65" s="774"/>
      <c r="U65" s="774"/>
      <c r="V65" s="774"/>
      <c r="W65" s="774"/>
      <c r="X65" s="777"/>
      <c r="Y65" s="777"/>
      <c r="Z65" s="801" t="s">
        <v>1130</v>
      </c>
    </row>
    <row r="66" spans="1:54" ht="15.75" customHeight="1">
      <c r="A66" s="775">
        <v>2</v>
      </c>
      <c r="B66" s="774" t="s">
        <v>324</v>
      </c>
      <c r="C66" s="774" t="s">
        <v>318</v>
      </c>
      <c r="D66" s="774" t="s">
        <v>324</v>
      </c>
      <c r="E66" s="774" t="s">
        <v>324</v>
      </c>
      <c r="F66" s="774" t="s">
        <v>324</v>
      </c>
      <c r="G66" s="774" t="s">
        <v>320</v>
      </c>
      <c r="H66" s="775" t="s">
        <v>1073</v>
      </c>
      <c r="I66" s="776" t="s">
        <v>1074</v>
      </c>
      <c r="J66" s="776" t="str">
        <f>VLOOKUP(D66,[5]Sheet1!$D$1:$D$65536,1,0)</f>
        <v>63FVF47M+P</v>
      </c>
      <c r="K66" s="775" t="s">
        <v>28</v>
      </c>
      <c r="L66" s="775"/>
      <c r="M66" s="775"/>
      <c r="N66" s="774" t="s">
        <v>325</v>
      </c>
      <c r="O66" s="774"/>
      <c r="P66" s="774"/>
      <c r="Q66" s="774"/>
      <c r="R66" s="774">
        <f t="shared" si="1"/>
        <v>0</v>
      </c>
      <c r="S66" s="774">
        <f t="shared" si="0"/>
        <v>0</v>
      </c>
      <c r="T66" s="774"/>
      <c r="U66" s="774"/>
      <c r="V66" s="774"/>
      <c r="W66" s="774"/>
      <c r="X66" s="777"/>
      <c r="Y66" s="777"/>
      <c r="Z66" s="801"/>
    </row>
    <row r="67" spans="1:54" ht="15.75" customHeight="1">
      <c r="A67" s="775">
        <v>2</v>
      </c>
      <c r="B67" s="774" t="s">
        <v>319</v>
      </c>
      <c r="C67" s="774" t="s">
        <v>318</v>
      </c>
      <c r="D67" s="774" t="s">
        <v>319</v>
      </c>
      <c r="E67" s="774" t="s">
        <v>319</v>
      </c>
      <c r="F67" s="774" t="s">
        <v>319</v>
      </c>
      <c r="G67" s="774" t="s">
        <v>320</v>
      </c>
      <c r="H67" s="775" t="s">
        <v>1073</v>
      </c>
      <c r="I67" s="776" t="s">
        <v>1074</v>
      </c>
      <c r="J67" s="776" t="str">
        <f>VLOOKUP(D67,[5]Sheet1!$D$1:$D$65536,1,0)</f>
        <v>PCA1J470MCL1GS</v>
      </c>
      <c r="K67" s="775" t="s">
        <v>28</v>
      </c>
      <c r="L67" s="775"/>
      <c r="M67" s="775"/>
      <c r="N67" s="774" t="s">
        <v>321</v>
      </c>
      <c r="O67" s="774">
        <v>1.6999999999999999E-3</v>
      </c>
      <c r="P67" s="774"/>
      <c r="Q67" s="774"/>
      <c r="R67" s="774">
        <f t="shared" si="1"/>
        <v>1.7594999999999998E-3</v>
      </c>
      <c r="S67" s="774">
        <f t="shared" ref="S67:S97" si="5">R67-_xlfn.MINIFS(R:R,C:C,C67)</f>
        <v>1.7594999999999998E-3</v>
      </c>
      <c r="T67" s="774"/>
      <c r="U67" s="774" t="s">
        <v>1443</v>
      </c>
      <c r="V67" s="774"/>
      <c r="W67" s="774"/>
      <c r="X67" s="777"/>
      <c r="Y67" s="777"/>
      <c r="Z67" s="801"/>
    </row>
    <row r="68" spans="1:54" s="668" customFormat="1" ht="15.75" customHeight="1">
      <c r="A68" s="775">
        <v>2</v>
      </c>
      <c r="B68" s="774" t="s">
        <v>323</v>
      </c>
      <c r="C68" s="774" t="s">
        <v>318</v>
      </c>
      <c r="D68" s="787" t="s">
        <v>323</v>
      </c>
      <c r="E68" s="774" t="s">
        <v>323</v>
      </c>
      <c r="F68" s="774" t="s">
        <v>323</v>
      </c>
      <c r="G68" s="774" t="s">
        <v>320</v>
      </c>
      <c r="H68" s="775" t="s">
        <v>1073</v>
      </c>
      <c r="I68" s="776" t="s">
        <v>1074</v>
      </c>
      <c r="J68" s="776" t="str">
        <f>VLOOKUP(D68,[5]Sheet1!$D$1:$D$65536,1,0)</f>
        <v>EEH-ZT1J470P</v>
      </c>
      <c r="K68" s="775" t="s">
        <v>28</v>
      </c>
      <c r="L68" s="775"/>
      <c r="M68" s="775">
        <v>2</v>
      </c>
      <c r="N68" s="774" t="s">
        <v>289</v>
      </c>
      <c r="O68" s="774">
        <v>0.315</v>
      </c>
      <c r="P68" s="774"/>
      <c r="Q68" s="774"/>
      <c r="R68" s="774">
        <f t="shared" ref="R68:R132" si="6">O68*1.035</f>
        <v>0.32602499999999995</v>
      </c>
      <c r="S68" s="774">
        <f t="shared" si="5"/>
        <v>0.32602499999999995</v>
      </c>
      <c r="T68" s="774">
        <f>R68*M68</f>
        <v>0.65204999999999991</v>
      </c>
      <c r="U68" s="779" t="s">
        <v>1457</v>
      </c>
      <c r="V68" s="779">
        <v>1000</v>
      </c>
      <c r="W68" s="780">
        <v>19</v>
      </c>
      <c r="X68" s="777" t="s">
        <v>1458</v>
      </c>
      <c r="Y68" s="777" t="s">
        <v>1453</v>
      </c>
      <c r="Z68" s="801"/>
      <c r="AA68" s="753"/>
      <c r="AB68" s="753"/>
      <c r="AC68" s="753"/>
      <c r="AD68" s="753"/>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row>
    <row r="69" spans="1:54" s="658" customFormat="1" ht="15.75" customHeight="1">
      <c r="A69" s="775">
        <v>2</v>
      </c>
      <c r="B69" s="774" t="s">
        <v>508</v>
      </c>
      <c r="C69" s="774" t="s">
        <v>507</v>
      </c>
      <c r="D69" s="774" t="s">
        <v>508</v>
      </c>
      <c r="E69" s="774" t="s">
        <v>508</v>
      </c>
      <c r="F69" s="774" t="s">
        <v>508</v>
      </c>
      <c r="G69" s="774" t="s">
        <v>509</v>
      </c>
      <c r="H69" s="775" t="s">
        <v>1073</v>
      </c>
      <c r="I69" s="776" t="s">
        <v>1074</v>
      </c>
      <c r="J69" s="776" t="str">
        <f>VLOOKUP(D69,[5]Sheet1!$D$1:$D$65536,1,0)</f>
        <v>GCM033R71E331KA03D</v>
      </c>
      <c r="K69" s="775" t="s">
        <v>28</v>
      </c>
      <c r="L69" s="775">
        <v>1</v>
      </c>
      <c r="M69" s="775"/>
      <c r="N69" s="774" t="s">
        <v>237</v>
      </c>
      <c r="O69" s="774">
        <v>1.6999999999999999E-3</v>
      </c>
      <c r="P69" s="774">
        <f>VLOOKUP(D69,'EEBOM Feb.2nd2026'!$D:$N,11,0)</f>
        <v>2.2000000000000001E-3</v>
      </c>
      <c r="Q69" s="774">
        <f>O69-P69</f>
        <v>-5.0000000000000023E-4</v>
      </c>
      <c r="R69" s="774">
        <f t="shared" si="6"/>
        <v>1.7594999999999998E-3</v>
      </c>
      <c r="S69" s="774">
        <f t="shared" si="5"/>
        <v>0</v>
      </c>
      <c r="T69" s="774"/>
      <c r="U69" s="774" t="s">
        <v>1086</v>
      </c>
      <c r="V69" s="774">
        <v>10000</v>
      </c>
      <c r="W69" s="774">
        <v>12</v>
      </c>
      <c r="X69" s="777" t="s">
        <v>1455</v>
      </c>
      <c r="Y69" s="777" t="s">
        <v>1448</v>
      </c>
      <c r="Z69" s="801" t="s">
        <v>510</v>
      </c>
      <c r="AA69" s="753"/>
      <c r="AB69" s="753"/>
      <c r="AC69" s="753"/>
      <c r="AD69" s="753"/>
      <c r="AE69" s="753"/>
      <c r="AF69" s="753"/>
      <c r="AG69" s="753"/>
      <c r="AH69" s="753"/>
      <c r="AI69" s="753"/>
      <c r="AJ69" s="753"/>
      <c r="AK69" s="753"/>
      <c r="AL69" s="753"/>
      <c r="AM69" s="753"/>
      <c r="AN69" s="753"/>
      <c r="AO69" s="753"/>
      <c r="AP69" s="753"/>
      <c r="AQ69" s="753"/>
      <c r="AR69" s="753"/>
      <c r="AS69" s="753"/>
      <c r="AT69" s="753"/>
      <c r="AU69" s="753"/>
      <c r="AV69" s="753"/>
      <c r="AW69" s="753"/>
      <c r="AX69" s="753"/>
      <c r="AY69" s="753"/>
      <c r="AZ69" s="753"/>
      <c r="BA69" s="753"/>
      <c r="BB69" s="753"/>
    </row>
    <row r="70" spans="1:54" ht="15.75" customHeight="1">
      <c r="A70" s="775">
        <v>2</v>
      </c>
      <c r="B70" s="774" t="s">
        <v>511</v>
      </c>
      <c r="C70" s="774" t="s">
        <v>507</v>
      </c>
      <c r="D70" s="774" t="s">
        <v>512</v>
      </c>
      <c r="E70" s="774" t="s">
        <v>512</v>
      </c>
      <c r="F70" s="774" t="s">
        <v>512</v>
      </c>
      <c r="G70" s="774" t="s">
        <v>509</v>
      </c>
      <c r="H70" s="775" t="s">
        <v>1073</v>
      </c>
      <c r="I70" s="776" t="s">
        <v>1074</v>
      </c>
      <c r="J70" s="776" t="str">
        <f>VLOOKUP(D70,[5]Sheet1!$D$1:$D$65536,1,0)</f>
        <v>GCM033R71E331KA03J</v>
      </c>
      <c r="K70" s="775" t="s">
        <v>28</v>
      </c>
      <c r="L70" s="775"/>
      <c r="M70" s="775"/>
      <c r="N70" s="774" t="s">
        <v>237</v>
      </c>
      <c r="O70" s="774">
        <v>1.6999999999999999E-3</v>
      </c>
      <c r="P70" s="774"/>
      <c r="Q70" s="774"/>
      <c r="R70" s="774">
        <f t="shared" si="6"/>
        <v>1.7594999999999998E-3</v>
      </c>
      <c r="S70" s="774">
        <f t="shared" si="5"/>
        <v>0</v>
      </c>
      <c r="T70" s="774"/>
      <c r="U70" s="774" t="s">
        <v>1086</v>
      </c>
      <c r="V70" s="774">
        <v>10000</v>
      </c>
      <c r="W70" s="774">
        <v>12</v>
      </c>
      <c r="X70" s="777"/>
      <c r="Y70" s="777"/>
      <c r="Z70" s="801"/>
    </row>
    <row r="71" spans="1:54" ht="15.75" customHeight="1">
      <c r="A71" s="775">
        <v>2</v>
      </c>
      <c r="B71" s="774" t="s">
        <v>513</v>
      </c>
      <c r="C71" s="774" t="s">
        <v>507</v>
      </c>
      <c r="D71" s="787" t="s">
        <v>513</v>
      </c>
      <c r="E71" s="774" t="s">
        <v>513</v>
      </c>
      <c r="F71" s="774" t="s">
        <v>513</v>
      </c>
      <c r="G71" s="774" t="s">
        <v>509</v>
      </c>
      <c r="H71" s="775" t="s">
        <v>1073</v>
      </c>
      <c r="I71" s="776" t="s">
        <v>1074</v>
      </c>
      <c r="J71" s="776" t="str">
        <f>VLOOKUP(D71,[5]Sheet1!$D$1:$D$65536,1,0)</f>
        <v>CGA1A2X7R1E331K030BA</v>
      </c>
      <c r="K71" s="775" t="s">
        <v>28</v>
      </c>
      <c r="L71" s="775"/>
      <c r="M71" s="775">
        <v>1</v>
      </c>
      <c r="N71" s="774" t="s">
        <v>240</v>
      </c>
      <c r="O71" s="774">
        <v>2.0560000000000001E-3</v>
      </c>
      <c r="P71" s="774"/>
      <c r="Q71" s="774"/>
      <c r="R71" s="774">
        <f t="shared" si="6"/>
        <v>2.1279599999999999E-3</v>
      </c>
      <c r="S71" s="774">
        <f t="shared" si="5"/>
        <v>3.6846000000000014E-4</v>
      </c>
      <c r="T71" s="774">
        <f>R71*M71</f>
        <v>2.1279599999999999E-3</v>
      </c>
      <c r="U71" s="774" t="s">
        <v>1443</v>
      </c>
      <c r="V71" s="774"/>
      <c r="W71" s="774"/>
      <c r="X71" s="777"/>
      <c r="Y71" s="777"/>
      <c r="Z71" s="801"/>
    </row>
    <row r="72" spans="1:54" s="658" customFormat="1" ht="15.75" customHeight="1">
      <c r="A72" s="775">
        <v>2</v>
      </c>
      <c r="B72" s="774" t="s">
        <v>1131</v>
      </c>
      <c r="C72" s="774" t="s">
        <v>1132</v>
      </c>
      <c r="D72" s="774" t="s">
        <v>1131</v>
      </c>
      <c r="E72" s="774" t="s">
        <v>1131</v>
      </c>
      <c r="F72" s="774" t="e">
        <v>#N/A</v>
      </c>
      <c r="G72" s="774" t="s">
        <v>1133</v>
      </c>
      <c r="H72" s="775" t="s">
        <v>1073</v>
      </c>
      <c r="I72" s="776" t="s">
        <v>1074</v>
      </c>
      <c r="J72" s="776" t="str">
        <f>VLOOKUP(D72,[5]Sheet1!$D$1:$D$65536,1,0)</f>
        <v>UUD1E221MNL1GS</v>
      </c>
      <c r="K72" s="775" t="s">
        <v>28</v>
      </c>
      <c r="L72" s="775">
        <v>1</v>
      </c>
      <c r="M72" s="775"/>
      <c r="N72" s="774" t="s">
        <v>321</v>
      </c>
      <c r="O72" s="774">
        <v>1.6999999999999999E-3</v>
      </c>
      <c r="P72" s="774">
        <f>VLOOKUP(D72,'EEBOM Feb.2nd2026'!$D:$N,11,0)</f>
        <v>7.9000000000000001E-2</v>
      </c>
      <c r="Q72" s="774">
        <f>O72-P72</f>
        <v>-7.7300000000000008E-2</v>
      </c>
      <c r="R72" s="774">
        <f t="shared" si="6"/>
        <v>1.7594999999999998E-3</v>
      </c>
      <c r="S72" s="774">
        <f t="shared" si="5"/>
        <v>1.7594999999999998E-3</v>
      </c>
      <c r="T72" s="774"/>
      <c r="U72" s="774" t="s">
        <v>1443</v>
      </c>
      <c r="V72" s="774">
        <v>500</v>
      </c>
      <c r="W72" s="774">
        <v>28</v>
      </c>
      <c r="X72" s="777" t="s">
        <v>1454</v>
      </c>
      <c r="Y72" s="777" t="s">
        <v>1448</v>
      </c>
      <c r="Z72" s="801" t="s">
        <v>1134</v>
      </c>
      <c r="AA72" s="753"/>
      <c r="AB72" s="753"/>
      <c r="AC72" s="753"/>
      <c r="AD72" s="753"/>
      <c r="AE72" s="753"/>
      <c r="AF72" s="753"/>
      <c r="AG72" s="753"/>
      <c r="AH72" s="753"/>
      <c r="AI72" s="753"/>
      <c r="AJ72" s="753"/>
      <c r="AK72" s="753"/>
      <c r="AL72" s="753"/>
      <c r="AM72" s="753"/>
      <c r="AN72" s="753"/>
      <c r="AO72" s="753"/>
      <c r="AP72" s="753"/>
      <c r="AQ72" s="753"/>
      <c r="AR72" s="753"/>
      <c r="AS72" s="753"/>
      <c r="AT72" s="753"/>
      <c r="AU72" s="753"/>
      <c r="AV72" s="753"/>
      <c r="AW72" s="753"/>
      <c r="AX72" s="753"/>
      <c r="AY72" s="753"/>
      <c r="AZ72" s="753"/>
      <c r="BA72" s="753"/>
      <c r="BB72" s="753"/>
    </row>
    <row r="73" spans="1:54" ht="15.75" customHeight="1">
      <c r="A73" s="775">
        <v>2</v>
      </c>
      <c r="B73" s="774" t="s">
        <v>1135</v>
      </c>
      <c r="C73" s="774" t="s">
        <v>1132</v>
      </c>
      <c r="D73" s="774" t="s">
        <v>1135</v>
      </c>
      <c r="E73" s="774" t="s">
        <v>1135</v>
      </c>
      <c r="F73" s="774" t="e">
        <v>#N/A</v>
      </c>
      <c r="G73" s="774" t="s">
        <v>1133</v>
      </c>
      <c r="H73" s="775" t="s">
        <v>1073</v>
      </c>
      <c r="I73" s="776" t="s">
        <v>1074</v>
      </c>
      <c r="J73" s="776" t="str">
        <f>VLOOKUP(D73,[5]Sheet1!$D$1:$D$65536,1,0)</f>
        <v>EMVY250ARA221MHA0G</v>
      </c>
      <c r="K73" s="775" t="s">
        <v>28</v>
      </c>
      <c r="L73" s="775"/>
      <c r="M73" s="775"/>
      <c r="N73" s="774" t="s">
        <v>1136</v>
      </c>
      <c r="O73" s="774"/>
      <c r="P73" s="774"/>
      <c r="Q73" s="774"/>
      <c r="R73" s="774">
        <f t="shared" si="6"/>
        <v>0</v>
      </c>
      <c r="S73" s="774">
        <f t="shared" si="5"/>
        <v>0</v>
      </c>
      <c r="T73" s="774"/>
      <c r="U73" s="774"/>
      <c r="V73" s="774"/>
      <c r="W73" s="774"/>
      <c r="X73" s="777"/>
      <c r="Y73" s="777"/>
      <c r="Z73" s="801"/>
    </row>
    <row r="74" spans="1:54" ht="15.75" customHeight="1">
      <c r="A74" s="775">
        <v>2</v>
      </c>
      <c r="B74" s="774" t="s">
        <v>1137</v>
      </c>
      <c r="C74" s="774" t="s">
        <v>1132</v>
      </c>
      <c r="D74" s="774" t="s">
        <v>1137</v>
      </c>
      <c r="E74" s="774" t="s">
        <v>1137</v>
      </c>
      <c r="F74" s="774" t="e">
        <v>#N/A</v>
      </c>
      <c r="G74" s="774" t="s">
        <v>1133</v>
      </c>
      <c r="H74" s="775" t="s">
        <v>1073</v>
      </c>
      <c r="I74" s="776" t="s">
        <v>1074</v>
      </c>
      <c r="J74" s="776" t="str">
        <f>VLOOKUP(D74,[5]Sheet1!$D$1:$D$65536,1,0)</f>
        <v>MAL215097612E3</v>
      </c>
      <c r="K74" s="775" t="s">
        <v>28</v>
      </c>
      <c r="L74" s="775"/>
      <c r="M74" s="775">
        <v>1</v>
      </c>
      <c r="N74" s="774" t="s">
        <v>368</v>
      </c>
      <c r="O74" s="774">
        <v>0.53</v>
      </c>
      <c r="P74" s="774"/>
      <c r="Q74" s="774"/>
      <c r="R74" s="774">
        <f t="shared" si="6"/>
        <v>0.54854999999999998</v>
      </c>
      <c r="S74" s="774">
        <f t="shared" si="5"/>
        <v>0.54854999999999998</v>
      </c>
      <c r="T74" s="774">
        <f t="shared" ref="T74:T75" si="7">R74*M74</f>
        <v>0.54854999999999998</v>
      </c>
      <c r="U74" s="774" t="s">
        <v>1443</v>
      </c>
      <c r="V74" s="774"/>
      <c r="W74" s="774"/>
      <c r="X74" s="777"/>
      <c r="Y74" s="777"/>
      <c r="Z74" s="801"/>
    </row>
    <row r="75" spans="1:54" s="658" customFormat="1" ht="15.75" customHeight="1">
      <c r="A75" s="775">
        <v>2</v>
      </c>
      <c r="B75" s="774" t="s">
        <v>1459</v>
      </c>
      <c r="C75" s="774" t="s">
        <v>1139</v>
      </c>
      <c r="D75" s="774" t="s">
        <v>1138</v>
      </c>
      <c r="E75" s="774" t="s">
        <v>1138</v>
      </c>
      <c r="F75" s="774" t="e">
        <v>#N/A</v>
      </c>
      <c r="G75" s="774" t="s">
        <v>1140</v>
      </c>
      <c r="H75" s="775" t="s">
        <v>1073</v>
      </c>
      <c r="I75" s="776" t="s">
        <v>1074</v>
      </c>
      <c r="J75" s="776" t="str">
        <f>VLOOKUP(D75,[5]Sheet1!$D$1:$D$65536,1,0)</f>
        <v>CGA3E1X7T0J106M080AC</v>
      </c>
      <c r="K75" s="775" t="s">
        <v>28</v>
      </c>
      <c r="L75" s="775">
        <v>1</v>
      </c>
      <c r="M75" s="775">
        <v>1</v>
      </c>
      <c r="N75" s="774" t="s">
        <v>1460</v>
      </c>
      <c r="O75" s="774">
        <v>1.6999999999999999E-3</v>
      </c>
      <c r="P75" s="774">
        <f>VLOOKUP(D75,'EEBOM Feb.2nd2026'!$D:$N,11,0)</f>
        <v>2.7778000000000001E-2</v>
      </c>
      <c r="Q75" s="774">
        <f>O75-P75</f>
        <v>-2.6078E-2</v>
      </c>
      <c r="R75" s="774">
        <f t="shared" si="6"/>
        <v>1.7594999999999998E-3</v>
      </c>
      <c r="S75" s="774">
        <f t="shared" si="5"/>
        <v>0</v>
      </c>
      <c r="T75" s="774">
        <f t="shared" si="7"/>
        <v>1.7594999999999998E-3</v>
      </c>
      <c r="U75" s="774" t="s">
        <v>1443</v>
      </c>
      <c r="V75" s="774">
        <v>3000</v>
      </c>
      <c r="W75" s="774">
        <v>24</v>
      </c>
      <c r="X75" s="777" t="s">
        <v>1454</v>
      </c>
      <c r="Y75" s="777" t="s">
        <v>1448</v>
      </c>
      <c r="Z75" s="801" t="s">
        <v>1141</v>
      </c>
      <c r="AA75" s="753"/>
      <c r="AB75" s="753"/>
      <c r="AC75" s="753"/>
      <c r="AD75" s="753"/>
      <c r="AE75" s="753"/>
      <c r="AF75" s="753"/>
      <c r="AG75" s="753"/>
      <c r="AH75" s="753"/>
      <c r="AI75" s="753"/>
      <c r="AJ75" s="753"/>
      <c r="AK75" s="753"/>
      <c r="AL75" s="753"/>
      <c r="AM75" s="753"/>
      <c r="AN75" s="753"/>
      <c r="AO75" s="753"/>
      <c r="AP75" s="753"/>
      <c r="AQ75" s="753"/>
      <c r="AR75" s="753"/>
      <c r="AS75" s="753"/>
      <c r="AT75" s="753"/>
      <c r="AU75" s="753"/>
      <c r="AV75" s="753"/>
      <c r="AW75" s="753"/>
      <c r="AX75" s="753"/>
      <c r="AY75" s="753"/>
      <c r="AZ75" s="753"/>
      <c r="BA75" s="753"/>
      <c r="BB75" s="753"/>
    </row>
    <row r="76" spans="1:54" ht="15.75" customHeight="1">
      <c r="A76" s="775">
        <v>2</v>
      </c>
      <c r="B76" s="774" t="s">
        <v>1142</v>
      </c>
      <c r="C76" s="774" t="s">
        <v>1139</v>
      </c>
      <c r="D76" s="774" t="s">
        <v>1142</v>
      </c>
      <c r="E76" s="774" t="s">
        <v>1142</v>
      </c>
      <c r="F76" s="774" t="e">
        <v>#N/A</v>
      </c>
      <c r="G76" s="774" t="s">
        <v>1140</v>
      </c>
      <c r="H76" s="775" t="s">
        <v>1073</v>
      </c>
      <c r="I76" s="776" t="s">
        <v>1074</v>
      </c>
      <c r="J76" s="776" t="str">
        <f>VLOOKUP(D76,[5]Sheet1!$D$1:$D$65536,1,0)</f>
        <v>GCM188D70J106ME36D</v>
      </c>
      <c r="K76" s="775" t="s">
        <v>28</v>
      </c>
      <c r="L76" s="775"/>
      <c r="M76" s="775"/>
      <c r="N76" s="774" t="s">
        <v>237</v>
      </c>
      <c r="O76" s="774">
        <v>4.0500000000000001E-2</v>
      </c>
      <c r="P76" s="774"/>
      <c r="Q76" s="774"/>
      <c r="R76" s="774">
        <f t="shared" si="6"/>
        <v>4.1917499999999996E-2</v>
      </c>
      <c r="S76" s="774">
        <f t="shared" si="5"/>
        <v>4.0157999999999999E-2</v>
      </c>
      <c r="T76" s="774"/>
      <c r="U76" s="774" t="s">
        <v>1089</v>
      </c>
      <c r="V76" s="774"/>
      <c r="W76" s="774"/>
      <c r="X76" s="777"/>
      <c r="Y76" s="777"/>
      <c r="Z76" s="801"/>
    </row>
    <row r="77" spans="1:54" ht="15.75" customHeight="1">
      <c r="A77" s="775">
        <v>2</v>
      </c>
      <c r="B77" s="774" t="s">
        <v>1143</v>
      </c>
      <c r="C77" s="774" t="s">
        <v>1139</v>
      </c>
      <c r="D77" s="774" t="s">
        <v>1143</v>
      </c>
      <c r="E77" s="774" t="s">
        <v>1143</v>
      </c>
      <c r="F77" s="774" t="e">
        <v>#N/A</v>
      </c>
      <c r="G77" s="774" t="s">
        <v>1140</v>
      </c>
      <c r="H77" s="775" t="s">
        <v>1073</v>
      </c>
      <c r="I77" s="776" t="s">
        <v>1074</v>
      </c>
      <c r="J77" s="776" t="str">
        <f>VLOOKUP(D77,[5]Sheet1!$D$1:$D$65536,1,0)</f>
        <v>GCM188D70J106ME36J</v>
      </c>
      <c r="K77" s="775" t="s">
        <v>28</v>
      </c>
      <c r="L77" s="775"/>
      <c r="M77" s="775"/>
      <c r="N77" s="774" t="s">
        <v>237</v>
      </c>
      <c r="O77" s="774">
        <v>1.6999999999999999E-3</v>
      </c>
      <c r="P77" s="774"/>
      <c r="Q77" s="774"/>
      <c r="R77" s="774">
        <f t="shared" si="6"/>
        <v>1.7594999999999998E-3</v>
      </c>
      <c r="S77" s="774">
        <f t="shared" si="5"/>
        <v>0</v>
      </c>
      <c r="T77" s="774"/>
      <c r="U77" s="774" t="s">
        <v>1089</v>
      </c>
      <c r="V77" s="774"/>
      <c r="W77" s="774"/>
      <c r="X77" s="777"/>
      <c r="Y77" s="777"/>
      <c r="Z77" s="801"/>
    </row>
    <row r="78" spans="1:54" s="668" customFormat="1" ht="15.75" customHeight="1">
      <c r="A78" s="775">
        <v>2</v>
      </c>
      <c r="B78" s="774" t="s">
        <v>1144</v>
      </c>
      <c r="C78" s="774" t="s">
        <v>1145</v>
      </c>
      <c r="D78" s="774" t="s">
        <v>1146</v>
      </c>
      <c r="E78" s="774" t="s">
        <v>1146</v>
      </c>
      <c r="F78" s="774" t="e">
        <v>#N/A</v>
      </c>
      <c r="G78" s="774" t="s">
        <v>1147</v>
      </c>
      <c r="H78" s="775" t="s">
        <v>1073</v>
      </c>
      <c r="I78" s="776" t="s">
        <v>1074</v>
      </c>
      <c r="J78" s="776" t="str">
        <f>VLOOKUP(D78,[5]Sheet1!$D$1:$D$65536,1,0)</f>
        <v>DESD1CAN2SOQ-7</v>
      </c>
      <c r="K78" s="775" t="s">
        <v>28</v>
      </c>
      <c r="L78" s="775">
        <v>3</v>
      </c>
      <c r="M78" s="775">
        <v>3</v>
      </c>
      <c r="N78" s="774" t="s">
        <v>416</v>
      </c>
      <c r="O78" s="774">
        <v>1.6999999999999999E-3</v>
      </c>
      <c r="P78" s="774"/>
      <c r="Q78" s="774"/>
      <c r="R78" s="774">
        <f t="shared" si="6"/>
        <v>1.7594999999999998E-3</v>
      </c>
      <c r="S78" s="774">
        <f t="shared" si="5"/>
        <v>1.7594999999999998E-3</v>
      </c>
      <c r="T78" s="774">
        <f>R78*M78</f>
        <v>5.2784999999999993E-3</v>
      </c>
      <c r="U78" s="774" t="s">
        <v>1400</v>
      </c>
      <c r="V78" s="779">
        <v>3000</v>
      </c>
      <c r="W78" s="775">
        <v>24</v>
      </c>
      <c r="X78" s="777" t="s">
        <v>1461</v>
      </c>
      <c r="Y78" s="777" t="s">
        <v>1453</v>
      </c>
      <c r="Z78" s="801" t="s">
        <v>1148</v>
      </c>
      <c r="AA78" s="753"/>
      <c r="AB78" s="753"/>
      <c r="AC78" s="753"/>
      <c r="AD78" s="753"/>
      <c r="AE78" s="753"/>
      <c r="AF78" s="753"/>
      <c r="AG78" s="753"/>
      <c r="AH78" s="753"/>
      <c r="AI78" s="753"/>
      <c r="AJ78" s="753"/>
      <c r="AK78" s="753"/>
      <c r="AL78" s="753"/>
      <c r="AM78" s="753"/>
      <c r="AN78" s="753"/>
      <c r="AO78" s="753"/>
      <c r="AP78" s="753"/>
      <c r="AQ78" s="753"/>
      <c r="AR78" s="753"/>
      <c r="AS78" s="753"/>
      <c r="AT78" s="753"/>
      <c r="AU78" s="753"/>
      <c r="AV78" s="753"/>
      <c r="AW78" s="753"/>
      <c r="AX78" s="753"/>
      <c r="AY78" s="753"/>
      <c r="AZ78" s="753"/>
      <c r="BA78" s="753"/>
      <c r="BB78" s="753"/>
    </row>
    <row r="79" spans="1:54" ht="15.75" customHeight="1">
      <c r="A79" s="775">
        <v>2</v>
      </c>
      <c r="B79" s="774" t="s">
        <v>1149</v>
      </c>
      <c r="C79" s="774" t="s">
        <v>1145</v>
      </c>
      <c r="D79" s="774" t="s">
        <v>1150</v>
      </c>
      <c r="E79" s="774" t="s">
        <v>1150</v>
      </c>
      <c r="F79" s="774" t="e">
        <v>#N/A</v>
      </c>
      <c r="G79" s="774" t="s">
        <v>1147</v>
      </c>
      <c r="H79" s="775" t="s">
        <v>1073</v>
      </c>
      <c r="I79" s="776" t="s">
        <v>1074</v>
      </c>
      <c r="J79" s="776" t="str">
        <f>VLOOKUP(D79,[5]Sheet1!$D$1:$D$65536,1,0)</f>
        <v>DESD1CAN2SOQ-7-52</v>
      </c>
      <c r="K79" s="775" t="s">
        <v>28</v>
      </c>
      <c r="L79" s="775"/>
      <c r="M79" s="775"/>
      <c r="N79" s="774" t="s">
        <v>416</v>
      </c>
      <c r="O79" s="774">
        <v>1.6999999999999999E-3</v>
      </c>
      <c r="P79" s="774"/>
      <c r="Q79" s="774"/>
      <c r="R79" s="774">
        <f t="shared" si="6"/>
        <v>1.7594999999999998E-3</v>
      </c>
      <c r="S79" s="774">
        <f t="shared" si="5"/>
        <v>1.7594999999999998E-3</v>
      </c>
      <c r="T79" s="774"/>
      <c r="U79" s="774" t="s">
        <v>1400</v>
      </c>
      <c r="V79" s="774"/>
      <c r="W79" s="774"/>
      <c r="X79" s="777"/>
      <c r="Y79" s="777"/>
      <c r="Z79" s="801"/>
    </row>
    <row r="80" spans="1:54" ht="15.75" customHeight="1">
      <c r="A80" s="775">
        <v>2</v>
      </c>
      <c r="B80" s="774" t="s">
        <v>1151</v>
      </c>
      <c r="C80" s="774" t="s">
        <v>1145</v>
      </c>
      <c r="D80" s="774" t="s">
        <v>1152</v>
      </c>
      <c r="E80" s="774" t="s">
        <v>1152</v>
      </c>
      <c r="F80" s="774" t="e">
        <v>#N/A</v>
      </c>
      <c r="G80" s="774" t="s">
        <v>1147</v>
      </c>
      <c r="H80" s="775" t="s">
        <v>1073</v>
      </c>
      <c r="I80" s="776" t="s">
        <v>1074</v>
      </c>
      <c r="J80" s="776" t="str">
        <f>VLOOKUP(D80,[5]Sheet1!$D$1:$D$65536,1,0)</f>
        <v>SESDONCAN1LT3G</v>
      </c>
      <c r="K80" s="775" t="s">
        <v>28</v>
      </c>
      <c r="L80" s="775"/>
      <c r="M80" s="775"/>
      <c r="N80" s="774" t="s">
        <v>1153</v>
      </c>
      <c r="O80" s="774">
        <v>1.6999999999999999E-3</v>
      </c>
      <c r="P80" s="774"/>
      <c r="Q80" s="774"/>
      <c r="R80" s="774">
        <f t="shared" si="6"/>
        <v>1.7594999999999998E-3</v>
      </c>
      <c r="S80" s="774">
        <f t="shared" si="5"/>
        <v>1.7594999999999998E-3</v>
      </c>
      <c r="T80" s="774"/>
      <c r="U80" s="774" t="s">
        <v>1079</v>
      </c>
      <c r="V80" s="774"/>
      <c r="W80" s="774"/>
      <c r="X80" s="777"/>
      <c r="Y80" s="777"/>
      <c r="Z80" s="801"/>
    </row>
    <row r="81" spans="1:54" ht="15.75" customHeight="1">
      <c r="A81" s="775">
        <v>2</v>
      </c>
      <c r="B81" s="774" t="s">
        <v>1154</v>
      </c>
      <c r="C81" s="774" t="s">
        <v>1145</v>
      </c>
      <c r="D81" s="774" t="s">
        <v>1155</v>
      </c>
      <c r="E81" s="774" t="s">
        <v>1155</v>
      </c>
      <c r="F81" s="774" t="e">
        <v>#N/A</v>
      </c>
      <c r="G81" s="774" t="s">
        <v>1147</v>
      </c>
      <c r="H81" s="775" t="s">
        <v>1073</v>
      </c>
      <c r="I81" s="776" t="s">
        <v>1074</v>
      </c>
      <c r="J81" s="776" t="str">
        <f>VLOOKUP(D81,[5]Sheet1!$D$1:$D$65536,1,0)</f>
        <v>AQ24CANA-02HTG</v>
      </c>
      <c r="K81" s="775" t="s">
        <v>28</v>
      </c>
      <c r="L81" s="775"/>
      <c r="M81" s="775"/>
      <c r="N81" s="774" t="s">
        <v>1156</v>
      </c>
      <c r="O81" s="774">
        <v>1.6999999999999999E-3</v>
      </c>
      <c r="P81" s="774"/>
      <c r="Q81" s="774"/>
      <c r="R81" s="774">
        <f t="shared" si="6"/>
        <v>1.7594999999999998E-3</v>
      </c>
      <c r="S81" s="774">
        <f t="shared" si="5"/>
        <v>1.7594999999999998E-3</v>
      </c>
      <c r="T81" s="774"/>
      <c r="U81" s="774" t="s">
        <v>1157</v>
      </c>
      <c r="V81" s="774"/>
      <c r="W81" s="774"/>
      <c r="X81" s="777"/>
      <c r="Y81" s="777"/>
      <c r="Z81" s="801"/>
    </row>
    <row r="82" spans="1:54" ht="15.75" customHeight="1">
      <c r="A82" s="775">
        <v>2</v>
      </c>
      <c r="B82" s="774" t="s">
        <v>1158</v>
      </c>
      <c r="C82" s="774" t="s">
        <v>1145</v>
      </c>
      <c r="D82" s="774" t="s">
        <v>1159</v>
      </c>
      <c r="E82" s="774" t="s">
        <v>1159</v>
      </c>
      <c r="F82" s="774" t="e">
        <v>#N/A</v>
      </c>
      <c r="G82" s="774" t="s">
        <v>1147</v>
      </c>
      <c r="H82" s="775" t="s">
        <v>1073</v>
      </c>
      <c r="I82" s="776" t="s">
        <v>1074</v>
      </c>
      <c r="J82" s="776" t="str">
        <f>VLOOKUP(D82,[5]Sheet1!$D$1:$D$65536,1,0)</f>
        <v>SM24CANA-02HTG</v>
      </c>
      <c r="K82" s="775" t="s">
        <v>28</v>
      </c>
      <c r="L82" s="775"/>
      <c r="M82" s="775"/>
      <c r="N82" s="774" t="s">
        <v>1156</v>
      </c>
      <c r="O82" s="774">
        <v>0.04</v>
      </c>
      <c r="P82" s="774"/>
      <c r="Q82" s="774"/>
      <c r="R82" s="774">
        <f t="shared" si="6"/>
        <v>4.1399999999999999E-2</v>
      </c>
      <c r="S82" s="774">
        <f t="shared" si="5"/>
        <v>4.1399999999999999E-2</v>
      </c>
      <c r="T82" s="774"/>
      <c r="U82" s="774" t="s">
        <v>1445</v>
      </c>
      <c r="V82" s="774"/>
      <c r="W82" s="774"/>
      <c r="X82" s="777"/>
      <c r="Y82" s="777"/>
      <c r="Z82" s="801"/>
    </row>
    <row r="83" spans="1:54" ht="15.75" customHeight="1">
      <c r="A83" s="775">
        <v>2</v>
      </c>
      <c r="B83" s="774" t="s">
        <v>1160</v>
      </c>
      <c r="C83" s="774" t="s">
        <v>1145</v>
      </c>
      <c r="D83" s="774" t="s">
        <v>1160</v>
      </c>
      <c r="E83" s="774" t="s">
        <v>1160</v>
      </c>
      <c r="F83" s="774" t="e">
        <v>#N/A</v>
      </c>
      <c r="G83" s="774" t="s">
        <v>1147</v>
      </c>
      <c r="H83" s="775" t="s">
        <v>1073</v>
      </c>
      <c r="I83" s="776" t="s">
        <v>1074</v>
      </c>
      <c r="J83" s="776" t="str">
        <f>VLOOKUP(D83,[5]Sheet1!$D$1:$D$65536,1,0)</f>
        <v>CDSOT23-T24CAN-Q</v>
      </c>
      <c r="K83" s="775" t="s">
        <v>28</v>
      </c>
      <c r="L83" s="775"/>
      <c r="M83" s="775"/>
      <c r="N83" s="774" t="s">
        <v>374</v>
      </c>
      <c r="O83" s="774">
        <v>7.0999999999999994E-2</v>
      </c>
      <c r="P83" s="774"/>
      <c r="Q83" s="774"/>
      <c r="R83" s="774">
        <f t="shared" si="6"/>
        <v>7.3484999999999981E-2</v>
      </c>
      <c r="S83" s="774">
        <f t="shared" si="5"/>
        <v>7.3484999999999981E-2</v>
      </c>
      <c r="T83" s="774"/>
      <c r="U83" s="774" t="s">
        <v>1127</v>
      </c>
      <c r="V83" s="774"/>
      <c r="W83" s="774"/>
      <c r="X83" s="777"/>
      <c r="Y83" s="777"/>
      <c r="Z83" s="801"/>
    </row>
    <row r="84" spans="1:54" ht="15.5" customHeight="1">
      <c r="A84" s="775">
        <v>2</v>
      </c>
      <c r="B84" s="774" t="s">
        <v>1161</v>
      </c>
      <c r="C84" s="774" t="s">
        <v>1145</v>
      </c>
      <c r="D84" s="774" t="s">
        <v>1161</v>
      </c>
      <c r="E84" s="774" t="s">
        <v>1161</v>
      </c>
      <c r="F84" s="774" t="e">
        <v>#N/A</v>
      </c>
      <c r="G84" s="774" t="s">
        <v>1147</v>
      </c>
      <c r="H84" s="775" t="s">
        <v>1073</v>
      </c>
      <c r="I84" s="776" t="s">
        <v>1074</v>
      </c>
      <c r="J84" s="776" t="str">
        <f>VLOOKUP(D84,[5]Sheet1!$D$1:$D$65536,1,0)</f>
        <v>PESD2CANFD24VT-QR</v>
      </c>
      <c r="K84" s="775" t="s">
        <v>28</v>
      </c>
      <c r="L84" s="775"/>
      <c r="M84" s="775"/>
      <c r="N84" s="774" t="s">
        <v>244</v>
      </c>
      <c r="O84" s="774">
        <v>1.6999999999999999E-3</v>
      </c>
      <c r="P84" s="774"/>
      <c r="Q84" s="774"/>
      <c r="R84" s="774">
        <f t="shared" si="6"/>
        <v>1.7594999999999998E-3</v>
      </c>
      <c r="S84" s="774">
        <f t="shared" si="5"/>
        <v>1.7594999999999998E-3</v>
      </c>
      <c r="T84" s="774"/>
      <c r="U84" s="774" t="s">
        <v>1443</v>
      </c>
      <c r="V84" s="774"/>
      <c r="W84" s="774"/>
      <c r="X84" s="777"/>
      <c r="Y84" s="777"/>
      <c r="Z84" s="801"/>
    </row>
    <row r="85" spans="1:54" ht="15.75" customHeight="1">
      <c r="A85" s="775">
        <v>2</v>
      </c>
      <c r="B85" s="774" t="s">
        <v>1162</v>
      </c>
      <c r="C85" s="774" t="s">
        <v>1145</v>
      </c>
      <c r="D85" s="774" t="s">
        <v>1163</v>
      </c>
      <c r="E85" s="774" t="s">
        <v>1163</v>
      </c>
      <c r="F85" s="774" t="e">
        <v>#N/A</v>
      </c>
      <c r="G85" s="774" t="s">
        <v>1147</v>
      </c>
      <c r="H85" s="775" t="s">
        <v>1073</v>
      </c>
      <c r="I85" s="776" t="s">
        <v>1074</v>
      </c>
      <c r="J85" s="776" t="str">
        <f>VLOOKUP(D85,[5]Sheet1!$D$1:$D$65536,1,0)</f>
        <v>PESD1CAN_215</v>
      </c>
      <c r="K85" s="775" t="s">
        <v>28</v>
      </c>
      <c r="L85" s="775"/>
      <c r="M85" s="775"/>
      <c r="N85" s="774" t="s">
        <v>244</v>
      </c>
      <c r="O85" s="774"/>
      <c r="P85" s="774"/>
      <c r="Q85" s="774"/>
      <c r="R85" s="774">
        <f t="shared" si="6"/>
        <v>0</v>
      </c>
      <c r="S85" s="774">
        <f t="shared" si="5"/>
        <v>0</v>
      </c>
      <c r="T85" s="774"/>
      <c r="U85" s="774"/>
      <c r="V85" s="774"/>
      <c r="W85" s="774"/>
      <c r="X85" s="777"/>
      <c r="Y85" s="777"/>
      <c r="Z85" s="801"/>
    </row>
    <row r="86" spans="1:54" s="658" customFormat="1" ht="15.75" customHeight="1">
      <c r="A86" s="775">
        <v>2</v>
      </c>
      <c r="B86" s="774" t="s">
        <v>1462</v>
      </c>
      <c r="C86" s="774" t="s">
        <v>1166</v>
      </c>
      <c r="D86" s="787" t="s">
        <v>1165</v>
      </c>
      <c r="E86" s="774" t="s">
        <v>1165</v>
      </c>
      <c r="F86" s="774" t="e">
        <v>#N/A</v>
      </c>
      <c r="G86" s="774" t="s">
        <v>1167</v>
      </c>
      <c r="H86" s="775" t="s">
        <v>1073</v>
      </c>
      <c r="I86" s="776" t="s">
        <v>1074</v>
      </c>
      <c r="J86" s="776" t="str">
        <f>VLOOKUP(D86,[5]Sheet1!$D$1:$D$65536,1,0)</f>
        <v>NSVR02100HT1G</v>
      </c>
      <c r="K86" s="775" t="s">
        <v>28</v>
      </c>
      <c r="L86" s="775">
        <v>2</v>
      </c>
      <c r="M86" s="775">
        <v>2</v>
      </c>
      <c r="N86" s="774" t="s">
        <v>1153</v>
      </c>
      <c r="O86" s="774">
        <v>1.6999999999999999E-3</v>
      </c>
      <c r="P86" s="774"/>
      <c r="Q86" s="774"/>
      <c r="R86" s="774">
        <f t="shared" si="6"/>
        <v>1.7594999999999998E-3</v>
      </c>
      <c r="S86" s="774">
        <f t="shared" si="5"/>
        <v>0</v>
      </c>
      <c r="T86" s="774">
        <f t="shared" ref="T86:T88" si="8">R86*M86</f>
        <v>3.5189999999999996E-3</v>
      </c>
      <c r="U86" s="774" t="s">
        <v>1463</v>
      </c>
      <c r="V86" s="774"/>
      <c r="W86" s="774"/>
      <c r="X86" s="777" t="s">
        <v>1444</v>
      </c>
      <c r="Y86" s="777" t="s">
        <v>1444</v>
      </c>
      <c r="Z86" s="801" t="s">
        <v>1168</v>
      </c>
      <c r="AA86" s="753"/>
      <c r="AB86" s="753"/>
      <c r="AC86" s="753"/>
      <c r="AD86" s="753"/>
      <c r="AE86" s="753"/>
      <c r="AF86" s="753"/>
      <c r="AG86" s="753"/>
      <c r="AH86" s="753"/>
      <c r="AI86" s="753"/>
      <c r="AJ86" s="753"/>
      <c r="AK86" s="753"/>
      <c r="AL86" s="753"/>
      <c r="AM86" s="753"/>
      <c r="AN86" s="753"/>
      <c r="AO86" s="753"/>
      <c r="AP86" s="753"/>
      <c r="AQ86" s="753"/>
      <c r="AR86" s="753"/>
      <c r="AS86" s="753"/>
      <c r="AT86" s="753"/>
      <c r="AU86" s="753"/>
      <c r="AV86" s="753"/>
      <c r="AW86" s="753"/>
      <c r="AX86" s="753"/>
      <c r="AY86" s="753"/>
      <c r="AZ86" s="753"/>
      <c r="BA86" s="753"/>
      <c r="BB86" s="753"/>
    </row>
    <row r="87" spans="1:54" s="658" customFormat="1" ht="15.5" customHeight="1">
      <c r="A87" s="775">
        <v>2</v>
      </c>
      <c r="B87" s="774" t="s">
        <v>401</v>
      </c>
      <c r="C87" s="774" t="s">
        <v>402</v>
      </c>
      <c r="D87" s="787" t="s">
        <v>401</v>
      </c>
      <c r="E87" s="774" t="s">
        <v>401</v>
      </c>
      <c r="F87" s="774" t="s">
        <v>401</v>
      </c>
      <c r="G87" s="774" t="s">
        <v>403</v>
      </c>
      <c r="H87" s="775" t="s">
        <v>1073</v>
      </c>
      <c r="I87" s="776" t="s">
        <v>1074</v>
      </c>
      <c r="J87" s="776" t="str">
        <f>VLOOKUP(D87,[5]Sheet1!$D$1:$D$65536,1,0)</f>
        <v>ESD601DPYRQ1</v>
      </c>
      <c r="K87" s="775" t="s">
        <v>28</v>
      </c>
      <c r="L87" s="775">
        <v>2</v>
      </c>
      <c r="M87" s="775">
        <v>2</v>
      </c>
      <c r="N87" s="774" t="s">
        <v>1464</v>
      </c>
      <c r="O87" s="774">
        <v>2.9000000000000001E-2</v>
      </c>
      <c r="P87" s="774"/>
      <c r="Q87" s="774"/>
      <c r="R87" s="774">
        <f t="shared" si="6"/>
        <v>3.0015E-2</v>
      </c>
      <c r="S87" s="774">
        <f t="shared" si="5"/>
        <v>0</v>
      </c>
      <c r="T87" s="774">
        <f t="shared" si="8"/>
        <v>6.003E-2</v>
      </c>
      <c r="U87" s="774" t="s">
        <v>1464</v>
      </c>
      <c r="V87" s="774">
        <v>10000</v>
      </c>
      <c r="W87" s="774">
        <v>12</v>
      </c>
      <c r="X87" s="777" t="s">
        <v>1444</v>
      </c>
      <c r="Y87" s="777" t="s">
        <v>1444</v>
      </c>
      <c r="Z87" s="801" t="s">
        <v>1170</v>
      </c>
      <c r="AA87" s="753"/>
      <c r="AB87" s="753"/>
      <c r="AC87" s="753"/>
      <c r="AD87" s="753"/>
      <c r="AE87" s="753"/>
      <c r="AF87" s="753"/>
      <c r="AG87" s="753"/>
      <c r="AH87" s="753"/>
      <c r="AI87" s="753"/>
      <c r="AJ87" s="753"/>
      <c r="AK87" s="753"/>
      <c r="AL87" s="753"/>
      <c r="AM87" s="753"/>
      <c r="AN87" s="753"/>
      <c r="AO87" s="753"/>
      <c r="AP87" s="753"/>
      <c r="AQ87" s="753"/>
      <c r="AR87" s="753"/>
      <c r="AS87" s="753"/>
      <c r="AT87" s="753"/>
      <c r="AU87" s="753"/>
      <c r="AV87" s="753"/>
      <c r="AW87" s="753"/>
      <c r="AX87" s="753"/>
      <c r="AY87" s="753"/>
      <c r="AZ87" s="753"/>
      <c r="BA87" s="753"/>
      <c r="BB87" s="753"/>
    </row>
    <row r="88" spans="1:54" s="668" customFormat="1" ht="15.75" customHeight="1">
      <c r="A88" s="775">
        <v>2</v>
      </c>
      <c r="B88" s="774" t="s">
        <v>1171</v>
      </c>
      <c r="C88" s="774" t="s">
        <v>1172</v>
      </c>
      <c r="D88" s="787" t="s">
        <v>1401</v>
      </c>
      <c r="E88" s="774" t="s">
        <v>1171</v>
      </c>
      <c r="F88" s="779" t="e">
        <v>#N/A</v>
      </c>
      <c r="G88" s="787" t="s">
        <v>373</v>
      </c>
      <c r="H88" s="788" t="s">
        <v>1073</v>
      </c>
      <c r="I88" s="789" t="s">
        <v>1074</v>
      </c>
      <c r="J88" s="789" t="str">
        <f>VLOOKUP(D88,[5]Sheet1!$D$1:$D$65536,1,0)</f>
        <v>SMAJ54AQ-13-F</v>
      </c>
      <c r="K88" s="788" t="s">
        <v>28</v>
      </c>
      <c r="L88" s="788">
        <v>1</v>
      </c>
      <c r="M88" s="788">
        <v>1</v>
      </c>
      <c r="N88" s="787" t="s">
        <v>416</v>
      </c>
      <c r="O88" s="774">
        <v>1.6999999999999999E-3</v>
      </c>
      <c r="P88" s="774"/>
      <c r="Q88" s="774"/>
      <c r="R88" s="774">
        <f t="shared" si="6"/>
        <v>1.7594999999999998E-3</v>
      </c>
      <c r="S88" s="774">
        <f t="shared" si="5"/>
        <v>1.7594999999999998E-3</v>
      </c>
      <c r="T88" s="774">
        <f t="shared" si="8"/>
        <v>1.7594999999999998E-3</v>
      </c>
      <c r="U88" s="774" t="s">
        <v>1400</v>
      </c>
      <c r="V88" s="774">
        <v>5000</v>
      </c>
      <c r="W88" s="775">
        <v>24</v>
      </c>
      <c r="X88" s="777" t="s">
        <v>1461</v>
      </c>
      <c r="Y88" s="777" t="s">
        <v>1453</v>
      </c>
      <c r="Z88" s="801" t="s">
        <v>375</v>
      </c>
      <c r="AA88" s="753"/>
      <c r="AB88" s="753"/>
      <c r="AC88" s="753"/>
      <c r="AD88" s="753"/>
      <c r="AE88" s="753"/>
      <c r="AF88" s="753"/>
      <c r="AG88" s="753"/>
      <c r="AH88" s="753"/>
      <c r="AI88" s="753"/>
      <c r="AJ88" s="753"/>
      <c r="AK88" s="753"/>
      <c r="AL88" s="753"/>
      <c r="AM88" s="753"/>
      <c r="AN88" s="753"/>
      <c r="AO88" s="753"/>
      <c r="AP88" s="753"/>
      <c r="AQ88" s="753"/>
      <c r="AR88" s="753"/>
      <c r="AS88" s="753"/>
      <c r="AT88" s="753"/>
      <c r="AU88" s="753"/>
      <c r="AV88" s="753"/>
      <c r="AW88" s="753"/>
      <c r="AX88" s="753"/>
      <c r="AY88" s="753"/>
      <c r="AZ88" s="753"/>
      <c r="BA88" s="753"/>
      <c r="BB88" s="753"/>
    </row>
    <row r="89" spans="1:54" ht="15.75" customHeight="1">
      <c r="A89" s="775">
        <v>2</v>
      </c>
      <c r="B89" s="774" t="s">
        <v>1173</v>
      </c>
      <c r="C89" s="774" t="s">
        <v>1172</v>
      </c>
      <c r="D89" s="787" t="s">
        <v>1402</v>
      </c>
      <c r="E89" s="779" t="s">
        <v>1173</v>
      </c>
      <c r="F89" s="779" t="e">
        <v>#N/A</v>
      </c>
      <c r="G89" s="787" t="s">
        <v>373</v>
      </c>
      <c r="H89" s="788" t="s">
        <v>1073</v>
      </c>
      <c r="I89" s="789" t="s">
        <v>1074</v>
      </c>
      <c r="J89" s="789" t="str">
        <f>VLOOKUP(D89,[5]Sheet1!$D$1:$D$65536,1,0)</f>
        <v>SMAJ54AQ-13-F-52</v>
      </c>
      <c r="K89" s="788" t="s">
        <v>28</v>
      </c>
      <c r="L89" s="788"/>
      <c r="M89" s="788"/>
      <c r="N89" s="787" t="s">
        <v>416</v>
      </c>
      <c r="O89" s="787"/>
      <c r="P89" s="774"/>
      <c r="Q89" s="774"/>
      <c r="R89" s="774">
        <f t="shared" si="6"/>
        <v>0</v>
      </c>
      <c r="S89" s="774">
        <f t="shared" si="5"/>
        <v>0</v>
      </c>
      <c r="T89" s="774"/>
      <c r="U89" s="779"/>
      <c r="V89" s="774"/>
      <c r="W89" s="774"/>
      <c r="X89" s="777"/>
      <c r="Y89" s="777"/>
      <c r="Z89" s="801"/>
    </row>
    <row r="90" spans="1:54" ht="15.75" customHeight="1">
      <c r="A90" s="775">
        <v>2</v>
      </c>
      <c r="B90" s="774" t="s">
        <v>1174</v>
      </c>
      <c r="C90" s="774" t="s">
        <v>1172</v>
      </c>
      <c r="D90" s="787" t="s">
        <v>1174</v>
      </c>
      <c r="E90" s="779" t="s">
        <v>1174</v>
      </c>
      <c r="F90" s="779" t="e">
        <v>#N/A</v>
      </c>
      <c r="G90" s="787" t="s">
        <v>373</v>
      </c>
      <c r="H90" s="788" t="s">
        <v>1073</v>
      </c>
      <c r="I90" s="789" t="s">
        <v>1074</v>
      </c>
      <c r="J90" s="789" t="str">
        <f>VLOOKUP(D90,[5]Sheet1!$D$1:$D$65536,1,0)</f>
        <v>SMAJ54AQ-13-F-52-N</v>
      </c>
      <c r="K90" s="788" t="s">
        <v>28</v>
      </c>
      <c r="L90" s="788"/>
      <c r="M90" s="788"/>
      <c r="N90" s="787" t="s">
        <v>416</v>
      </c>
      <c r="O90" s="787"/>
      <c r="P90" s="774"/>
      <c r="Q90" s="774"/>
      <c r="R90" s="774">
        <f t="shared" si="6"/>
        <v>0</v>
      </c>
      <c r="S90" s="774">
        <f t="shared" si="5"/>
        <v>0</v>
      </c>
      <c r="T90" s="774"/>
      <c r="U90" s="779"/>
      <c r="V90" s="774"/>
      <c r="W90" s="774"/>
      <c r="X90" s="777"/>
      <c r="Y90" s="777"/>
      <c r="Z90" s="801"/>
    </row>
    <row r="91" spans="1:54" ht="15.75" customHeight="1">
      <c r="A91" s="775">
        <v>2</v>
      </c>
      <c r="B91" s="774" t="s">
        <v>372</v>
      </c>
      <c r="C91" s="774" t="s">
        <v>1172</v>
      </c>
      <c r="D91" s="787" t="s">
        <v>372</v>
      </c>
      <c r="E91" s="779" t="s">
        <v>372</v>
      </c>
      <c r="F91" s="779" t="s">
        <v>372</v>
      </c>
      <c r="G91" s="787" t="s">
        <v>373</v>
      </c>
      <c r="H91" s="788" t="s">
        <v>1073</v>
      </c>
      <c r="I91" s="789" t="s">
        <v>1074</v>
      </c>
      <c r="J91" s="789" t="str">
        <f>VLOOKUP(D91,[5]Sheet1!$D$1:$D$65536,1,0)</f>
        <v>SMAJ54A-Q</v>
      </c>
      <c r="K91" s="788" t="s">
        <v>28</v>
      </c>
      <c r="L91" s="788"/>
      <c r="M91" s="788"/>
      <c r="N91" s="787" t="s">
        <v>374</v>
      </c>
      <c r="O91" s="774">
        <v>1.6999999999999999E-3</v>
      </c>
      <c r="P91" s="774"/>
      <c r="Q91" s="774"/>
      <c r="R91" s="774">
        <f t="shared" si="6"/>
        <v>1.7594999999999998E-3</v>
      </c>
      <c r="S91" s="774">
        <f t="shared" si="5"/>
        <v>1.7594999999999998E-3</v>
      </c>
      <c r="T91" s="774"/>
      <c r="U91" s="779" t="s">
        <v>1175</v>
      </c>
      <c r="V91" s="774"/>
      <c r="W91" s="774"/>
      <c r="X91" s="777"/>
      <c r="Y91" s="777"/>
      <c r="Z91" s="801"/>
    </row>
    <row r="92" spans="1:54" s="668" customFormat="1" ht="15.75" customHeight="1">
      <c r="A92" s="775">
        <v>2</v>
      </c>
      <c r="B92" s="774" t="s">
        <v>1176</v>
      </c>
      <c r="C92" s="774" t="s">
        <v>1177</v>
      </c>
      <c r="D92" s="787" t="s">
        <v>1403</v>
      </c>
      <c r="E92" s="774" t="s">
        <v>1176</v>
      </c>
      <c r="F92" s="774" t="e">
        <v>#N/A</v>
      </c>
      <c r="G92" s="787" t="s">
        <v>1178</v>
      </c>
      <c r="H92" s="788" t="s">
        <v>1073</v>
      </c>
      <c r="I92" s="789" t="s">
        <v>1074</v>
      </c>
      <c r="J92" s="789" t="str">
        <f>VLOOKUP(D92,[5]Sheet1!$D$1:$D$65536,1,0)</f>
        <v>STPS2L60ZFY</v>
      </c>
      <c r="K92" s="788" t="s">
        <v>28</v>
      </c>
      <c r="L92" s="788">
        <v>2</v>
      </c>
      <c r="M92" s="788">
        <v>2</v>
      </c>
      <c r="N92" s="787" t="s">
        <v>1179</v>
      </c>
      <c r="O92" s="787">
        <v>3.5000000000000003E-2</v>
      </c>
      <c r="P92" s="774"/>
      <c r="Q92" s="774"/>
      <c r="R92" s="774">
        <f t="shared" si="6"/>
        <v>3.6225E-2</v>
      </c>
      <c r="S92" s="774">
        <f t="shared" si="5"/>
        <v>0</v>
      </c>
      <c r="T92" s="774">
        <f t="shared" ref="T92:T93" si="9">R92*M92</f>
        <v>7.2450000000000001E-2</v>
      </c>
      <c r="U92" s="779" t="s">
        <v>1465</v>
      </c>
      <c r="V92" s="774">
        <v>3000</v>
      </c>
      <c r="W92" s="780">
        <v>15</v>
      </c>
      <c r="X92" s="777" t="s">
        <v>1466</v>
      </c>
      <c r="Y92" s="777" t="s">
        <v>1453</v>
      </c>
      <c r="Z92" s="801" t="s">
        <v>1180</v>
      </c>
      <c r="AA92" s="753"/>
      <c r="AB92" s="753"/>
      <c r="AC92" s="753"/>
      <c r="AD92" s="753"/>
      <c r="AE92" s="753"/>
      <c r="AF92" s="753"/>
      <c r="AG92" s="753"/>
      <c r="AH92" s="753"/>
      <c r="AI92" s="753"/>
      <c r="AJ92" s="753"/>
      <c r="AK92" s="753"/>
      <c r="AL92" s="753"/>
      <c r="AM92" s="753"/>
      <c r="AN92" s="753"/>
      <c r="AO92" s="753"/>
      <c r="AP92" s="753"/>
      <c r="AQ92" s="753"/>
      <c r="AR92" s="753"/>
      <c r="AS92" s="753"/>
      <c r="AT92" s="753"/>
      <c r="AU92" s="753"/>
      <c r="AV92" s="753"/>
      <c r="AW92" s="753"/>
      <c r="AX92" s="753"/>
      <c r="AY92" s="753"/>
      <c r="AZ92" s="753"/>
      <c r="BA92" s="753"/>
      <c r="BB92" s="753"/>
    </row>
    <row r="93" spans="1:54" s="668" customFormat="1" ht="15.75" customHeight="1">
      <c r="A93" s="775">
        <v>2</v>
      </c>
      <c r="B93" s="774" t="s">
        <v>1181</v>
      </c>
      <c r="C93" s="774" t="s">
        <v>1182</v>
      </c>
      <c r="D93" s="787" t="s">
        <v>1181</v>
      </c>
      <c r="E93" s="774" t="s">
        <v>1181</v>
      </c>
      <c r="F93" s="787" t="e">
        <v>#N/A</v>
      </c>
      <c r="G93" s="787" t="s">
        <v>1183</v>
      </c>
      <c r="H93" s="788" t="s">
        <v>1073</v>
      </c>
      <c r="I93" s="789" t="s">
        <v>1074</v>
      </c>
      <c r="J93" s="789" t="str">
        <f>VLOOKUP(D93,[5]Sheet1!$D$1:$D$65536,1,0)</f>
        <v>DFLS2100Q-7</v>
      </c>
      <c r="K93" s="788" t="s">
        <v>28</v>
      </c>
      <c r="L93" s="788">
        <v>1</v>
      </c>
      <c r="M93" s="788">
        <v>1</v>
      </c>
      <c r="N93" s="787" t="s">
        <v>416</v>
      </c>
      <c r="O93" s="774">
        <v>1.6999999999999999E-3</v>
      </c>
      <c r="P93" s="774"/>
      <c r="Q93" s="774"/>
      <c r="R93" s="774">
        <f t="shared" si="6"/>
        <v>1.7594999999999998E-3</v>
      </c>
      <c r="S93" s="774">
        <f t="shared" si="5"/>
        <v>0</v>
      </c>
      <c r="T93" s="774">
        <f t="shared" si="9"/>
        <v>1.7594999999999998E-3</v>
      </c>
      <c r="U93" s="774" t="s">
        <v>1400</v>
      </c>
      <c r="V93" s="774">
        <v>3000</v>
      </c>
      <c r="W93" s="775">
        <v>24</v>
      </c>
      <c r="X93" s="777" t="s">
        <v>1461</v>
      </c>
      <c r="Y93" s="777" t="s">
        <v>1453</v>
      </c>
      <c r="Z93" s="801" t="s">
        <v>1184</v>
      </c>
      <c r="AA93" s="753"/>
      <c r="AB93" s="753"/>
      <c r="AC93" s="753"/>
      <c r="AD93" s="753"/>
      <c r="AE93" s="753"/>
      <c r="AF93" s="753"/>
      <c r="AG93" s="753"/>
      <c r="AH93" s="753"/>
      <c r="AI93" s="753"/>
      <c r="AJ93" s="753"/>
      <c r="AK93" s="753"/>
      <c r="AL93" s="753"/>
      <c r="AM93" s="753"/>
      <c r="AN93" s="753"/>
      <c r="AO93" s="753"/>
      <c r="AP93" s="753"/>
      <c r="AQ93" s="753"/>
      <c r="AR93" s="753"/>
      <c r="AS93" s="753"/>
      <c r="AT93" s="753"/>
      <c r="AU93" s="753"/>
      <c r="AV93" s="753"/>
      <c r="AW93" s="753"/>
      <c r="AX93" s="753"/>
      <c r="AY93" s="753"/>
      <c r="AZ93" s="753"/>
      <c r="BA93" s="753"/>
      <c r="BB93" s="753"/>
    </row>
    <row r="94" spans="1:54" ht="15.75" customHeight="1">
      <c r="A94" s="775">
        <v>2</v>
      </c>
      <c r="B94" s="774" t="s">
        <v>1185</v>
      </c>
      <c r="C94" s="774" t="s">
        <v>1182</v>
      </c>
      <c r="D94" s="787" t="s">
        <v>1185</v>
      </c>
      <c r="E94" s="787" t="s">
        <v>1185</v>
      </c>
      <c r="F94" s="787" t="e">
        <v>#N/A</v>
      </c>
      <c r="G94" s="787" t="s">
        <v>1183</v>
      </c>
      <c r="H94" s="788" t="s">
        <v>1073</v>
      </c>
      <c r="I94" s="789" t="s">
        <v>1074</v>
      </c>
      <c r="J94" s="776" t="str">
        <f>VLOOKUP(D94,[5]Sheet1!$D$1:$D$65536,1,0)</f>
        <v>DFLS2100Q-7-52</v>
      </c>
      <c r="K94" s="788" t="s">
        <v>28</v>
      </c>
      <c r="L94" s="788"/>
      <c r="M94" s="788"/>
      <c r="N94" s="787" t="s">
        <v>416</v>
      </c>
      <c r="O94" s="774">
        <v>0.10249999999999999</v>
      </c>
      <c r="P94" s="774"/>
      <c r="Q94" s="774"/>
      <c r="R94" s="774">
        <f t="shared" si="6"/>
        <v>0.10608749999999999</v>
      </c>
      <c r="S94" s="774">
        <f t="shared" si="5"/>
        <v>0.10432799999999999</v>
      </c>
      <c r="T94" s="774"/>
      <c r="U94" s="787" t="s">
        <v>1400</v>
      </c>
      <c r="V94" s="774"/>
      <c r="W94" s="774"/>
      <c r="X94" s="777"/>
      <c r="Y94" s="777"/>
      <c r="Z94" s="801"/>
    </row>
    <row r="95" spans="1:54" s="658" customFormat="1" ht="15.75" customHeight="1">
      <c r="A95" s="775">
        <v>2</v>
      </c>
      <c r="B95" s="774" t="s">
        <v>1186</v>
      </c>
      <c r="C95" s="774" t="s">
        <v>1187</v>
      </c>
      <c r="D95" s="787" t="s">
        <v>1186</v>
      </c>
      <c r="E95" s="774" t="s">
        <v>1186</v>
      </c>
      <c r="F95" s="774" t="e">
        <v>#N/A</v>
      </c>
      <c r="G95" s="774" t="s">
        <v>1188</v>
      </c>
      <c r="H95" s="775" t="s">
        <v>1073</v>
      </c>
      <c r="I95" s="776" t="s">
        <v>1074</v>
      </c>
      <c r="J95" s="776" t="str">
        <f>VLOOKUP(D95,[5]Sheet1!$D$1:$D$65536,1,0)</f>
        <v>BCL322520RT-220M-D</v>
      </c>
      <c r="K95" s="775" t="s">
        <v>28</v>
      </c>
      <c r="L95" s="775">
        <v>1</v>
      </c>
      <c r="M95" s="775">
        <v>1</v>
      </c>
      <c r="N95" s="774" t="s">
        <v>526</v>
      </c>
      <c r="O95" s="774">
        <v>1.6999999999999999E-3</v>
      </c>
      <c r="P95" s="774"/>
      <c r="Q95" s="774"/>
      <c r="R95" s="774">
        <f t="shared" si="6"/>
        <v>1.7594999999999998E-3</v>
      </c>
      <c r="S95" s="774">
        <f t="shared" si="5"/>
        <v>0</v>
      </c>
      <c r="T95" s="774">
        <f t="shared" ref="T95:T97" si="10">R95*M95</f>
        <v>1.7594999999999998E-3</v>
      </c>
      <c r="U95" s="774" t="s">
        <v>1445</v>
      </c>
      <c r="V95" s="774"/>
      <c r="W95" s="774"/>
      <c r="X95" s="777" t="s">
        <v>1444</v>
      </c>
      <c r="Y95" s="777" t="s">
        <v>1444</v>
      </c>
      <c r="Z95" s="801" t="s">
        <v>1189</v>
      </c>
      <c r="AA95" s="753"/>
      <c r="AB95" s="753"/>
      <c r="AC95" s="753"/>
      <c r="AD95" s="753"/>
      <c r="AE95" s="753"/>
      <c r="AF95" s="753"/>
      <c r="AG95" s="753"/>
      <c r="AH95" s="753"/>
      <c r="AI95" s="753"/>
      <c r="AJ95" s="753"/>
      <c r="AK95" s="753"/>
      <c r="AL95" s="753"/>
      <c r="AM95" s="753"/>
      <c r="AN95" s="753"/>
      <c r="AO95" s="753"/>
      <c r="AP95" s="753"/>
      <c r="AQ95" s="753"/>
      <c r="AR95" s="753"/>
      <c r="AS95" s="753"/>
      <c r="AT95" s="753"/>
      <c r="AU95" s="753"/>
      <c r="AV95" s="753"/>
      <c r="AW95" s="753"/>
      <c r="AX95" s="753"/>
      <c r="AY95" s="753"/>
      <c r="AZ95" s="753"/>
      <c r="BA95" s="753"/>
      <c r="BB95" s="753"/>
    </row>
    <row r="96" spans="1:54" s="658" customFormat="1" ht="15.75" customHeight="1">
      <c r="A96" s="775">
        <v>2</v>
      </c>
      <c r="B96" s="774" t="s">
        <v>523</v>
      </c>
      <c r="C96" s="774" t="s">
        <v>524</v>
      </c>
      <c r="D96" s="787" t="s">
        <v>1467</v>
      </c>
      <c r="E96" s="774" t="s">
        <v>523</v>
      </c>
      <c r="F96" s="774" t="s">
        <v>523</v>
      </c>
      <c r="G96" s="774" t="s">
        <v>525</v>
      </c>
      <c r="H96" s="775" t="s">
        <v>1073</v>
      </c>
      <c r="I96" s="776" t="s">
        <v>1074</v>
      </c>
      <c r="J96" s="776" t="str">
        <f>VLOOKUP(D96,[5]Sheet1!$D$1:$D$65536,1,0)</f>
        <v>ACT1210E-241-2P</v>
      </c>
      <c r="K96" s="775" t="s">
        <v>28</v>
      </c>
      <c r="L96" s="775">
        <v>1</v>
      </c>
      <c r="M96" s="775">
        <v>1</v>
      </c>
      <c r="N96" s="774" t="s">
        <v>526</v>
      </c>
      <c r="O96" s="774">
        <v>1.6999999999999999E-3</v>
      </c>
      <c r="P96" s="774">
        <f>VLOOKUP(D96,'EEBOM Feb.2nd2026'!$D:$N,11,0)</f>
        <v>0.28697</v>
      </c>
      <c r="Q96" s="774">
        <f t="shared" ref="Q96:Q98" si="11">O96-P96</f>
        <v>-0.28527000000000002</v>
      </c>
      <c r="R96" s="774">
        <f t="shared" si="6"/>
        <v>1.7594999999999998E-3</v>
      </c>
      <c r="S96" s="774">
        <f t="shared" si="5"/>
        <v>0</v>
      </c>
      <c r="T96" s="774">
        <f t="shared" si="10"/>
        <v>1.7594999999999998E-3</v>
      </c>
      <c r="U96" s="774" t="s">
        <v>1445</v>
      </c>
      <c r="V96" s="774">
        <v>6000</v>
      </c>
      <c r="W96" s="774">
        <v>14</v>
      </c>
      <c r="X96" s="777" t="s">
        <v>1468</v>
      </c>
      <c r="Y96" s="777" t="s">
        <v>1448</v>
      </c>
      <c r="Z96" s="801" t="s">
        <v>527</v>
      </c>
      <c r="AA96" s="753"/>
      <c r="AB96" s="753"/>
      <c r="AC96" s="753"/>
      <c r="AD96" s="753"/>
      <c r="AE96" s="753"/>
      <c r="AF96" s="753"/>
      <c r="AG96" s="753"/>
      <c r="AH96" s="753"/>
      <c r="AI96" s="753"/>
      <c r="AJ96" s="753"/>
      <c r="AK96" s="753"/>
      <c r="AL96" s="753"/>
      <c r="AM96" s="753"/>
      <c r="AN96" s="753"/>
      <c r="AO96" s="753"/>
      <c r="AP96" s="753"/>
      <c r="AQ96" s="753"/>
      <c r="AR96" s="753"/>
      <c r="AS96" s="753"/>
      <c r="AT96" s="753"/>
      <c r="AU96" s="753"/>
      <c r="AV96" s="753"/>
      <c r="AW96" s="753"/>
      <c r="AX96" s="753"/>
      <c r="AY96" s="753"/>
      <c r="AZ96" s="753"/>
      <c r="BA96" s="753"/>
      <c r="BB96" s="753"/>
    </row>
    <row r="97" spans="1:54" s="658" customFormat="1" ht="15.75" customHeight="1">
      <c r="A97" s="775">
        <v>2</v>
      </c>
      <c r="B97" s="774" t="s">
        <v>1190</v>
      </c>
      <c r="C97" s="774" t="s">
        <v>1191</v>
      </c>
      <c r="D97" s="787" t="s">
        <v>1469</v>
      </c>
      <c r="E97" s="774" t="s">
        <v>1190</v>
      </c>
      <c r="F97" s="774" t="e">
        <v>#N/A</v>
      </c>
      <c r="G97" s="774" t="s">
        <v>1192</v>
      </c>
      <c r="H97" s="775" t="s">
        <v>1073</v>
      </c>
      <c r="I97" s="776" t="s">
        <v>1074</v>
      </c>
      <c r="J97" s="776" t="str">
        <f>VLOOKUP(D97,[5]Sheet1!$D$1:$D$65536,1,0)</f>
        <v>MAT-06CZE220M-V2-CY</v>
      </c>
      <c r="K97" s="775" t="s">
        <v>28</v>
      </c>
      <c r="L97" s="775">
        <v>1</v>
      </c>
      <c r="M97" s="775">
        <v>1</v>
      </c>
      <c r="N97" s="774" t="s">
        <v>1193</v>
      </c>
      <c r="O97" s="779">
        <v>0.185</v>
      </c>
      <c r="P97" s="774">
        <f>VLOOKUP(D97,'EEBOM Feb.2nd2026'!$D:$N,11,0)</f>
        <v>7.0000000000000007E-2</v>
      </c>
      <c r="Q97" s="774">
        <f t="shared" si="11"/>
        <v>0.11499999999999999</v>
      </c>
      <c r="R97" s="774">
        <f t="shared" si="6"/>
        <v>0.19147499999999998</v>
      </c>
      <c r="S97" s="774">
        <f t="shared" si="5"/>
        <v>0</v>
      </c>
      <c r="T97" s="774">
        <f t="shared" si="10"/>
        <v>0.19147499999999998</v>
      </c>
      <c r="U97" s="774" t="s">
        <v>1470</v>
      </c>
      <c r="V97" s="774">
        <v>1000</v>
      </c>
      <c r="W97" s="774">
        <v>16</v>
      </c>
      <c r="X97" s="777" t="s">
        <v>1468</v>
      </c>
      <c r="Y97" s="777" t="s">
        <v>1448</v>
      </c>
      <c r="Z97" s="801" t="s">
        <v>486</v>
      </c>
      <c r="AA97" s="753"/>
      <c r="AB97" s="753"/>
      <c r="AC97" s="753"/>
      <c r="AD97" s="753"/>
      <c r="AE97" s="753"/>
      <c r="AF97" s="753"/>
      <c r="AG97" s="753"/>
      <c r="AH97" s="753"/>
      <c r="AI97" s="753"/>
      <c r="AJ97" s="753"/>
      <c r="AK97" s="753"/>
      <c r="AL97" s="753"/>
      <c r="AM97" s="753"/>
      <c r="AN97" s="753"/>
      <c r="AO97" s="753"/>
      <c r="AP97" s="753"/>
      <c r="AQ97" s="753"/>
      <c r="AR97" s="753"/>
      <c r="AS97" s="753"/>
      <c r="AT97" s="753"/>
      <c r="AU97" s="753"/>
      <c r="AV97" s="753"/>
      <c r="AW97" s="753"/>
      <c r="AX97" s="753"/>
      <c r="AY97" s="753"/>
      <c r="AZ97" s="753"/>
      <c r="BA97" s="753"/>
      <c r="BB97" s="753"/>
    </row>
    <row r="98" spans="1:54" s="658" customFormat="1" ht="15.75" customHeight="1">
      <c r="A98" s="775">
        <v>2</v>
      </c>
      <c r="B98" s="781" t="s">
        <v>1194</v>
      </c>
      <c r="C98" s="781" t="s">
        <v>1195</v>
      </c>
      <c r="D98" s="781" t="s">
        <v>1194</v>
      </c>
      <c r="E98" s="774" t="s">
        <v>1194</v>
      </c>
      <c r="F98" s="774" t="e">
        <v>#N/A</v>
      </c>
      <c r="G98" s="781" t="s">
        <v>1196</v>
      </c>
      <c r="H98" s="782" t="s">
        <v>1073</v>
      </c>
      <c r="I98" s="783" t="s">
        <v>1074</v>
      </c>
      <c r="J98" s="783" t="e">
        <f>VLOOKUP(D98,[5]Sheet1!$D$1:$D$65536,1,0)</f>
        <v>#N/A</v>
      </c>
      <c r="K98" s="782" t="s">
        <v>28</v>
      </c>
      <c r="L98" s="775"/>
      <c r="M98" s="782"/>
      <c r="N98" s="781" t="s">
        <v>368</v>
      </c>
      <c r="O98" s="781">
        <v>0.11799999999999999</v>
      </c>
      <c r="P98" s="774">
        <f>VLOOKUP(D98,'EEBOM Feb.2nd2026'!$D:$N,11,0)</f>
        <v>0.11799999999999999</v>
      </c>
      <c r="Q98" s="774">
        <f t="shared" si="11"/>
        <v>0</v>
      </c>
      <c r="R98" s="781">
        <f t="shared" si="6"/>
        <v>0.12212999999999999</v>
      </c>
      <c r="S98" s="781"/>
      <c r="T98" s="781"/>
      <c r="U98" s="774" t="s">
        <v>1443</v>
      </c>
      <c r="V98" s="774">
        <v>3000</v>
      </c>
      <c r="W98" s="774">
        <v>24</v>
      </c>
      <c r="X98" s="777" t="s">
        <v>1468</v>
      </c>
      <c r="Y98" s="784" t="s">
        <v>1448</v>
      </c>
      <c r="Z98" s="803" t="s">
        <v>1197</v>
      </c>
      <c r="AA98" s="753" t="s">
        <v>1538</v>
      </c>
      <c r="AB98" s="802" t="str">
        <f>VLOOKUP(D98,[6]删除物料!$C$3:$F$14,4,0)</f>
        <v>位号不变，主料删除</v>
      </c>
      <c r="AC98" s="753"/>
      <c r="AD98" s="753"/>
      <c r="AE98" s="753"/>
      <c r="AF98" s="753"/>
      <c r="AG98" s="753"/>
      <c r="AH98" s="753"/>
      <c r="AI98" s="753"/>
      <c r="AJ98" s="753"/>
      <c r="AK98" s="753"/>
      <c r="AL98" s="753"/>
      <c r="AM98" s="753"/>
      <c r="AN98" s="753"/>
      <c r="AO98" s="753"/>
      <c r="AP98" s="753"/>
      <c r="AQ98" s="753"/>
      <c r="AR98" s="753"/>
      <c r="AS98" s="753"/>
      <c r="AT98" s="753"/>
      <c r="AU98" s="753"/>
      <c r="AV98" s="753"/>
      <c r="AW98" s="753"/>
      <c r="AX98" s="753"/>
      <c r="AY98" s="753"/>
      <c r="AZ98" s="753"/>
      <c r="BA98" s="753"/>
      <c r="BB98" s="753"/>
    </row>
    <row r="99" spans="1:54" s="658" customFormat="1" ht="15.75" customHeight="1">
      <c r="A99" s="775">
        <v>2</v>
      </c>
      <c r="B99" s="774" t="s">
        <v>1549</v>
      </c>
      <c r="C99" s="774" t="s">
        <v>1195</v>
      </c>
      <c r="D99" s="787" t="s">
        <v>1549</v>
      </c>
      <c r="E99" s="774"/>
      <c r="F99" s="774"/>
      <c r="G99" s="774" t="s">
        <v>1196</v>
      </c>
      <c r="H99" s="775"/>
      <c r="I99" s="776"/>
      <c r="J99" s="783"/>
      <c r="K99" s="782"/>
      <c r="L99" s="780">
        <v>1</v>
      </c>
      <c r="M99" s="775">
        <v>1</v>
      </c>
      <c r="N99" s="790" t="s">
        <v>368</v>
      </c>
      <c r="O99" s="791">
        <f>VLOOKUP(D99,[7]Sheet3!$C$2:$G$13,5,0)</f>
        <v>9.0999999999999998E-2</v>
      </c>
      <c r="P99" s="790"/>
      <c r="Q99" s="790"/>
      <c r="R99" s="791">
        <f>O99*1.035</f>
        <v>9.4184999999999991E-2</v>
      </c>
      <c r="S99" s="791"/>
      <c r="T99" s="792">
        <f>R99*L99</f>
        <v>9.4184999999999991E-2</v>
      </c>
      <c r="U99" s="774"/>
      <c r="V99" s="774"/>
      <c r="W99" s="774"/>
      <c r="X99" s="777"/>
      <c r="Y99" s="784"/>
      <c r="Z99" s="801" t="s">
        <v>1197</v>
      </c>
      <c r="AA99" s="753" t="s">
        <v>1550</v>
      </c>
      <c r="AB99" s="802" t="s">
        <v>1551</v>
      </c>
      <c r="AC99" s="753"/>
      <c r="AD99" s="753"/>
      <c r="AE99" s="753"/>
      <c r="AF99" s="753"/>
      <c r="AG99" s="753"/>
      <c r="AH99" s="753"/>
      <c r="AI99" s="753"/>
      <c r="AJ99" s="753"/>
      <c r="AK99" s="753"/>
      <c r="AL99" s="753"/>
      <c r="AM99" s="753"/>
      <c r="AN99" s="753"/>
      <c r="AO99" s="753"/>
      <c r="AP99" s="753"/>
      <c r="AQ99" s="753"/>
      <c r="AR99" s="753"/>
      <c r="AS99" s="753"/>
      <c r="AT99" s="753"/>
      <c r="AU99" s="753"/>
      <c r="AV99" s="753"/>
      <c r="AW99" s="753"/>
      <c r="AX99" s="753"/>
      <c r="AY99" s="753"/>
      <c r="AZ99" s="753"/>
      <c r="BA99" s="753"/>
      <c r="BB99" s="753"/>
    </row>
    <row r="100" spans="1:54" s="668" customFormat="1" ht="15.75" customHeight="1">
      <c r="A100" s="775">
        <v>2</v>
      </c>
      <c r="B100" s="774" t="s">
        <v>1471</v>
      </c>
      <c r="C100" s="774" t="s">
        <v>413</v>
      </c>
      <c r="D100" s="774" t="s">
        <v>414</v>
      </c>
      <c r="E100" s="774" t="s">
        <v>414</v>
      </c>
      <c r="F100" s="774" t="s">
        <v>414</v>
      </c>
      <c r="G100" s="774" t="s">
        <v>415</v>
      </c>
      <c r="H100" s="775" t="s">
        <v>1073</v>
      </c>
      <c r="I100" s="776" t="s">
        <v>1074</v>
      </c>
      <c r="J100" s="776" t="str">
        <f>VLOOKUP(D100,[5]Sheet1!$D$1:$D$65536,1,0)</f>
        <v>BSS123Q-13</v>
      </c>
      <c r="K100" s="775" t="s">
        <v>28</v>
      </c>
      <c r="L100" s="775">
        <v>2</v>
      </c>
      <c r="M100" s="775"/>
      <c r="N100" s="774" t="s">
        <v>416</v>
      </c>
      <c r="O100" s="774">
        <v>1.6999999999999999E-3</v>
      </c>
      <c r="P100" s="774"/>
      <c r="Q100" s="774"/>
      <c r="R100" s="774">
        <f t="shared" si="6"/>
        <v>1.7594999999999998E-3</v>
      </c>
      <c r="S100" s="774">
        <f t="shared" ref="S100:S161" si="12">R100-_xlfn.MINIFS(R:R,C:C,C100)</f>
        <v>0</v>
      </c>
      <c r="T100" s="774"/>
      <c r="U100" s="774" t="s">
        <v>1400</v>
      </c>
      <c r="V100" s="774">
        <v>10000</v>
      </c>
      <c r="W100" s="775">
        <v>24</v>
      </c>
      <c r="X100" s="777" t="s">
        <v>1461</v>
      </c>
      <c r="Y100" s="777" t="s">
        <v>1453</v>
      </c>
      <c r="Z100" s="801" t="s">
        <v>1198</v>
      </c>
      <c r="AA100" s="753"/>
      <c r="AB100" s="753"/>
      <c r="AC100" s="753"/>
      <c r="AD100" s="753"/>
      <c r="AE100" s="753"/>
      <c r="AF100" s="753"/>
      <c r="AG100" s="753"/>
      <c r="AH100" s="753"/>
      <c r="AI100" s="753"/>
      <c r="AJ100" s="753"/>
      <c r="AK100" s="753"/>
      <c r="AL100" s="753"/>
      <c r="AM100" s="753"/>
      <c r="AN100" s="753"/>
      <c r="AO100" s="753"/>
      <c r="AP100" s="753"/>
      <c r="AQ100" s="753"/>
      <c r="AR100" s="753"/>
      <c r="AS100" s="753"/>
      <c r="AT100" s="753"/>
      <c r="AU100" s="753"/>
      <c r="AV100" s="753"/>
      <c r="AW100" s="753"/>
      <c r="AX100" s="753"/>
      <c r="AY100" s="753"/>
      <c r="AZ100" s="753"/>
      <c r="BA100" s="753"/>
      <c r="BB100" s="753"/>
    </row>
    <row r="101" spans="1:54" ht="15.75" customHeight="1">
      <c r="A101" s="775">
        <v>2</v>
      </c>
      <c r="B101" s="774" t="s">
        <v>418</v>
      </c>
      <c r="C101" s="774" t="s">
        <v>413</v>
      </c>
      <c r="D101" s="787" t="s">
        <v>418</v>
      </c>
      <c r="E101" s="774" t="s">
        <v>418</v>
      </c>
      <c r="F101" s="774" t="s">
        <v>418</v>
      </c>
      <c r="G101" s="774" t="s">
        <v>415</v>
      </c>
      <c r="H101" s="775" t="s">
        <v>1073</v>
      </c>
      <c r="I101" s="776" t="s">
        <v>1074</v>
      </c>
      <c r="J101" s="776" t="str">
        <f>VLOOKUP(D101,[5]Sheet1!$D$1:$D$65536,1,0)</f>
        <v>BSS123Q-7</v>
      </c>
      <c r="K101" s="775" t="s">
        <v>28</v>
      </c>
      <c r="L101" s="775"/>
      <c r="M101" s="775">
        <v>2</v>
      </c>
      <c r="N101" s="774" t="s">
        <v>416</v>
      </c>
      <c r="O101" s="774">
        <v>1.6999999999999999E-3</v>
      </c>
      <c r="P101" s="774"/>
      <c r="Q101" s="774"/>
      <c r="R101" s="774">
        <f t="shared" si="6"/>
        <v>1.7594999999999998E-3</v>
      </c>
      <c r="S101" s="774">
        <f t="shared" si="12"/>
        <v>0</v>
      </c>
      <c r="T101" s="774">
        <f>R101*M101</f>
        <v>3.5189999999999996E-3</v>
      </c>
      <c r="U101" s="774" t="s">
        <v>1400</v>
      </c>
      <c r="V101" s="774"/>
      <c r="W101" s="774"/>
      <c r="X101" s="777"/>
      <c r="Y101" s="777"/>
      <c r="Z101" s="801"/>
    </row>
    <row r="102" spans="1:54" ht="15.75" customHeight="1">
      <c r="A102" s="775">
        <v>2</v>
      </c>
      <c r="B102" s="774" t="s">
        <v>419</v>
      </c>
      <c r="C102" s="774" t="s">
        <v>413</v>
      </c>
      <c r="D102" s="774" t="s">
        <v>1199</v>
      </c>
      <c r="E102" s="774" t="s">
        <v>419</v>
      </c>
      <c r="F102" s="774" t="s">
        <v>419</v>
      </c>
      <c r="G102" s="774" t="s">
        <v>415</v>
      </c>
      <c r="H102" s="775" t="s">
        <v>1073</v>
      </c>
      <c r="I102" s="776" t="s">
        <v>1074</v>
      </c>
      <c r="J102" s="776" t="str">
        <f>VLOOKUP(D102,[5]Sheet1!$D$1:$D$65536,1,0)</f>
        <v>BSS123NH6433XTMA1</v>
      </c>
      <c r="K102" s="775" t="s">
        <v>28</v>
      </c>
      <c r="L102" s="775"/>
      <c r="M102" s="775"/>
      <c r="N102" s="774" t="s">
        <v>420</v>
      </c>
      <c r="O102" s="774">
        <v>1.6999999999999999E-3</v>
      </c>
      <c r="P102" s="774"/>
      <c r="Q102" s="774"/>
      <c r="R102" s="774">
        <f t="shared" si="6"/>
        <v>1.7594999999999998E-3</v>
      </c>
      <c r="S102" s="774">
        <f t="shared" si="12"/>
        <v>0</v>
      </c>
      <c r="T102" s="774"/>
      <c r="U102" s="774" t="s">
        <v>1200</v>
      </c>
      <c r="V102" s="774">
        <v>15000</v>
      </c>
      <c r="W102" s="774" t="s">
        <v>1201</v>
      </c>
      <c r="X102" s="777"/>
      <c r="Y102" s="777"/>
      <c r="Z102" s="801"/>
    </row>
    <row r="103" spans="1:54" ht="15.75" customHeight="1">
      <c r="A103" s="775">
        <v>2</v>
      </c>
      <c r="B103" s="774" t="s">
        <v>421</v>
      </c>
      <c r="C103" s="774" t="s">
        <v>413</v>
      </c>
      <c r="D103" s="774" t="s">
        <v>421</v>
      </c>
      <c r="E103" s="774" t="s">
        <v>421</v>
      </c>
      <c r="F103" s="774" t="s">
        <v>421</v>
      </c>
      <c r="G103" s="774" t="s">
        <v>415</v>
      </c>
      <c r="H103" s="775" t="s">
        <v>1073</v>
      </c>
      <c r="I103" s="776" t="s">
        <v>1074</v>
      </c>
      <c r="J103" s="776" t="str">
        <f>VLOOKUP(D103,[5]Sheet1!$D$1:$D$65536,1,0)</f>
        <v>BSS123NH6327XTSA1</v>
      </c>
      <c r="K103" s="775" t="s">
        <v>28</v>
      </c>
      <c r="L103" s="775"/>
      <c r="M103" s="775"/>
      <c r="N103" s="774" t="s">
        <v>420</v>
      </c>
      <c r="O103" s="774">
        <v>1.6999999999999999E-3</v>
      </c>
      <c r="P103" s="774"/>
      <c r="Q103" s="774"/>
      <c r="R103" s="774">
        <f t="shared" si="6"/>
        <v>1.7594999999999998E-3</v>
      </c>
      <c r="S103" s="774">
        <f t="shared" si="12"/>
        <v>0</v>
      </c>
      <c r="T103" s="774"/>
      <c r="U103" s="774" t="s">
        <v>1200</v>
      </c>
      <c r="V103" s="774">
        <v>10000</v>
      </c>
      <c r="W103" s="774" t="s">
        <v>1201</v>
      </c>
      <c r="X103" s="777"/>
      <c r="Y103" s="777"/>
      <c r="Z103" s="801"/>
    </row>
    <row r="104" spans="1:54" s="668" customFormat="1" ht="15.75" customHeight="1">
      <c r="A104" s="775">
        <v>2</v>
      </c>
      <c r="B104" s="774" t="s">
        <v>1202</v>
      </c>
      <c r="C104" s="774" t="s">
        <v>1203</v>
      </c>
      <c r="D104" s="774" t="s">
        <v>1202</v>
      </c>
      <c r="E104" s="774" t="s">
        <v>1202</v>
      </c>
      <c r="F104" s="774" t="e">
        <v>#N/A</v>
      </c>
      <c r="G104" s="774" t="s">
        <v>1204</v>
      </c>
      <c r="H104" s="775" t="s">
        <v>1073</v>
      </c>
      <c r="I104" s="776" t="s">
        <v>1074</v>
      </c>
      <c r="J104" s="776" t="str">
        <f>VLOOKUP(D104,[5]Sheet1!$D$1:$D$65536,1,0)</f>
        <v>DMC3061SVTQ-13</v>
      </c>
      <c r="K104" s="775" t="s">
        <v>28</v>
      </c>
      <c r="L104" s="775">
        <v>4</v>
      </c>
      <c r="M104" s="775">
        <v>4</v>
      </c>
      <c r="N104" s="774" t="s">
        <v>416</v>
      </c>
      <c r="O104" s="774">
        <v>1.6999999999999999E-3</v>
      </c>
      <c r="P104" s="774"/>
      <c r="Q104" s="774"/>
      <c r="R104" s="774">
        <f t="shared" si="6"/>
        <v>1.7594999999999998E-3</v>
      </c>
      <c r="S104" s="774">
        <f t="shared" si="12"/>
        <v>1.7594999999999998E-3</v>
      </c>
      <c r="T104" s="774">
        <f>R104*M104</f>
        <v>7.0379999999999991E-3</v>
      </c>
      <c r="U104" s="774" t="s">
        <v>1400</v>
      </c>
      <c r="V104" s="774">
        <v>10000</v>
      </c>
      <c r="W104" s="775">
        <v>20</v>
      </c>
      <c r="X104" s="777" t="s">
        <v>1461</v>
      </c>
      <c r="Y104" s="777" t="s">
        <v>1453</v>
      </c>
      <c r="Z104" s="801" t="s">
        <v>1205</v>
      </c>
      <c r="AA104" s="753"/>
      <c r="AB104" s="753"/>
      <c r="AC104" s="753"/>
      <c r="AD104" s="753"/>
      <c r="AE104" s="753"/>
      <c r="AF104" s="753"/>
      <c r="AG104" s="753"/>
      <c r="AH104" s="753"/>
      <c r="AI104" s="753"/>
      <c r="AJ104" s="753"/>
      <c r="AK104" s="753"/>
      <c r="AL104" s="753"/>
      <c r="AM104" s="753"/>
      <c r="AN104" s="753"/>
      <c r="AO104" s="753"/>
      <c r="AP104" s="753"/>
      <c r="AQ104" s="753"/>
      <c r="AR104" s="753"/>
      <c r="AS104" s="753"/>
      <c r="AT104" s="753"/>
      <c r="AU104" s="753"/>
      <c r="AV104" s="753"/>
      <c r="AW104" s="753"/>
      <c r="AX104" s="753"/>
      <c r="AY104" s="753"/>
      <c r="AZ104" s="753"/>
      <c r="BA104" s="753"/>
      <c r="BB104" s="753"/>
    </row>
    <row r="105" spans="1:54" ht="15.75" customHeight="1">
      <c r="A105" s="775">
        <v>2</v>
      </c>
      <c r="B105" s="774" t="s">
        <v>1206</v>
      </c>
      <c r="C105" s="774" t="s">
        <v>1203</v>
      </c>
      <c r="D105" s="774" t="s">
        <v>1206</v>
      </c>
      <c r="E105" s="774" t="s">
        <v>1206</v>
      </c>
      <c r="F105" s="774" t="e">
        <v>#N/A</v>
      </c>
      <c r="G105" s="774" t="s">
        <v>1204</v>
      </c>
      <c r="H105" s="775" t="s">
        <v>1073</v>
      </c>
      <c r="I105" s="776" t="s">
        <v>1074</v>
      </c>
      <c r="J105" s="776" t="str">
        <f>VLOOKUP(D105,[5]Sheet1!$D$1:$D$65536,1,0)</f>
        <v>DMC3061SVTQ-13-52</v>
      </c>
      <c r="K105" s="775" t="s">
        <v>28</v>
      </c>
      <c r="L105" s="775"/>
      <c r="M105" s="775"/>
      <c r="N105" s="774" t="s">
        <v>416</v>
      </c>
      <c r="O105" s="774"/>
      <c r="P105" s="774"/>
      <c r="Q105" s="774"/>
      <c r="R105" s="774">
        <f t="shared" si="6"/>
        <v>0</v>
      </c>
      <c r="S105" s="774">
        <f t="shared" si="12"/>
        <v>0</v>
      </c>
      <c r="T105" s="774"/>
      <c r="U105" s="774"/>
      <c r="V105" s="774"/>
      <c r="W105" s="774"/>
      <c r="X105" s="777"/>
      <c r="Y105" s="777"/>
      <c r="Z105" s="801"/>
    </row>
    <row r="106" spans="1:54" ht="15.75" customHeight="1">
      <c r="A106" s="775">
        <v>2</v>
      </c>
      <c r="B106" s="774" t="s">
        <v>1207</v>
      </c>
      <c r="C106" s="774" t="s">
        <v>1203</v>
      </c>
      <c r="D106" s="774" t="s">
        <v>1207</v>
      </c>
      <c r="E106" s="774" t="s">
        <v>1207</v>
      </c>
      <c r="F106" s="774" t="e">
        <v>#N/A</v>
      </c>
      <c r="G106" s="774" t="s">
        <v>1204</v>
      </c>
      <c r="H106" s="775" t="s">
        <v>1073</v>
      </c>
      <c r="I106" s="776" t="s">
        <v>1074</v>
      </c>
      <c r="J106" s="776" t="str">
        <f>VLOOKUP(D106,[5]Sheet1!$D$1:$D$65536,1,0)</f>
        <v>DMC3061SVTQ-7</v>
      </c>
      <c r="K106" s="775" t="s">
        <v>28</v>
      </c>
      <c r="L106" s="775"/>
      <c r="M106" s="775"/>
      <c r="N106" s="774" t="s">
        <v>416</v>
      </c>
      <c r="O106" s="774">
        <v>1.6999999999999999E-3</v>
      </c>
      <c r="P106" s="774"/>
      <c r="Q106" s="774"/>
      <c r="R106" s="774">
        <f t="shared" si="6"/>
        <v>1.7594999999999998E-3</v>
      </c>
      <c r="S106" s="774">
        <f t="shared" si="12"/>
        <v>1.7594999999999998E-3</v>
      </c>
      <c r="T106" s="774"/>
      <c r="U106" s="774" t="s">
        <v>1400</v>
      </c>
      <c r="V106" s="774"/>
      <c r="W106" s="774"/>
      <c r="X106" s="777"/>
      <c r="Y106" s="777"/>
      <c r="Z106" s="801"/>
    </row>
    <row r="107" spans="1:54" ht="15.75" customHeight="1">
      <c r="A107" s="775">
        <v>2</v>
      </c>
      <c r="B107" s="774" t="s">
        <v>1208</v>
      </c>
      <c r="C107" s="774" t="s">
        <v>1203</v>
      </c>
      <c r="D107" s="774" t="s">
        <v>1208</v>
      </c>
      <c r="E107" s="774" t="s">
        <v>1208</v>
      </c>
      <c r="F107" s="774" t="e">
        <v>#N/A</v>
      </c>
      <c r="G107" s="774" t="s">
        <v>1204</v>
      </c>
      <c r="H107" s="775" t="s">
        <v>1073</v>
      </c>
      <c r="I107" s="776" t="s">
        <v>1074</v>
      </c>
      <c r="J107" s="776" t="str">
        <f>VLOOKUP(D107,[5]Sheet1!$D$1:$D$65536,1,0)</f>
        <v>DMC3061SVTQ-7-52</v>
      </c>
      <c r="K107" s="775" t="s">
        <v>28</v>
      </c>
      <c r="L107" s="775"/>
      <c r="M107" s="775"/>
      <c r="N107" s="774" t="s">
        <v>416</v>
      </c>
      <c r="O107" s="774">
        <v>1.6999999999999999E-3</v>
      </c>
      <c r="P107" s="774"/>
      <c r="Q107" s="774"/>
      <c r="R107" s="774">
        <f t="shared" si="6"/>
        <v>1.7594999999999998E-3</v>
      </c>
      <c r="S107" s="774">
        <f t="shared" si="12"/>
        <v>1.7594999999999998E-3</v>
      </c>
      <c r="T107" s="774"/>
      <c r="U107" s="774" t="s">
        <v>1400</v>
      </c>
      <c r="V107" s="774"/>
      <c r="W107" s="774"/>
      <c r="X107" s="777"/>
      <c r="Y107" s="777"/>
      <c r="Z107" s="801"/>
    </row>
    <row r="108" spans="1:54" ht="15.75" customHeight="1">
      <c r="A108" s="775">
        <v>2</v>
      </c>
      <c r="B108" s="774" t="s">
        <v>1209</v>
      </c>
      <c r="C108" s="774" t="s">
        <v>1203</v>
      </c>
      <c r="D108" s="774" t="s">
        <v>1209</v>
      </c>
      <c r="E108" s="774" t="s">
        <v>1209</v>
      </c>
      <c r="F108" s="774" t="e">
        <v>#N/A</v>
      </c>
      <c r="G108" s="774" t="s">
        <v>1204</v>
      </c>
      <c r="H108" s="775" t="s">
        <v>1073</v>
      </c>
      <c r="I108" s="776" t="s">
        <v>1074</v>
      </c>
      <c r="J108" s="776" t="str">
        <f>VLOOKUP(D108,[5]Sheet1!$D$1:$D$65536,1,0)</f>
        <v>DMC3061SVTQ-13-52-N</v>
      </c>
      <c r="K108" s="775" t="s">
        <v>28</v>
      </c>
      <c r="L108" s="775"/>
      <c r="M108" s="775"/>
      <c r="N108" s="774" t="s">
        <v>416</v>
      </c>
      <c r="O108" s="774"/>
      <c r="P108" s="774"/>
      <c r="Q108" s="774"/>
      <c r="R108" s="774">
        <f t="shared" si="6"/>
        <v>0</v>
      </c>
      <c r="S108" s="774">
        <f t="shared" si="12"/>
        <v>0</v>
      </c>
      <c r="T108" s="774"/>
      <c r="U108" s="774"/>
      <c r="V108" s="774"/>
      <c r="W108" s="774"/>
      <c r="X108" s="777"/>
      <c r="Y108" s="777"/>
      <c r="Z108" s="801"/>
    </row>
    <row r="109" spans="1:54" ht="15.75" customHeight="1">
      <c r="A109" s="775">
        <v>2</v>
      </c>
      <c r="B109" s="774" t="s">
        <v>1210</v>
      </c>
      <c r="C109" s="774" t="s">
        <v>1203</v>
      </c>
      <c r="D109" s="774" t="s">
        <v>1210</v>
      </c>
      <c r="E109" s="774" t="s">
        <v>1210</v>
      </c>
      <c r="F109" s="774" t="e">
        <v>#N/A</v>
      </c>
      <c r="G109" s="774" t="s">
        <v>1204</v>
      </c>
      <c r="H109" s="775" t="s">
        <v>1073</v>
      </c>
      <c r="I109" s="776" t="s">
        <v>1074</v>
      </c>
      <c r="J109" s="776" t="str">
        <f>VLOOKUP(D109,[5]Sheet1!$D$1:$D$65536,1,0)</f>
        <v>DMC3061SVTQ-7-52-N</v>
      </c>
      <c r="K109" s="775" t="s">
        <v>28</v>
      </c>
      <c r="L109" s="775"/>
      <c r="M109" s="775"/>
      <c r="N109" s="774" t="s">
        <v>416</v>
      </c>
      <c r="O109" s="774"/>
      <c r="P109" s="774"/>
      <c r="Q109" s="774"/>
      <c r="R109" s="774">
        <f t="shared" si="6"/>
        <v>0</v>
      </c>
      <c r="S109" s="774">
        <f t="shared" si="12"/>
        <v>0</v>
      </c>
      <c r="T109" s="774"/>
      <c r="U109" s="774"/>
      <c r="V109" s="774"/>
      <c r="W109" s="774"/>
      <c r="X109" s="777"/>
      <c r="Y109" s="777"/>
      <c r="Z109" s="801"/>
    </row>
    <row r="110" spans="1:54" ht="15.75" customHeight="1">
      <c r="A110" s="775">
        <v>2</v>
      </c>
      <c r="B110" s="774" t="s">
        <v>1211</v>
      </c>
      <c r="C110" s="774" t="s">
        <v>1203</v>
      </c>
      <c r="D110" s="774" t="s">
        <v>1211</v>
      </c>
      <c r="E110" s="774" t="s">
        <v>1211</v>
      </c>
      <c r="F110" s="774" t="e">
        <v>#N/A</v>
      </c>
      <c r="G110" s="774" t="s">
        <v>1204</v>
      </c>
      <c r="H110" s="775" t="s">
        <v>1073</v>
      </c>
      <c r="I110" s="776" t="s">
        <v>1074</v>
      </c>
      <c r="J110" s="776" t="str">
        <f>VLOOKUP(D110,[5]Sheet1!$D$1:$D$65536,1,0)</f>
        <v>PJS6603-AU</v>
      </c>
      <c r="K110" s="775" t="s">
        <v>28</v>
      </c>
      <c r="L110" s="775"/>
      <c r="M110" s="775"/>
      <c r="N110" s="774" t="s">
        <v>1212</v>
      </c>
      <c r="O110" s="774">
        <v>3.9899999999999998E-2</v>
      </c>
      <c r="P110" s="774"/>
      <c r="Q110" s="774"/>
      <c r="R110" s="774">
        <f t="shared" si="6"/>
        <v>4.1296499999999993E-2</v>
      </c>
      <c r="S110" s="774">
        <f t="shared" si="12"/>
        <v>4.1296499999999993E-2</v>
      </c>
      <c r="T110" s="774"/>
      <c r="U110" s="774" t="s">
        <v>1445</v>
      </c>
      <c r="V110" s="774"/>
      <c r="W110" s="774"/>
      <c r="X110" s="777"/>
      <c r="Y110" s="777"/>
      <c r="Z110" s="801"/>
    </row>
    <row r="111" spans="1:54" ht="15.75" customHeight="1">
      <c r="A111" s="775">
        <v>2</v>
      </c>
      <c r="B111" s="774" t="s">
        <v>1213</v>
      </c>
      <c r="C111" s="774" t="s">
        <v>1203</v>
      </c>
      <c r="D111" s="774" t="s">
        <v>1213</v>
      </c>
      <c r="E111" s="774" t="s">
        <v>1213</v>
      </c>
      <c r="F111" s="774" t="e">
        <v>#N/A</v>
      </c>
      <c r="G111" s="774" t="s">
        <v>1204</v>
      </c>
      <c r="H111" s="775" t="s">
        <v>1073</v>
      </c>
      <c r="I111" s="776" t="s">
        <v>1074</v>
      </c>
      <c r="J111" s="776" t="str">
        <f>VLOOKUP(D111,[5]Sheet1!$D$1:$D$65536,1,0)</f>
        <v>PJS6603-AU_S1_008A1</v>
      </c>
      <c r="K111" s="775" t="s">
        <v>28</v>
      </c>
      <c r="L111" s="775"/>
      <c r="M111" s="775"/>
      <c r="N111" s="774" t="s">
        <v>1212</v>
      </c>
      <c r="O111" s="774">
        <v>1.6999999999999999E-3</v>
      </c>
      <c r="P111" s="774"/>
      <c r="Q111" s="774"/>
      <c r="R111" s="774">
        <f t="shared" si="6"/>
        <v>1.7594999999999998E-3</v>
      </c>
      <c r="S111" s="774">
        <f t="shared" si="12"/>
        <v>1.7594999999999998E-3</v>
      </c>
      <c r="T111" s="774"/>
      <c r="U111" s="774" t="s">
        <v>1445</v>
      </c>
      <c r="V111" s="774"/>
      <c r="W111" s="774"/>
      <c r="X111" s="777"/>
      <c r="Y111" s="777"/>
      <c r="Z111" s="801"/>
    </row>
    <row r="112" spans="1:54" ht="15.75" customHeight="1">
      <c r="A112" s="775">
        <v>2</v>
      </c>
      <c r="B112" s="774" t="s">
        <v>1214</v>
      </c>
      <c r="C112" s="774" t="s">
        <v>1215</v>
      </c>
      <c r="D112" s="774" t="s">
        <v>1214</v>
      </c>
      <c r="E112" s="774" t="s">
        <v>1214</v>
      </c>
      <c r="F112" s="774" t="e">
        <v>#N/A</v>
      </c>
      <c r="G112" s="774" t="s">
        <v>1216</v>
      </c>
      <c r="H112" s="775" t="s">
        <v>1073</v>
      </c>
      <c r="I112" s="776" t="s">
        <v>1074</v>
      </c>
      <c r="J112" s="776" t="str">
        <f>VLOOKUP(D112,[5]Sheet1!$D$1:$D$65536,1,0)</f>
        <v>CRCW0402560RFKED</v>
      </c>
      <c r="K112" s="775" t="s">
        <v>28</v>
      </c>
      <c r="L112" s="775">
        <v>4</v>
      </c>
      <c r="M112" s="775"/>
      <c r="N112" s="774" t="s">
        <v>368</v>
      </c>
      <c r="O112" s="774">
        <v>1.6999999999999999E-3</v>
      </c>
      <c r="P112" s="774"/>
      <c r="Q112" s="774"/>
      <c r="R112" s="774">
        <f t="shared" si="6"/>
        <v>1.7594999999999998E-3</v>
      </c>
      <c r="S112" s="774">
        <f t="shared" si="12"/>
        <v>1.4075999999999997E-3</v>
      </c>
      <c r="T112" s="774"/>
      <c r="U112" s="774" t="s">
        <v>1443</v>
      </c>
      <c r="V112" s="774"/>
      <c r="W112" s="774"/>
      <c r="X112" s="777"/>
      <c r="Y112" s="777"/>
      <c r="Z112" s="801" t="s">
        <v>1217</v>
      </c>
    </row>
    <row r="113" spans="1:54" s="658" customFormat="1" ht="15.75" customHeight="1">
      <c r="A113" s="775">
        <v>2</v>
      </c>
      <c r="B113" s="774" t="s">
        <v>1218</v>
      </c>
      <c r="C113" s="774" t="s">
        <v>1215</v>
      </c>
      <c r="D113" s="774" t="s">
        <v>1218</v>
      </c>
      <c r="E113" s="774" t="s">
        <v>1218</v>
      </c>
      <c r="F113" s="774" t="e">
        <v>#N/A</v>
      </c>
      <c r="G113" s="774" t="s">
        <v>1216</v>
      </c>
      <c r="H113" s="775" t="s">
        <v>1073</v>
      </c>
      <c r="I113" s="776" t="s">
        <v>1074</v>
      </c>
      <c r="J113" s="776" t="str">
        <f>VLOOKUP(D113,[5]Sheet1!$D$1:$D$65536,1,0)</f>
        <v>AC0402FR-07560RL</v>
      </c>
      <c r="K113" s="775" t="s">
        <v>28</v>
      </c>
      <c r="L113" s="775"/>
      <c r="M113" s="775">
        <v>4</v>
      </c>
      <c r="N113" s="774" t="s">
        <v>296</v>
      </c>
      <c r="O113" s="774">
        <v>3.4000000000000002E-4</v>
      </c>
      <c r="P113" s="774">
        <f>VLOOKUP(D113,'EEBOM Feb.2nd2026'!$D:$N,11,0)</f>
        <v>3.4000000000000002E-4</v>
      </c>
      <c r="Q113" s="774">
        <f>O113-P113</f>
        <v>0</v>
      </c>
      <c r="R113" s="774">
        <f t="shared" si="6"/>
        <v>3.5189999999999999E-4</v>
      </c>
      <c r="S113" s="774">
        <f t="shared" si="12"/>
        <v>0</v>
      </c>
      <c r="T113" s="774">
        <f>R113*M113</f>
        <v>1.4076E-3</v>
      </c>
      <c r="U113" s="774" t="s">
        <v>1470</v>
      </c>
      <c r="V113" s="774">
        <v>10000</v>
      </c>
      <c r="W113" s="774">
        <v>10</v>
      </c>
      <c r="X113" s="777" t="s">
        <v>1472</v>
      </c>
      <c r="Y113" s="777" t="s">
        <v>1448</v>
      </c>
      <c r="Z113" s="801"/>
      <c r="AA113" s="753"/>
      <c r="AB113" s="753"/>
      <c r="AC113" s="753"/>
      <c r="AD113" s="753"/>
      <c r="AE113" s="753"/>
      <c r="AF113" s="753"/>
      <c r="AG113" s="753"/>
      <c r="AH113" s="753"/>
      <c r="AI113" s="753"/>
      <c r="AJ113" s="753"/>
      <c r="AK113" s="753"/>
      <c r="AL113" s="753"/>
      <c r="AM113" s="753"/>
      <c r="AN113" s="753"/>
      <c r="AO113" s="753"/>
      <c r="AP113" s="753"/>
      <c r="AQ113" s="753"/>
      <c r="AR113" s="753"/>
      <c r="AS113" s="753"/>
      <c r="AT113" s="753"/>
      <c r="AU113" s="753"/>
      <c r="AV113" s="753"/>
      <c r="AW113" s="753"/>
      <c r="AX113" s="753"/>
      <c r="AY113" s="753"/>
      <c r="AZ113" s="753"/>
      <c r="BA113" s="753"/>
      <c r="BB113" s="753"/>
    </row>
    <row r="114" spans="1:54" ht="15.75" customHeight="1">
      <c r="A114" s="775">
        <v>2</v>
      </c>
      <c r="B114" s="774" t="s">
        <v>1219</v>
      </c>
      <c r="C114" s="774" t="s">
        <v>1215</v>
      </c>
      <c r="D114" s="774" t="s">
        <v>1219</v>
      </c>
      <c r="E114" s="774" t="s">
        <v>1219</v>
      </c>
      <c r="F114" s="774" t="e">
        <v>#N/A</v>
      </c>
      <c r="G114" s="774" t="s">
        <v>1216</v>
      </c>
      <c r="H114" s="775" t="s">
        <v>1073</v>
      </c>
      <c r="I114" s="776" t="s">
        <v>1074</v>
      </c>
      <c r="J114" s="776" t="str">
        <f>VLOOKUP(D114,[5]Sheet1!$D$1:$D$65536,1,0)</f>
        <v>RK73H1ETTP5600F</v>
      </c>
      <c r="K114" s="775" t="s">
        <v>28</v>
      </c>
      <c r="L114" s="775"/>
      <c r="M114" s="775"/>
      <c r="N114" s="774" t="s">
        <v>292</v>
      </c>
      <c r="O114" s="774">
        <v>1.047E-3</v>
      </c>
      <c r="P114" s="774"/>
      <c r="Q114" s="774"/>
      <c r="R114" s="774">
        <f t="shared" si="6"/>
        <v>1.0836449999999998E-3</v>
      </c>
      <c r="S114" s="774">
        <f t="shared" si="12"/>
        <v>7.3174499999999979E-4</v>
      </c>
      <c r="T114" s="774"/>
      <c r="U114" s="774" t="s">
        <v>1443</v>
      </c>
      <c r="V114" s="774"/>
      <c r="W114" s="774"/>
      <c r="X114" s="777"/>
      <c r="Y114" s="777"/>
      <c r="Z114" s="801"/>
    </row>
    <row r="115" spans="1:54" ht="15.75" customHeight="1">
      <c r="A115" s="775">
        <v>2</v>
      </c>
      <c r="B115" s="774" t="s">
        <v>1220</v>
      </c>
      <c r="C115" s="774" t="s">
        <v>1215</v>
      </c>
      <c r="D115" s="774" t="s">
        <v>1220</v>
      </c>
      <c r="E115" s="774" t="s">
        <v>1220</v>
      </c>
      <c r="F115" s="774" t="e">
        <v>#N/A</v>
      </c>
      <c r="G115" s="774" t="s">
        <v>1216</v>
      </c>
      <c r="H115" s="775" t="s">
        <v>1073</v>
      </c>
      <c r="I115" s="776" t="s">
        <v>1074</v>
      </c>
      <c r="J115" s="776" t="str">
        <f>VLOOKUP(D115,[5]Sheet1!$D$1:$D$65536,1,0)</f>
        <v>RMCH10K561FTH</v>
      </c>
      <c r="K115" s="775" t="s">
        <v>28</v>
      </c>
      <c r="L115" s="775"/>
      <c r="M115" s="775"/>
      <c r="N115" s="774" t="s">
        <v>294</v>
      </c>
      <c r="O115" s="774">
        <v>1.6999999999999999E-3</v>
      </c>
      <c r="P115" s="774"/>
      <c r="Q115" s="774"/>
      <c r="R115" s="774">
        <f t="shared" si="6"/>
        <v>1.7594999999999998E-3</v>
      </c>
      <c r="S115" s="774">
        <f t="shared" si="12"/>
        <v>1.4075999999999997E-3</v>
      </c>
      <c r="T115" s="774"/>
      <c r="U115" s="774" t="s">
        <v>1443</v>
      </c>
      <c r="V115" s="774"/>
      <c r="W115" s="774"/>
      <c r="X115" s="777"/>
      <c r="Y115" s="777"/>
      <c r="Z115" s="801"/>
    </row>
    <row r="116" spans="1:54" s="658" customFormat="1" ht="15.75" customHeight="1">
      <c r="A116" s="775">
        <v>2</v>
      </c>
      <c r="B116" s="774" t="s">
        <v>467</v>
      </c>
      <c r="C116" s="774" t="s">
        <v>459</v>
      </c>
      <c r="D116" s="774" t="s">
        <v>468</v>
      </c>
      <c r="E116" s="774" t="s">
        <v>468</v>
      </c>
      <c r="F116" s="774" t="s">
        <v>468</v>
      </c>
      <c r="G116" s="774" t="s">
        <v>1221</v>
      </c>
      <c r="H116" s="775" t="s">
        <v>1073</v>
      </c>
      <c r="I116" s="776" t="s">
        <v>1074</v>
      </c>
      <c r="J116" s="776" t="str">
        <f>VLOOKUP(D116,[5]Sheet1!$D$1:$D$65536,1,0)</f>
        <v>AC0201FR-0710KL</v>
      </c>
      <c r="K116" s="775" t="s">
        <v>28</v>
      </c>
      <c r="L116" s="775">
        <v>56</v>
      </c>
      <c r="M116" s="775">
        <v>56</v>
      </c>
      <c r="N116" s="774" t="s">
        <v>296</v>
      </c>
      <c r="O116" s="774">
        <v>5.9999999999999995E-4</v>
      </c>
      <c r="P116" s="774">
        <f>VLOOKUP(D116,'EEBOM Feb.2nd2026'!$D:$N,11,0)</f>
        <v>5.9999999999999995E-4</v>
      </c>
      <c r="Q116" s="774">
        <f>O116-P116</f>
        <v>0</v>
      </c>
      <c r="R116" s="774">
        <f t="shared" si="6"/>
        <v>6.2099999999999992E-4</v>
      </c>
      <c r="S116" s="774">
        <f t="shared" si="12"/>
        <v>0</v>
      </c>
      <c r="T116" s="774">
        <f>R116*M116</f>
        <v>3.4775999999999994E-2</v>
      </c>
      <c r="U116" s="774" t="s">
        <v>1470</v>
      </c>
      <c r="V116" s="774">
        <v>10000</v>
      </c>
      <c r="W116" s="774">
        <v>10</v>
      </c>
      <c r="X116" s="777" t="s">
        <v>1472</v>
      </c>
      <c r="Y116" s="777" t="s">
        <v>1448</v>
      </c>
      <c r="Z116" s="801" t="s">
        <v>1222</v>
      </c>
      <c r="AA116" s="753"/>
      <c r="AB116" s="753"/>
      <c r="AC116" s="753"/>
      <c r="AD116" s="753"/>
      <c r="AE116" s="753"/>
      <c r="AF116" s="753"/>
      <c r="AG116" s="753"/>
      <c r="AH116" s="753"/>
      <c r="AI116" s="753"/>
      <c r="AJ116" s="753"/>
      <c r="AK116" s="753"/>
      <c r="AL116" s="753"/>
      <c r="AM116" s="753"/>
      <c r="AN116" s="753"/>
      <c r="AO116" s="753"/>
      <c r="AP116" s="753"/>
      <c r="AQ116" s="753"/>
      <c r="AR116" s="753"/>
      <c r="AS116" s="753"/>
      <c r="AT116" s="753"/>
      <c r="AU116" s="753"/>
      <c r="AV116" s="753"/>
      <c r="AW116" s="753"/>
      <c r="AX116" s="753"/>
      <c r="AY116" s="753"/>
      <c r="AZ116" s="753"/>
      <c r="BA116" s="753"/>
      <c r="BB116" s="753"/>
    </row>
    <row r="117" spans="1:54" ht="15.75" customHeight="1">
      <c r="A117" s="775">
        <v>2</v>
      </c>
      <c r="B117" s="774" t="s">
        <v>465</v>
      </c>
      <c r="C117" s="774" t="s">
        <v>459</v>
      </c>
      <c r="D117" s="774" t="s">
        <v>465</v>
      </c>
      <c r="E117" s="774" t="s">
        <v>465</v>
      </c>
      <c r="F117" s="774" t="s">
        <v>465</v>
      </c>
      <c r="G117" s="774" t="s">
        <v>1221</v>
      </c>
      <c r="H117" s="775" t="s">
        <v>1073</v>
      </c>
      <c r="I117" s="776" t="s">
        <v>1074</v>
      </c>
      <c r="J117" s="776" t="str">
        <f>VLOOKUP(D117,[5]Sheet1!$D$1:$D$65536,1,0)</f>
        <v>RMCH06-103FPA</v>
      </c>
      <c r="K117" s="775" t="s">
        <v>28</v>
      </c>
      <c r="L117" s="775"/>
      <c r="M117" s="775"/>
      <c r="N117" s="774" t="s">
        <v>294</v>
      </c>
      <c r="O117" s="774">
        <v>1.6999999999999999E-3</v>
      </c>
      <c r="P117" s="774"/>
      <c r="Q117" s="774"/>
      <c r="R117" s="774">
        <f t="shared" si="6"/>
        <v>1.7594999999999998E-3</v>
      </c>
      <c r="S117" s="774">
        <f t="shared" si="12"/>
        <v>1.1384999999999998E-3</v>
      </c>
      <c r="T117" s="774"/>
      <c r="U117" s="774" t="s">
        <v>1443</v>
      </c>
      <c r="V117" s="774"/>
      <c r="W117" s="774"/>
      <c r="X117" s="777"/>
      <c r="Y117" s="777"/>
      <c r="Z117" s="801"/>
    </row>
    <row r="118" spans="1:54" ht="15.75" customHeight="1">
      <c r="A118" s="775">
        <v>2</v>
      </c>
      <c r="B118" s="774" t="s">
        <v>463</v>
      </c>
      <c r="C118" s="774" t="s">
        <v>459</v>
      </c>
      <c r="D118" s="774" t="s">
        <v>463</v>
      </c>
      <c r="E118" s="774" t="s">
        <v>463</v>
      </c>
      <c r="F118" s="774" t="s">
        <v>463</v>
      </c>
      <c r="G118" s="774" t="s">
        <v>1221</v>
      </c>
      <c r="H118" s="775" t="s">
        <v>1073</v>
      </c>
      <c r="I118" s="776" t="s">
        <v>1074</v>
      </c>
      <c r="J118" s="776" t="str">
        <f>VLOOKUP(D118,[5]Sheet1!$D$1:$D$65536,1,0)</f>
        <v>RK73H1HTTC1002F</v>
      </c>
      <c r="K118" s="775" t="s">
        <v>28</v>
      </c>
      <c r="L118" s="775"/>
      <c r="M118" s="775"/>
      <c r="N118" s="774" t="s">
        <v>292</v>
      </c>
      <c r="O118" s="774">
        <v>1.5139999999999999E-3</v>
      </c>
      <c r="P118" s="774"/>
      <c r="Q118" s="774"/>
      <c r="R118" s="774">
        <f t="shared" si="6"/>
        <v>1.5669899999999999E-3</v>
      </c>
      <c r="S118" s="774">
        <f t="shared" si="12"/>
        <v>9.4598999999999996E-4</v>
      </c>
      <c r="T118" s="774"/>
      <c r="U118" s="774" t="s">
        <v>1443</v>
      </c>
      <c r="V118" s="774"/>
      <c r="W118" s="774"/>
      <c r="X118" s="777"/>
      <c r="Y118" s="777"/>
      <c r="Z118" s="801"/>
    </row>
    <row r="119" spans="1:54" ht="15.75" customHeight="1">
      <c r="A119" s="775">
        <v>2</v>
      </c>
      <c r="B119" s="774" t="s">
        <v>466</v>
      </c>
      <c r="C119" s="774" t="s">
        <v>459</v>
      </c>
      <c r="D119" s="774" t="s">
        <v>466</v>
      </c>
      <c r="E119" s="774" t="s">
        <v>466</v>
      </c>
      <c r="F119" s="774" t="s">
        <v>466</v>
      </c>
      <c r="G119" s="774" t="s">
        <v>1221</v>
      </c>
      <c r="H119" s="775" t="s">
        <v>1073</v>
      </c>
      <c r="I119" s="776" t="s">
        <v>1074</v>
      </c>
      <c r="J119" s="776" t="str">
        <f>VLOOKUP(D119,[5]Sheet1!$D$1:$D$65536,1,0)</f>
        <v>ERJ1GJF1002C</v>
      </c>
      <c r="K119" s="775" t="s">
        <v>28</v>
      </c>
      <c r="L119" s="775"/>
      <c r="M119" s="775"/>
      <c r="N119" s="774" t="s">
        <v>289</v>
      </c>
      <c r="O119" s="774">
        <v>1.6999999999999999E-3</v>
      </c>
      <c r="P119" s="774"/>
      <c r="Q119" s="774"/>
      <c r="R119" s="774">
        <f t="shared" si="6"/>
        <v>1.7594999999999998E-3</v>
      </c>
      <c r="S119" s="774">
        <f t="shared" si="12"/>
        <v>1.1384999999999998E-3</v>
      </c>
      <c r="T119" s="774"/>
      <c r="U119" s="774" t="s">
        <v>1080</v>
      </c>
      <c r="V119" s="774"/>
      <c r="W119" s="774"/>
      <c r="X119" s="777"/>
      <c r="Y119" s="777"/>
      <c r="Z119" s="801"/>
    </row>
    <row r="120" spans="1:54" s="658" customFormat="1" ht="36" customHeight="1">
      <c r="A120" s="775">
        <v>2</v>
      </c>
      <c r="B120" s="774" t="s">
        <v>295</v>
      </c>
      <c r="C120" s="774" t="s">
        <v>284</v>
      </c>
      <c r="D120" s="774" t="s">
        <v>295</v>
      </c>
      <c r="E120" s="774" t="s">
        <v>295</v>
      </c>
      <c r="F120" s="774" t="s">
        <v>295</v>
      </c>
      <c r="G120" s="774" t="s">
        <v>1223</v>
      </c>
      <c r="H120" s="775" t="s">
        <v>1073</v>
      </c>
      <c r="I120" s="776" t="s">
        <v>1074</v>
      </c>
      <c r="J120" s="776" t="str">
        <f>VLOOKUP(D120,[5]Sheet1!$D$1:$D$65536,1,0)</f>
        <v>AC0201FR-0747KL</v>
      </c>
      <c r="K120" s="775" t="s">
        <v>28</v>
      </c>
      <c r="L120" s="775">
        <v>8</v>
      </c>
      <c r="M120" s="775">
        <v>8</v>
      </c>
      <c r="N120" s="774" t="s">
        <v>296</v>
      </c>
      <c r="O120" s="774">
        <v>1.6999999999999999E-3</v>
      </c>
      <c r="P120" s="774">
        <f>VLOOKUP(D120,'EEBOM Feb.2nd2026'!$D:$N,11,0)</f>
        <v>5.9999999999999995E-4</v>
      </c>
      <c r="Q120" s="774">
        <f>O120-P120</f>
        <v>1.0999999999999998E-3</v>
      </c>
      <c r="R120" s="774">
        <f t="shared" si="6"/>
        <v>1.7594999999999998E-3</v>
      </c>
      <c r="S120" s="774">
        <f t="shared" si="12"/>
        <v>1.925099999999999E-4</v>
      </c>
      <c r="T120" s="774">
        <f>R120*M120</f>
        <v>1.4075999999999998E-2</v>
      </c>
      <c r="U120" s="774" t="s">
        <v>1470</v>
      </c>
      <c r="V120" s="774">
        <v>10000</v>
      </c>
      <c r="W120" s="774">
        <v>10</v>
      </c>
      <c r="X120" s="777" t="s">
        <v>1472</v>
      </c>
      <c r="Y120" s="777" t="s">
        <v>1448</v>
      </c>
      <c r="Z120" s="801" t="s">
        <v>1224</v>
      </c>
      <c r="AA120" s="753"/>
      <c r="AB120" s="753"/>
      <c r="AC120" s="753"/>
      <c r="AD120" s="753"/>
      <c r="AE120" s="753"/>
      <c r="AF120" s="753"/>
      <c r="AG120" s="753"/>
      <c r="AH120" s="753"/>
      <c r="AI120" s="753"/>
      <c r="AJ120" s="753"/>
      <c r="AK120" s="753"/>
      <c r="AL120" s="753"/>
      <c r="AM120" s="753"/>
      <c r="AN120" s="753"/>
      <c r="AO120" s="753"/>
      <c r="AP120" s="753"/>
      <c r="AQ120" s="753"/>
      <c r="AR120" s="753"/>
      <c r="AS120" s="753"/>
      <c r="AT120" s="753"/>
      <c r="AU120" s="753"/>
      <c r="AV120" s="753"/>
      <c r="AW120" s="753"/>
      <c r="AX120" s="753"/>
      <c r="AY120" s="753"/>
      <c r="AZ120" s="753"/>
      <c r="BA120" s="753"/>
      <c r="BB120" s="753"/>
    </row>
    <row r="121" spans="1:54" ht="15.75" customHeight="1">
      <c r="A121" s="775">
        <v>2</v>
      </c>
      <c r="B121" s="774" t="s">
        <v>291</v>
      </c>
      <c r="C121" s="774" t="s">
        <v>284</v>
      </c>
      <c r="D121" s="774" t="s">
        <v>291</v>
      </c>
      <c r="E121" s="774" t="s">
        <v>291</v>
      </c>
      <c r="F121" s="774" t="s">
        <v>291</v>
      </c>
      <c r="G121" s="774" t="s">
        <v>1223</v>
      </c>
      <c r="H121" s="775" t="s">
        <v>1073</v>
      </c>
      <c r="I121" s="776" t="s">
        <v>1074</v>
      </c>
      <c r="J121" s="776" t="str">
        <f>VLOOKUP(D121,[5]Sheet1!$D$1:$D$65536,1,0)</f>
        <v>RK73H1HTTC4702F</v>
      </c>
      <c r="K121" s="775" t="s">
        <v>28</v>
      </c>
      <c r="L121" s="775"/>
      <c r="M121" s="775"/>
      <c r="N121" s="774" t="s">
        <v>292</v>
      </c>
      <c r="O121" s="774">
        <v>1.5139999999999999E-3</v>
      </c>
      <c r="P121" s="774"/>
      <c r="Q121" s="774"/>
      <c r="R121" s="774">
        <f t="shared" si="6"/>
        <v>1.5669899999999999E-3</v>
      </c>
      <c r="S121" s="774">
        <f t="shared" si="12"/>
        <v>0</v>
      </c>
      <c r="T121" s="774"/>
      <c r="U121" s="774" t="s">
        <v>1443</v>
      </c>
      <c r="V121" s="774"/>
      <c r="W121" s="774"/>
      <c r="X121" s="777"/>
      <c r="Y121" s="777"/>
      <c r="Z121" s="801"/>
    </row>
    <row r="122" spans="1:54" ht="15.75" customHeight="1">
      <c r="A122" s="775">
        <v>2</v>
      </c>
      <c r="B122" s="774" t="s">
        <v>293</v>
      </c>
      <c r="C122" s="774" t="s">
        <v>284</v>
      </c>
      <c r="D122" s="774" t="s">
        <v>293</v>
      </c>
      <c r="E122" s="774" t="s">
        <v>293</v>
      </c>
      <c r="F122" s="774" t="s">
        <v>293</v>
      </c>
      <c r="G122" s="774" t="s">
        <v>1223</v>
      </c>
      <c r="H122" s="775" t="s">
        <v>1073</v>
      </c>
      <c r="I122" s="776" t="s">
        <v>1074</v>
      </c>
      <c r="J122" s="776" t="str">
        <f>VLOOKUP(D122,[5]Sheet1!$D$1:$D$65536,1,0)</f>
        <v>RMCH06-473FPA</v>
      </c>
      <c r="K122" s="775" t="s">
        <v>28</v>
      </c>
      <c r="L122" s="775"/>
      <c r="M122" s="775"/>
      <c r="N122" s="774" t="s">
        <v>294</v>
      </c>
      <c r="O122" s="774">
        <v>2.7390000000000001E-3</v>
      </c>
      <c r="P122" s="774"/>
      <c r="Q122" s="774"/>
      <c r="R122" s="774">
        <f t="shared" si="6"/>
        <v>2.8348649999999998E-3</v>
      </c>
      <c r="S122" s="774">
        <f t="shared" si="12"/>
        <v>1.2678749999999999E-3</v>
      </c>
      <c r="T122" s="774"/>
      <c r="U122" s="774" t="s">
        <v>1443</v>
      </c>
      <c r="V122" s="774"/>
      <c r="W122" s="774"/>
      <c r="X122" s="777"/>
      <c r="Y122" s="777"/>
      <c r="Z122" s="801"/>
    </row>
    <row r="123" spans="1:54" ht="15.75" customHeight="1">
      <c r="A123" s="775">
        <v>2</v>
      </c>
      <c r="B123" s="774" t="s">
        <v>288</v>
      </c>
      <c r="C123" s="774" t="s">
        <v>284</v>
      </c>
      <c r="D123" s="774" t="s">
        <v>288</v>
      </c>
      <c r="E123" s="774" t="s">
        <v>288</v>
      </c>
      <c r="F123" s="774" t="s">
        <v>288</v>
      </c>
      <c r="G123" s="774" t="s">
        <v>1223</v>
      </c>
      <c r="H123" s="775" t="s">
        <v>1073</v>
      </c>
      <c r="I123" s="776" t="s">
        <v>1074</v>
      </c>
      <c r="J123" s="776" t="str">
        <f>VLOOKUP(D123,[5]Sheet1!$D$1:$D$65536,1,0)</f>
        <v>ERJ1GJF4702C</v>
      </c>
      <c r="K123" s="775" t="s">
        <v>28</v>
      </c>
      <c r="L123" s="775"/>
      <c r="M123" s="775"/>
      <c r="N123" s="774" t="s">
        <v>289</v>
      </c>
      <c r="O123" s="774">
        <v>1.6999999999999999E-3</v>
      </c>
      <c r="P123" s="774"/>
      <c r="Q123" s="774"/>
      <c r="R123" s="774">
        <f t="shared" si="6"/>
        <v>1.7594999999999998E-3</v>
      </c>
      <c r="S123" s="774">
        <f t="shared" si="12"/>
        <v>1.925099999999999E-4</v>
      </c>
      <c r="T123" s="774"/>
      <c r="U123" s="774" t="s">
        <v>1129</v>
      </c>
      <c r="V123" s="774"/>
      <c r="W123" s="774"/>
      <c r="X123" s="777"/>
      <c r="Y123" s="777"/>
      <c r="Z123" s="801"/>
    </row>
    <row r="124" spans="1:54" s="658" customFormat="1" ht="15.75" customHeight="1">
      <c r="A124" s="775">
        <v>2</v>
      </c>
      <c r="B124" s="774" t="s">
        <v>304</v>
      </c>
      <c r="C124" s="774" t="s">
        <v>297</v>
      </c>
      <c r="D124" s="774" t="s">
        <v>305</v>
      </c>
      <c r="E124" s="774" t="s">
        <v>305</v>
      </c>
      <c r="F124" s="774" t="s">
        <v>305</v>
      </c>
      <c r="G124" s="774" t="s">
        <v>1225</v>
      </c>
      <c r="H124" s="775" t="s">
        <v>1073</v>
      </c>
      <c r="I124" s="776" t="s">
        <v>1074</v>
      </c>
      <c r="J124" s="776" t="str">
        <f>VLOOKUP(D124,[5]Sheet1!$D$1:$D$65536,1,0)</f>
        <v>AC0201FR-07100RL</v>
      </c>
      <c r="K124" s="775" t="s">
        <v>28</v>
      </c>
      <c r="L124" s="775">
        <v>6</v>
      </c>
      <c r="M124" s="775">
        <v>6</v>
      </c>
      <c r="N124" s="774" t="s">
        <v>296</v>
      </c>
      <c r="O124" s="774">
        <v>5.9999999999999995E-4</v>
      </c>
      <c r="P124" s="774">
        <f>VLOOKUP(D124,'EEBOM Feb.2nd2026'!$D:$N,11,0)</f>
        <v>5.9999999999999995E-4</v>
      </c>
      <c r="Q124" s="774">
        <f>O124-P124</f>
        <v>0</v>
      </c>
      <c r="R124" s="774">
        <f t="shared" si="6"/>
        <v>6.2099999999999992E-4</v>
      </c>
      <c r="S124" s="774">
        <f t="shared" si="12"/>
        <v>0</v>
      </c>
      <c r="T124" s="774">
        <f>R124*M124</f>
        <v>3.7259999999999993E-3</v>
      </c>
      <c r="U124" s="774" t="s">
        <v>1470</v>
      </c>
      <c r="V124" s="774">
        <v>10000</v>
      </c>
      <c r="W124" s="774">
        <v>10</v>
      </c>
      <c r="X124" s="777" t="s">
        <v>1472</v>
      </c>
      <c r="Y124" s="777" t="s">
        <v>1448</v>
      </c>
      <c r="Z124" s="801" t="s">
        <v>1226</v>
      </c>
      <c r="AA124" s="753"/>
      <c r="AB124" s="753"/>
      <c r="AC124" s="753"/>
      <c r="AD124" s="753"/>
      <c r="AE124" s="753"/>
      <c r="AF124" s="753"/>
      <c r="AG124" s="753"/>
      <c r="AH124" s="753"/>
      <c r="AI124" s="753"/>
      <c r="AJ124" s="753"/>
      <c r="AK124" s="753"/>
      <c r="AL124" s="753"/>
      <c r="AM124" s="753"/>
      <c r="AN124" s="753"/>
      <c r="AO124" s="753"/>
      <c r="AP124" s="753"/>
      <c r="AQ124" s="753"/>
      <c r="AR124" s="753"/>
      <c r="AS124" s="753"/>
      <c r="AT124" s="753"/>
      <c r="AU124" s="753"/>
      <c r="AV124" s="753"/>
      <c r="AW124" s="753"/>
      <c r="AX124" s="753"/>
      <c r="AY124" s="753"/>
      <c r="AZ124" s="753"/>
      <c r="BA124" s="753"/>
      <c r="BB124" s="753"/>
    </row>
    <row r="125" spans="1:54" ht="15.75" customHeight="1">
      <c r="A125" s="775">
        <v>2</v>
      </c>
      <c r="B125" s="774" t="s">
        <v>300</v>
      </c>
      <c r="C125" s="774" t="s">
        <v>297</v>
      </c>
      <c r="D125" s="774" t="s">
        <v>300</v>
      </c>
      <c r="E125" s="774" t="s">
        <v>300</v>
      </c>
      <c r="F125" s="774" t="s">
        <v>300</v>
      </c>
      <c r="G125" s="774" t="s">
        <v>1225</v>
      </c>
      <c r="H125" s="775" t="s">
        <v>1073</v>
      </c>
      <c r="I125" s="776" t="s">
        <v>1074</v>
      </c>
      <c r="J125" s="776" t="str">
        <f>VLOOKUP(D125,[5]Sheet1!$D$1:$D$65536,1,0)</f>
        <v>RK73H1HTTC1000F</v>
      </c>
      <c r="K125" s="775" t="s">
        <v>28</v>
      </c>
      <c r="L125" s="775"/>
      <c r="M125" s="775"/>
      <c r="N125" s="774" t="s">
        <v>292</v>
      </c>
      <c r="O125" s="774">
        <v>1.6999999999999999E-3</v>
      </c>
      <c r="P125" s="774"/>
      <c r="Q125" s="774"/>
      <c r="R125" s="774">
        <f t="shared" si="6"/>
        <v>1.7594999999999998E-3</v>
      </c>
      <c r="S125" s="774">
        <f t="shared" si="12"/>
        <v>1.1384999999999998E-3</v>
      </c>
      <c r="T125" s="774"/>
      <c r="U125" s="774" t="s">
        <v>1443</v>
      </c>
      <c r="V125" s="774"/>
      <c r="W125" s="774"/>
      <c r="X125" s="777"/>
      <c r="Y125" s="777"/>
      <c r="Z125" s="801"/>
    </row>
    <row r="126" spans="1:54" ht="15.75" customHeight="1">
      <c r="A126" s="775">
        <v>2</v>
      </c>
      <c r="B126" s="774" t="s">
        <v>303</v>
      </c>
      <c r="C126" s="774" t="s">
        <v>297</v>
      </c>
      <c r="D126" s="774" t="s">
        <v>303</v>
      </c>
      <c r="E126" s="774" t="s">
        <v>303</v>
      </c>
      <c r="F126" s="774" t="s">
        <v>303</v>
      </c>
      <c r="G126" s="774" t="s">
        <v>1225</v>
      </c>
      <c r="H126" s="775" t="s">
        <v>1073</v>
      </c>
      <c r="I126" s="776" t="s">
        <v>1074</v>
      </c>
      <c r="J126" s="776" t="str">
        <f>VLOOKUP(D126,[5]Sheet1!$D$1:$D$65536,1,0)</f>
        <v>RMCH06-101FPA</v>
      </c>
      <c r="K126" s="775" t="s">
        <v>28</v>
      </c>
      <c r="L126" s="775"/>
      <c r="M126" s="775"/>
      <c r="N126" s="774" t="s">
        <v>294</v>
      </c>
      <c r="O126" s="774">
        <v>2.7390000000000001E-3</v>
      </c>
      <c r="P126" s="774"/>
      <c r="Q126" s="774"/>
      <c r="R126" s="774">
        <f t="shared" si="6"/>
        <v>2.8348649999999998E-3</v>
      </c>
      <c r="S126" s="774">
        <f t="shared" si="12"/>
        <v>2.2138649999999998E-3</v>
      </c>
      <c r="T126" s="774"/>
      <c r="U126" s="774" t="s">
        <v>1443</v>
      </c>
      <c r="V126" s="774"/>
      <c r="W126" s="774"/>
      <c r="X126" s="777"/>
      <c r="Y126" s="777"/>
      <c r="Z126" s="801"/>
    </row>
    <row r="127" spans="1:54" ht="15.75" customHeight="1">
      <c r="A127" s="775">
        <v>2</v>
      </c>
      <c r="B127" s="774" t="s">
        <v>302</v>
      </c>
      <c r="C127" s="774" t="s">
        <v>297</v>
      </c>
      <c r="D127" s="774" t="s">
        <v>302</v>
      </c>
      <c r="E127" s="774" t="s">
        <v>302</v>
      </c>
      <c r="F127" s="774" t="s">
        <v>302</v>
      </c>
      <c r="G127" s="774" t="s">
        <v>1225</v>
      </c>
      <c r="H127" s="775" t="s">
        <v>1073</v>
      </c>
      <c r="I127" s="776" t="s">
        <v>1074</v>
      </c>
      <c r="J127" s="776" t="str">
        <f>VLOOKUP(D127,[5]Sheet1!$D$1:$D$65536,1,0)</f>
        <v>ERJ1GJF1000C</v>
      </c>
      <c r="K127" s="775" t="s">
        <v>28</v>
      </c>
      <c r="L127" s="775"/>
      <c r="M127" s="775"/>
      <c r="N127" s="774" t="s">
        <v>289</v>
      </c>
      <c r="O127" s="774">
        <v>1.4800000000000001E-2</v>
      </c>
      <c r="P127" s="774"/>
      <c r="Q127" s="774"/>
      <c r="R127" s="774">
        <f t="shared" si="6"/>
        <v>1.5318E-2</v>
      </c>
      <c r="S127" s="774">
        <f t="shared" si="12"/>
        <v>1.4697E-2</v>
      </c>
      <c r="T127" s="774"/>
      <c r="U127" s="774" t="s">
        <v>1129</v>
      </c>
      <c r="V127" s="774"/>
      <c r="W127" s="774"/>
      <c r="X127" s="777"/>
      <c r="Y127" s="777"/>
      <c r="Z127" s="801"/>
    </row>
    <row r="128" spans="1:54" s="658" customFormat="1" ht="15.75" customHeight="1">
      <c r="A128" s="775">
        <v>2</v>
      </c>
      <c r="B128" s="774" t="s">
        <v>549</v>
      </c>
      <c r="C128" s="774" t="s">
        <v>542</v>
      </c>
      <c r="D128" s="787" t="s">
        <v>550</v>
      </c>
      <c r="E128" s="774" t="s">
        <v>550</v>
      </c>
      <c r="F128" s="774" t="s">
        <v>550</v>
      </c>
      <c r="G128" s="774" t="s">
        <v>1227</v>
      </c>
      <c r="H128" s="775" t="s">
        <v>1073</v>
      </c>
      <c r="I128" s="776" t="s">
        <v>1074</v>
      </c>
      <c r="J128" s="776" t="str">
        <f>VLOOKUP(D128,[5]Sheet1!$D$1:$D$65536,1,0)</f>
        <v>AC0201FR-074K7L</v>
      </c>
      <c r="K128" s="775" t="s">
        <v>28</v>
      </c>
      <c r="L128" s="775">
        <v>8</v>
      </c>
      <c r="M128" s="775">
        <v>8</v>
      </c>
      <c r="N128" s="774" t="s">
        <v>296</v>
      </c>
      <c r="O128" s="774">
        <v>1.6999999999999999E-3</v>
      </c>
      <c r="P128" s="774">
        <f>VLOOKUP(D128,'EEBOM Feb.2nd2026'!$D:$N,11,0)</f>
        <v>5.9999999999999995E-4</v>
      </c>
      <c r="Q128" s="774">
        <f>O128-P128</f>
        <v>1.0999999999999998E-3</v>
      </c>
      <c r="R128" s="774">
        <f t="shared" si="6"/>
        <v>1.7594999999999998E-3</v>
      </c>
      <c r="S128" s="774">
        <f t="shared" si="12"/>
        <v>1.925099999999999E-4</v>
      </c>
      <c r="T128" s="774">
        <f>R128*M128</f>
        <v>1.4075999999999998E-2</v>
      </c>
      <c r="U128" s="774" t="s">
        <v>1470</v>
      </c>
      <c r="V128" s="774">
        <v>10000</v>
      </c>
      <c r="W128" s="774">
        <v>10</v>
      </c>
      <c r="X128" s="777" t="s">
        <v>1472</v>
      </c>
      <c r="Y128" s="777" t="s">
        <v>1448</v>
      </c>
      <c r="Z128" s="801" t="s">
        <v>1228</v>
      </c>
      <c r="AA128" s="753"/>
      <c r="AB128" s="753"/>
      <c r="AC128" s="753"/>
      <c r="AD128" s="753"/>
      <c r="AE128" s="753"/>
      <c r="AF128" s="753"/>
      <c r="AG128" s="753"/>
      <c r="AH128" s="753"/>
      <c r="AI128" s="753"/>
      <c r="AJ128" s="753"/>
      <c r="AK128" s="753"/>
      <c r="AL128" s="753"/>
      <c r="AM128" s="753"/>
      <c r="AN128" s="753"/>
      <c r="AO128" s="753"/>
      <c r="AP128" s="753"/>
      <c r="AQ128" s="753"/>
      <c r="AR128" s="753"/>
      <c r="AS128" s="753"/>
      <c r="AT128" s="753"/>
      <c r="AU128" s="753"/>
      <c r="AV128" s="753"/>
      <c r="AW128" s="753"/>
      <c r="AX128" s="753"/>
      <c r="AY128" s="753"/>
      <c r="AZ128" s="753"/>
      <c r="BA128" s="753"/>
      <c r="BB128" s="753"/>
    </row>
    <row r="129" spans="1:54" ht="15.75" customHeight="1">
      <c r="A129" s="775">
        <v>2</v>
      </c>
      <c r="B129" s="774" t="s">
        <v>545</v>
      </c>
      <c r="C129" s="774" t="s">
        <v>542</v>
      </c>
      <c r="D129" s="774" t="s">
        <v>545</v>
      </c>
      <c r="E129" s="774" t="s">
        <v>545</v>
      </c>
      <c r="F129" s="774" t="s">
        <v>545</v>
      </c>
      <c r="G129" s="774" t="s">
        <v>1227</v>
      </c>
      <c r="H129" s="775" t="s">
        <v>1073</v>
      </c>
      <c r="I129" s="776" t="s">
        <v>1074</v>
      </c>
      <c r="J129" s="776" t="str">
        <f>VLOOKUP(D129,[5]Sheet1!$D$1:$D$65536,1,0)</f>
        <v>RMCH06-472FPA</v>
      </c>
      <c r="K129" s="775" t="s">
        <v>28</v>
      </c>
      <c r="L129" s="775"/>
      <c r="M129" s="775"/>
      <c r="N129" s="774" t="s">
        <v>294</v>
      </c>
      <c r="O129" s="774">
        <v>2.7390000000000001E-3</v>
      </c>
      <c r="P129" s="774"/>
      <c r="Q129" s="774"/>
      <c r="R129" s="774">
        <f t="shared" si="6"/>
        <v>2.8348649999999998E-3</v>
      </c>
      <c r="S129" s="774">
        <f t="shared" si="12"/>
        <v>1.2678749999999999E-3</v>
      </c>
      <c r="T129" s="774"/>
      <c r="U129" s="774" t="s">
        <v>1443</v>
      </c>
      <c r="V129" s="774"/>
      <c r="W129" s="774"/>
      <c r="X129" s="777"/>
      <c r="Y129" s="777"/>
      <c r="Z129" s="801"/>
    </row>
    <row r="130" spans="1:54" ht="15.75" customHeight="1">
      <c r="A130" s="775">
        <v>2</v>
      </c>
      <c r="B130" s="774" t="s">
        <v>547</v>
      </c>
      <c r="C130" s="774" t="s">
        <v>542</v>
      </c>
      <c r="D130" s="774" t="s">
        <v>547</v>
      </c>
      <c r="E130" s="774" t="s">
        <v>547</v>
      </c>
      <c r="F130" s="774" t="s">
        <v>547</v>
      </c>
      <c r="G130" s="774" t="s">
        <v>1227</v>
      </c>
      <c r="H130" s="775" t="s">
        <v>1073</v>
      </c>
      <c r="I130" s="776" t="s">
        <v>1074</v>
      </c>
      <c r="J130" s="776" t="str">
        <f>VLOOKUP(D130,[5]Sheet1!$D$1:$D$65536,1,0)</f>
        <v>RK73H1HTTC4701F</v>
      </c>
      <c r="K130" s="775" t="s">
        <v>28</v>
      </c>
      <c r="L130" s="775"/>
      <c r="M130" s="775"/>
      <c r="N130" s="774" t="s">
        <v>292</v>
      </c>
      <c r="O130" s="774">
        <v>1.5139999999999999E-3</v>
      </c>
      <c r="P130" s="774"/>
      <c r="Q130" s="774"/>
      <c r="R130" s="774">
        <f t="shared" si="6"/>
        <v>1.5669899999999999E-3</v>
      </c>
      <c r="S130" s="774">
        <f t="shared" si="12"/>
        <v>0</v>
      </c>
      <c r="T130" s="774"/>
      <c r="U130" s="774" t="s">
        <v>1443</v>
      </c>
      <c r="V130" s="774"/>
      <c r="W130" s="774"/>
      <c r="X130" s="777"/>
      <c r="Y130" s="777"/>
      <c r="Z130" s="801"/>
    </row>
    <row r="131" spans="1:54" ht="15.75" customHeight="1">
      <c r="A131" s="775">
        <v>2</v>
      </c>
      <c r="B131" s="774" t="s">
        <v>548</v>
      </c>
      <c r="C131" s="774" t="s">
        <v>542</v>
      </c>
      <c r="D131" s="774" t="s">
        <v>548</v>
      </c>
      <c r="E131" s="774" t="s">
        <v>548</v>
      </c>
      <c r="F131" s="774" t="s">
        <v>548</v>
      </c>
      <c r="G131" s="774" t="s">
        <v>1227</v>
      </c>
      <c r="H131" s="775" t="s">
        <v>1073</v>
      </c>
      <c r="I131" s="776" t="s">
        <v>1074</v>
      </c>
      <c r="J131" s="776" t="str">
        <f>VLOOKUP(D131,[5]Sheet1!$D$1:$D$65536,1,0)</f>
        <v>ERJ1GJF4701C</v>
      </c>
      <c r="K131" s="775" t="s">
        <v>28</v>
      </c>
      <c r="L131" s="775"/>
      <c r="M131" s="775"/>
      <c r="N131" s="774" t="s">
        <v>289</v>
      </c>
      <c r="O131" s="774">
        <v>1.4800000000000001E-2</v>
      </c>
      <c r="P131" s="774"/>
      <c r="Q131" s="774"/>
      <c r="R131" s="774">
        <f t="shared" si="6"/>
        <v>1.5318E-2</v>
      </c>
      <c r="S131" s="774">
        <f t="shared" si="12"/>
        <v>1.3751010000000001E-2</v>
      </c>
      <c r="T131" s="774"/>
      <c r="U131" s="774" t="s">
        <v>1129</v>
      </c>
      <c r="V131" s="774"/>
      <c r="W131" s="774"/>
      <c r="X131" s="777"/>
      <c r="Y131" s="777"/>
      <c r="Z131" s="801"/>
    </row>
    <row r="132" spans="1:54" ht="15.75" customHeight="1">
      <c r="A132" s="775">
        <v>2</v>
      </c>
      <c r="B132" s="774" t="s">
        <v>366</v>
      </c>
      <c r="C132" s="774" t="s">
        <v>358</v>
      </c>
      <c r="D132" s="774" t="s">
        <v>367</v>
      </c>
      <c r="E132" s="774" t="s">
        <v>367</v>
      </c>
      <c r="F132" s="774" t="s">
        <v>367</v>
      </c>
      <c r="G132" s="774" t="s">
        <v>360</v>
      </c>
      <c r="H132" s="775" t="s">
        <v>1073</v>
      </c>
      <c r="I132" s="776" t="s">
        <v>1074</v>
      </c>
      <c r="J132" s="776" t="str">
        <f>VLOOKUP(D132,[5]Sheet1!$D$1:$D$65536,1,0)</f>
        <v>CRCW04020000Z0ED</v>
      </c>
      <c r="K132" s="775" t="s">
        <v>28</v>
      </c>
      <c r="L132" s="775">
        <v>10</v>
      </c>
      <c r="M132" s="775"/>
      <c r="N132" s="774" t="s">
        <v>368</v>
      </c>
      <c r="O132" s="774">
        <v>5.2999999999999998E-4</v>
      </c>
      <c r="P132" s="774"/>
      <c r="Q132" s="774"/>
      <c r="R132" s="774">
        <f t="shared" si="6"/>
        <v>5.4854999999999997E-4</v>
      </c>
      <c r="S132" s="774">
        <f t="shared" si="12"/>
        <v>0</v>
      </c>
      <c r="T132" s="774"/>
      <c r="U132" s="774" t="s">
        <v>1094</v>
      </c>
      <c r="V132" s="774"/>
      <c r="W132" s="774"/>
      <c r="X132" s="777"/>
      <c r="Y132" s="777"/>
      <c r="Z132" s="801" t="s">
        <v>1229</v>
      </c>
    </row>
    <row r="133" spans="1:54" s="658" customFormat="1" ht="15.75" customHeight="1">
      <c r="A133" s="775">
        <v>2</v>
      </c>
      <c r="B133" s="774" t="s">
        <v>369</v>
      </c>
      <c r="C133" s="774" t="s">
        <v>358</v>
      </c>
      <c r="D133" s="787" t="s">
        <v>370</v>
      </c>
      <c r="E133" s="774" t="s">
        <v>370</v>
      </c>
      <c r="F133" s="774" t="s">
        <v>370</v>
      </c>
      <c r="G133" s="774" t="s">
        <v>360</v>
      </c>
      <c r="H133" s="775" t="s">
        <v>1073</v>
      </c>
      <c r="I133" s="776" t="s">
        <v>1074</v>
      </c>
      <c r="J133" s="776" t="str">
        <f>VLOOKUP(D133,[5]Sheet1!$D$1:$D$65536,1,0)</f>
        <v>AC0402JR-070RL</v>
      </c>
      <c r="K133" s="775" t="s">
        <v>28</v>
      </c>
      <c r="L133" s="775"/>
      <c r="M133" s="775">
        <v>10</v>
      </c>
      <c r="N133" s="774" t="s">
        <v>296</v>
      </c>
      <c r="O133" s="774">
        <v>1.6999999999999999E-3</v>
      </c>
      <c r="P133" s="774"/>
      <c r="Q133" s="774"/>
      <c r="R133" s="774">
        <f t="shared" ref="R133:R198" si="13">O133*1.035</f>
        <v>1.7594999999999998E-3</v>
      </c>
      <c r="S133" s="774">
        <f t="shared" si="12"/>
        <v>1.2109499999999997E-3</v>
      </c>
      <c r="T133" s="774">
        <f>R133*M133</f>
        <v>1.7595E-2</v>
      </c>
      <c r="U133" s="774" t="s">
        <v>1470</v>
      </c>
      <c r="V133" s="774">
        <v>10000</v>
      </c>
      <c r="W133" s="774">
        <v>10</v>
      </c>
      <c r="X133" s="777" t="s">
        <v>1444</v>
      </c>
      <c r="Y133" s="777" t="s">
        <v>1444</v>
      </c>
      <c r="Z133" s="801"/>
      <c r="AA133" s="753"/>
      <c r="AB133" s="753"/>
      <c r="AC133" s="753"/>
      <c r="AD133" s="753"/>
      <c r="AE133" s="753"/>
      <c r="AF133" s="753"/>
      <c r="AG133" s="753"/>
      <c r="AH133" s="753"/>
      <c r="AI133" s="753"/>
      <c r="AJ133" s="753"/>
      <c r="AK133" s="753"/>
      <c r="AL133" s="753"/>
      <c r="AM133" s="753"/>
      <c r="AN133" s="753"/>
      <c r="AO133" s="753"/>
      <c r="AP133" s="753"/>
      <c r="AQ133" s="753"/>
      <c r="AR133" s="753"/>
      <c r="AS133" s="753"/>
      <c r="AT133" s="753"/>
      <c r="AU133" s="753"/>
      <c r="AV133" s="753"/>
      <c r="AW133" s="753"/>
      <c r="AX133" s="753"/>
      <c r="AY133" s="753"/>
      <c r="AZ133" s="753"/>
      <c r="BA133" s="753"/>
      <c r="BB133" s="753"/>
    </row>
    <row r="134" spans="1:54" ht="15.75" customHeight="1">
      <c r="A134" s="775">
        <v>2</v>
      </c>
      <c r="B134" s="774" t="s">
        <v>357</v>
      </c>
      <c r="C134" s="774" t="s">
        <v>358</v>
      </c>
      <c r="D134" s="774" t="s">
        <v>359</v>
      </c>
      <c r="E134" s="774" t="s">
        <v>359</v>
      </c>
      <c r="F134" s="774" t="s">
        <v>359</v>
      </c>
      <c r="G134" s="774" t="s">
        <v>360</v>
      </c>
      <c r="H134" s="775" t="s">
        <v>1073</v>
      </c>
      <c r="I134" s="776" t="s">
        <v>1074</v>
      </c>
      <c r="J134" s="776" t="str">
        <f>VLOOKUP(D134,[5]Sheet1!$D$1:$D$65536,1,0)</f>
        <v>RMCH10JPTH</v>
      </c>
      <c r="K134" s="775" t="s">
        <v>28</v>
      </c>
      <c r="L134" s="775"/>
      <c r="M134" s="775"/>
      <c r="N134" s="774" t="s">
        <v>294</v>
      </c>
      <c r="O134" s="774">
        <v>1.1100000000000001E-3</v>
      </c>
      <c r="P134" s="774"/>
      <c r="Q134" s="774"/>
      <c r="R134" s="774">
        <f t="shared" si="13"/>
        <v>1.1488500000000001E-3</v>
      </c>
      <c r="S134" s="774">
        <f t="shared" si="12"/>
        <v>6.0030000000000012E-4</v>
      </c>
      <c r="T134" s="774"/>
      <c r="U134" s="774" t="s">
        <v>1443</v>
      </c>
      <c r="V134" s="774"/>
      <c r="W134" s="774"/>
      <c r="X134" s="777"/>
      <c r="Y134" s="777"/>
      <c r="Z134" s="801"/>
    </row>
    <row r="135" spans="1:54" ht="15.75" customHeight="1">
      <c r="A135" s="775">
        <v>2</v>
      </c>
      <c r="B135" s="774" t="s">
        <v>364</v>
      </c>
      <c r="C135" s="774" t="s">
        <v>358</v>
      </c>
      <c r="D135" s="774" t="s">
        <v>365</v>
      </c>
      <c r="E135" s="774" t="s">
        <v>365</v>
      </c>
      <c r="F135" s="774" t="s">
        <v>365</v>
      </c>
      <c r="G135" s="774" t="s">
        <v>360</v>
      </c>
      <c r="H135" s="775" t="s">
        <v>1073</v>
      </c>
      <c r="I135" s="776" t="s">
        <v>1074</v>
      </c>
      <c r="J135" s="776" t="str">
        <f>VLOOKUP(D135,[5]Sheet1!$D$1:$D$65536,1,0)</f>
        <v>RK73Z1ETTP</v>
      </c>
      <c r="K135" s="775" t="s">
        <v>28</v>
      </c>
      <c r="L135" s="775"/>
      <c r="M135" s="775"/>
      <c r="N135" s="774" t="s">
        <v>292</v>
      </c>
      <c r="O135" s="774">
        <v>1.6999999999999999E-3</v>
      </c>
      <c r="P135" s="774"/>
      <c r="Q135" s="774"/>
      <c r="R135" s="774">
        <f t="shared" si="13"/>
        <v>1.7594999999999998E-3</v>
      </c>
      <c r="S135" s="774">
        <f t="shared" si="12"/>
        <v>1.2109499999999997E-3</v>
      </c>
      <c r="T135" s="774"/>
      <c r="U135" s="774" t="s">
        <v>1231</v>
      </c>
      <c r="V135" s="774"/>
      <c r="W135" s="774"/>
      <c r="X135" s="777"/>
      <c r="Y135" s="777"/>
      <c r="Z135" s="801"/>
    </row>
    <row r="136" spans="1:54" ht="15.75" customHeight="1">
      <c r="A136" s="775">
        <v>2</v>
      </c>
      <c r="B136" s="774" t="s">
        <v>362</v>
      </c>
      <c r="C136" s="774" t="s">
        <v>358</v>
      </c>
      <c r="D136" s="774" t="s">
        <v>363</v>
      </c>
      <c r="E136" s="774" t="s">
        <v>363</v>
      </c>
      <c r="F136" s="774" t="s">
        <v>363</v>
      </c>
      <c r="G136" s="774" t="s">
        <v>360</v>
      </c>
      <c r="H136" s="775" t="s">
        <v>1073</v>
      </c>
      <c r="I136" s="776" t="s">
        <v>1074</v>
      </c>
      <c r="J136" s="776" t="str">
        <f>VLOOKUP(D136,[5]Sheet1!$D$1:$D$65536,1,0)</f>
        <v>ERJ2GE0R00X</v>
      </c>
      <c r="K136" s="775" t="s">
        <v>28</v>
      </c>
      <c r="L136" s="775"/>
      <c r="M136" s="775"/>
      <c r="N136" s="774" t="s">
        <v>289</v>
      </c>
      <c r="O136" s="774">
        <v>1.6999999999999999E-3</v>
      </c>
      <c r="P136" s="774"/>
      <c r="Q136" s="774"/>
      <c r="R136" s="774">
        <f t="shared" si="13"/>
        <v>1.7594999999999998E-3</v>
      </c>
      <c r="S136" s="774">
        <f t="shared" si="12"/>
        <v>1.2109499999999997E-3</v>
      </c>
      <c r="T136" s="774"/>
      <c r="U136" s="774" t="s">
        <v>1094</v>
      </c>
      <c r="V136" s="774"/>
      <c r="W136" s="774"/>
      <c r="X136" s="777"/>
      <c r="Y136" s="777"/>
      <c r="Z136" s="801"/>
    </row>
    <row r="137" spans="1:54" ht="15.75" customHeight="1">
      <c r="A137" s="775">
        <v>2</v>
      </c>
      <c r="B137" s="774" t="s">
        <v>380</v>
      </c>
      <c r="C137" s="774" t="s">
        <v>376</v>
      </c>
      <c r="D137" s="774" t="s">
        <v>380</v>
      </c>
      <c r="E137" s="774" t="s">
        <v>380</v>
      </c>
      <c r="F137" s="774" t="s">
        <v>380</v>
      </c>
      <c r="G137" s="774" t="s">
        <v>1232</v>
      </c>
      <c r="H137" s="775" t="s">
        <v>1073</v>
      </c>
      <c r="I137" s="776" t="s">
        <v>1074</v>
      </c>
      <c r="J137" s="776" t="str">
        <f>VLOOKUP(D137,[5]Sheet1!$D$1:$D$65536,1,0)</f>
        <v>RMCH06-102DPA</v>
      </c>
      <c r="K137" s="775" t="s">
        <v>28</v>
      </c>
      <c r="L137" s="775">
        <v>6</v>
      </c>
      <c r="M137" s="775"/>
      <c r="N137" s="774" t="s">
        <v>294</v>
      </c>
      <c r="O137" s="774">
        <v>1.6999999999999999E-3</v>
      </c>
      <c r="P137" s="774"/>
      <c r="Q137" s="774"/>
      <c r="R137" s="774">
        <f t="shared" si="13"/>
        <v>1.7594999999999998E-3</v>
      </c>
      <c r="S137" s="774">
        <f t="shared" si="12"/>
        <v>0</v>
      </c>
      <c r="T137" s="774"/>
      <c r="U137" s="774" t="s">
        <v>1443</v>
      </c>
      <c r="V137" s="774"/>
      <c r="W137" s="774"/>
      <c r="X137" s="777"/>
      <c r="Y137" s="777"/>
      <c r="Z137" s="801" t="s">
        <v>1233</v>
      </c>
    </row>
    <row r="138" spans="1:54" s="658" customFormat="1" ht="15.75" customHeight="1">
      <c r="A138" s="775">
        <v>2</v>
      </c>
      <c r="B138" s="774" t="s">
        <v>377</v>
      </c>
      <c r="C138" s="774" t="s">
        <v>376</v>
      </c>
      <c r="D138" s="787" t="s">
        <v>377</v>
      </c>
      <c r="E138" s="774" t="s">
        <v>377</v>
      </c>
      <c r="F138" s="774" t="s">
        <v>377</v>
      </c>
      <c r="G138" s="774" t="s">
        <v>1232</v>
      </c>
      <c r="H138" s="775" t="s">
        <v>1073</v>
      </c>
      <c r="I138" s="776" t="s">
        <v>1074</v>
      </c>
      <c r="J138" s="776" t="str">
        <f>VLOOKUP(D138,[5]Sheet1!$D$1:$D$65536,1,0)</f>
        <v>RK73H1HTTC1001D</v>
      </c>
      <c r="K138" s="775" t="s">
        <v>28</v>
      </c>
      <c r="L138" s="775"/>
      <c r="M138" s="775">
        <v>6</v>
      </c>
      <c r="N138" s="774" t="s">
        <v>292</v>
      </c>
      <c r="O138" s="774">
        <v>6.7000000000000002E-3</v>
      </c>
      <c r="P138" s="774">
        <f>VLOOKUP(D138,'EEBOM Feb.2nd2026'!$D:$N,11,0)</f>
        <v>3.0999999999999999E-3</v>
      </c>
      <c r="Q138" s="774">
        <f t="shared" ref="Q138:Q139" si="14">O138-P138</f>
        <v>3.6000000000000003E-3</v>
      </c>
      <c r="R138" s="774">
        <f t="shared" si="13"/>
        <v>6.9344999999999997E-3</v>
      </c>
      <c r="S138" s="774">
        <f t="shared" si="12"/>
        <v>5.1749999999999999E-3</v>
      </c>
      <c r="T138" s="774">
        <f t="shared" ref="T138:T139" si="15">R138*M138</f>
        <v>4.1606999999999998E-2</v>
      </c>
      <c r="U138" s="774" t="s">
        <v>1443</v>
      </c>
      <c r="V138" s="774">
        <v>15000</v>
      </c>
      <c r="W138" s="774">
        <v>18</v>
      </c>
      <c r="X138" s="777" t="s">
        <v>1454</v>
      </c>
      <c r="Y138" s="777" t="s">
        <v>1448</v>
      </c>
      <c r="Z138" s="801"/>
      <c r="AA138" s="753"/>
      <c r="AB138" s="753"/>
      <c r="AC138" s="753"/>
      <c r="AD138" s="753"/>
      <c r="AE138" s="753"/>
      <c r="AF138" s="753"/>
      <c r="AG138" s="753"/>
      <c r="AH138" s="753"/>
      <c r="AI138" s="753"/>
      <c r="AJ138" s="753"/>
      <c r="AK138" s="753"/>
      <c r="AL138" s="753"/>
      <c r="AM138" s="753"/>
      <c r="AN138" s="753"/>
      <c r="AO138" s="753"/>
      <c r="AP138" s="753"/>
      <c r="AQ138" s="753"/>
      <c r="AR138" s="753"/>
      <c r="AS138" s="753"/>
      <c r="AT138" s="753"/>
      <c r="AU138" s="753"/>
      <c r="AV138" s="753"/>
      <c r="AW138" s="753"/>
      <c r="AX138" s="753"/>
      <c r="AY138" s="753"/>
      <c r="AZ138" s="753"/>
      <c r="BA138" s="753"/>
      <c r="BB138" s="753"/>
    </row>
    <row r="139" spans="1:54" s="658" customFormat="1" ht="15.75" customHeight="1">
      <c r="A139" s="775">
        <v>2</v>
      </c>
      <c r="B139" s="774" t="s">
        <v>540</v>
      </c>
      <c r="C139" s="774" t="s">
        <v>532</v>
      </c>
      <c r="D139" s="787" t="s">
        <v>541</v>
      </c>
      <c r="E139" s="774" t="s">
        <v>541</v>
      </c>
      <c r="F139" s="774" t="s">
        <v>541</v>
      </c>
      <c r="G139" s="774" t="s">
        <v>1234</v>
      </c>
      <c r="H139" s="775" t="s">
        <v>1073</v>
      </c>
      <c r="I139" s="776" t="s">
        <v>1074</v>
      </c>
      <c r="J139" s="776" t="str">
        <f>VLOOKUP(D139,[5]Sheet1!$D$1:$D$65536,1,0)</f>
        <v>AC0201FR-07100KL</v>
      </c>
      <c r="K139" s="775" t="s">
        <v>28</v>
      </c>
      <c r="L139" s="775">
        <v>14</v>
      </c>
      <c r="M139" s="775">
        <v>14</v>
      </c>
      <c r="N139" s="774" t="s">
        <v>296</v>
      </c>
      <c r="O139" s="774">
        <v>5.9999999999999995E-4</v>
      </c>
      <c r="P139" s="774">
        <f>VLOOKUP(D139,'EEBOM Feb.2nd2026'!$D:$N,11,0)</f>
        <v>5.9999999999999995E-4</v>
      </c>
      <c r="Q139" s="774">
        <f t="shared" si="14"/>
        <v>0</v>
      </c>
      <c r="R139" s="774">
        <f t="shared" si="13"/>
        <v>6.2099999999999992E-4</v>
      </c>
      <c r="S139" s="774">
        <f t="shared" si="12"/>
        <v>0</v>
      </c>
      <c r="T139" s="774">
        <f t="shared" si="15"/>
        <v>8.6939999999999986E-3</v>
      </c>
      <c r="U139" s="774" t="s">
        <v>1470</v>
      </c>
      <c r="V139" s="774">
        <v>10000</v>
      </c>
      <c r="W139" s="774">
        <v>10</v>
      </c>
      <c r="X139" s="777" t="s">
        <v>1472</v>
      </c>
      <c r="Y139" s="777" t="s">
        <v>1448</v>
      </c>
      <c r="Z139" s="801" t="s">
        <v>1235</v>
      </c>
      <c r="AA139" s="753"/>
      <c r="AB139" s="753"/>
      <c r="AC139" s="753"/>
      <c r="AD139" s="753"/>
      <c r="AE139" s="753"/>
      <c r="AF139" s="753"/>
      <c r="AG139" s="753"/>
      <c r="AH139" s="753"/>
      <c r="AI139" s="753"/>
      <c r="AJ139" s="753"/>
      <c r="AK139" s="753"/>
      <c r="AL139" s="753"/>
      <c r="AM139" s="753"/>
      <c r="AN139" s="753"/>
      <c r="AO139" s="753"/>
      <c r="AP139" s="753"/>
      <c r="AQ139" s="753"/>
      <c r="AR139" s="753"/>
      <c r="AS139" s="753"/>
      <c r="AT139" s="753"/>
      <c r="AU139" s="753"/>
      <c r="AV139" s="753"/>
      <c r="AW139" s="753"/>
      <c r="AX139" s="753"/>
      <c r="AY139" s="753"/>
      <c r="AZ139" s="753"/>
      <c r="BA139" s="753"/>
      <c r="BB139" s="753"/>
    </row>
    <row r="140" spans="1:54" ht="15.75" customHeight="1">
      <c r="A140" s="775">
        <v>2</v>
      </c>
      <c r="B140" s="774" t="s">
        <v>536</v>
      </c>
      <c r="C140" s="774" t="s">
        <v>532</v>
      </c>
      <c r="D140" s="774" t="s">
        <v>537</v>
      </c>
      <c r="E140" s="774" t="s">
        <v>537</v>
      </c>
      <c r="F140" s="774" t="s">
        <v>537</v>
      </c>
      <c r="G140" s="774" t="s">
        <v>1234</v>
      </c>
      <c r="H140" s="775" t="s">
        <v>1073</v>
      </c>
      <c r="I140" s="776" t="s">
        <v>1074</v>
      </c>
      <c r="J140" s="776" t="str">
        <f>VLOOKUP(D140,[5]Sheet1!$D$1:$D$65536,1,0)</f>
        <v>RK73H1HTTC1003F</v>
      </c>
      <c r="K140" s="775" t="s">
        <v>28</v>
      </c>
      <c r="L140" s="775"/>
      <c r="M140" s="775"/>
      <c r="N140" s="774" t="s">
        <v>292</v>
      </c>
      <c r="O140" s="774">
        <v>1.5139999999999999E-3</v>
      </c>
      <c r="P140" s="774"/>
      <c r="Q140" s="774"/>
      <c r="R140" s="774">
        <f t="shared" si="13"/>
        <v>1.5669899999999999E-3</v>
      </c>
      <c r="S140" s="774">
        <f t="shared" si="12"/>
        <v>9.4598999999999996E-4</v>
      </c>
      <c r="T140" s="774"/>
      <c r="U140" s="774" t="s">
        <v>1443</v>
      </c>
      <c r="V140" s="774"/>
      <c r="W140" s="774"/>
      <c r="X140" s="777"/>
      <c r="Y140" s="777"/>
      <c r="Z140" s="801"/>
    </row>
    <row r="141" spans="1:54" ht="15.75" customHeight="1">
      <c r="A141" s="775">
        <v>2</v>
      </c>
      <c r="B141" s="774" t="s">
        <v>539</v>
      </c>
      <c r="C141" s="774" t="s">
        <v>532</v>
      </c>
      <c r="D141" s="774" t="s">
        <v>539</v>
      </c>
      <c r="E141" s="774" t="s">
        <v>539</v>
      </c>
      <c r="F141" s="774" t="s">
        <v>539</v>
      </c>
      <c r="G141" s="774" t="s">
        <v>1234</v>
      </c>
      <c r="H141" s="775" t="s">
        <v>1073</v>
      </c>
      <c r="I141" s="776" t="s">
        <v>1074</v>
      </c>
      <c r="J141" s="776" t="str">
        <f>VLOOKUP(D141,[5]Sheet1!$D$1:$D$65536,1,0)</f>
        <v>ERJ1GJF1003C</v>
      </c>
      <c r="K141" s="775" t="s">
        <v>28</v>
      </c>
      <c r="L141" s="775"/>
      <c r="M141" s="775"/>
      <c r="N141" s="774" t="s">
        <v>289</v>
      </c>
      <c r="O141" s="774">
        <v>1.6999999999999999E-3</v>
      </c>
      <c r="P141" s="774"/>
      <c r="Q141" s="774"/>
      <c r="R141" s="774">
        <f t="shared" si="13"/>
        <v>1.7594999999999998E-3</v>
      </c>
      <c r="S141" s="774">
        <f t="shared" si="12"/>
        <v>1.1384999999999998E-3</v>
      </c>
      <c r="T141" s="774"/>
      <c r="U141" s="774" t="s">
        <v>1473</v>
      </c>
      <c r="V141" s="774"/>
      <c r="W141" s="774"/>
      <c r="X141" s="777"/>
      <c r="Y141" s="777"/>
      <c r="Z141" s="801"/>
    </row>
    <row r="142" spans="1:54" s="658" customFormat="1" ht="15.75" customHeight="1">
      <c r="A142" s="775">
        <v>2</v>
      </c>
      <c r="B142" s="774" t="s">
        <v>1236</v>
      </c>
      <c r="C142" s="774" t="s">
        <v>1237</v>
      </c>
      <c r="D142" s="787" t="s">
        <v>1236</v>
      </c>
      <c r="E142" s="774" t="s">
        <v>1236</v>
      </c>
      <c r="F142" s="774" t="e">
        <v>#N/A</v>
      </c>
      <c r="G142" s="774" t="s">
        <v>1238</v>
      </c>
      <c r="H142" s="775" t="s">
        <v>1073</v>
      </c>
      <c r="I142" s="776" t="s">
        <v>1074</v>
      </c>
      <c r="J142" s="776" t="str">
        <f>VLOOKUP(D142,[5]Sheet1!$D$1:$D$65536,1,0)</f>
        <v>AC0201FR-073K3L</v>
      </c>
      <c r="K142" s="775" t="s">
        <v>28</v>
      </c>
      <c r="L142" s="775">
        <v>2</v>
      </c>
      <c r="M142" s="775">
        <v>2</v>
      </c>
      <c r="N142" s="774" t="s">
        <v>296</v>
      </c>
      <c r="O142" s="774">
        <v>5.9999999999999995E-4</v>
      </c>
      <c r="P142" s="774">
        <f>VLOOKUP(D142,'EEBOM Feb.2nd2026'!$D:$N,11,0)</f>
        <v>5.9999999999999995E-4</v>
      </c>
      <c r="Q142" s="774">
        <f>O142-P142</f>
        <v>0</v>
      </c>
      <c r="R142" s="774">
        <f t="shared" si="13"/>
        <v>6.2099999999999992E-4</v>
      </c>
      <c r="S142" s="774">
        <f t="shared" si="12"/>
        <v>6.2099999999999992E-4</v>
      </c>
      <c r="T142" s="774">
        <f>R142*M142</f>
        <v>1.2419999999999998E-3</v>
      </c>
      <c r="U142" s="774" t="s">
        <v>1470</v>
      </c>
      <c r="V142" s="774">
        <v>10000</v>
      </c>
      <c r="W142" s="774">
        <v>10</v>
      </c>
      <c r="X142" s="777" t="s">
        <v>1472</v>
      </c>
      <c r="Y142" s="777" t="s">
        <v>1448</v>
      </c>
      <c r="Z142" s="801" t="s">
        <v>1239</v>
      </c>
      <c r="AA142" s="753"/>
      <c r="AB142" s="753"/>
      <c r="AC142" s="753"/>
      <c r="AD142" s="753"/>
      <c r="AE142" s="753"/>
      <c r="AF142" s="753"/>
      <c r="AG142" s="753"/>
      <c r="AH142" s="753"/>
      <c r="AI142" s="753"/>
      <c r="AJ142" s="753"/>
      <c r="AK142" s="753"/>
      <c r="AL142" s="753"/>
      <c r="AM142" s="753"/>
      <c r="AN142" s="753"/>
      <c r="AO142" s="753"/>
      <c r="AP142" s="753"/>
      <c r="AQ142" s="753"/>
      <c r="AR142" s="753"/>
      <c r="AS142" s="753"/>
      <c r="AT142" s="753"/>
      <c r="AU142" s="753"/>
      <c r="AV142" s="753"/>
      <c r="AW142" s="753"/>
      <c r="AX142" s="753"/>
      <c r="AY142" s="753"/>
      <c r="AZ142" s="753"/>
      <c r="BA142" s="753"/>
      <c r="BB142" s="753"/>
    </row>
    <row r="143" spans="1:54" ht="15.75" customHeight="1">
      <c r="A143" s="775">
        <v>2</v>
      </c>
      <c r="B143" s="774" t="s">
        <v>1240</v>
      </c>
      <c r="C143" s="774" t="s">
        <v>1237</v>
      </c>
      <c r="D143" s="774" t="s">
        <v>1240</v>
      </c>
      <c r="E143" s="774" t="s">
        <v>1240</v>
      </c>
      <c r="F143" s="774" t="e">
        <v>#N/A</v>
      </c>
      <c r="G143" s="774" t="s">
        <v>1238</v>
      </c>
      <c r="H143" s="775" t="s">
        <v>1073</v>
      </c>
      <c r="I143" s="776" t="s">
        <v>1074</v>
      </c>
      <c r="J143" s="776" t="str">
        <f>VLOOKUP(D143,[5]Sheet1!$D$1:$D$65536,1,0)</f>
        <v>RK73H1HTTC3301F</v>
      </c>
      <c r="K143" s="775" t="s">
        <v>28</v>
      </c>
      <c r="L143" s="775"/>
      <c r="M143" s="775"/>
      <c r="N143" s="774" t="s">
        <v>292</v>
      </c>
      <c r="O143" s="774">
        <v>1.6999999999999999E-3</v>
      </c>
      <c r="P143" s="774"/>
      <c r="Q143" s="774"/>
      <c r="R143" s="774">
        <f t="shared" si="13"/>
        <v>1.7594999999999998E-3</v>
      </c>
      <c r="S143" s="774">
        <f t="shared" si="12"/>
        <v>1.7594999999999998E-3</v>
      </c>
      <c r="T143" s="774"/>
      <c r="U143" s="774" t="s">
        <v>1443</v>
      </c>
      <c r="V143" s="774"/>
      <c r="W143" s="774"/>
      <c r="X143" s="777"/>
      <c r="Y143" s="777"/>
      <c r="Z143" s="801"/>
    </row>
    <row r="144" spans="1:54" ht="15.75" customHeight="1">
      <c r="A144" s="775">
        <v>2</v>
      </c>
      <c r="B144" s="774" t="s">
        <v>1241</v>
      </c>
      <c r="C144" s="774" t="s">
        <v>1237</v>
      </c>
      <c r="D144" s="774" t="s">
        <v>1241</v>
      </c>
      <c r="E144" s="774" t="s">
        <v>1241</v>
      </c>
      <c r="F144" s="774" t="e">
        <v>#N/A</v>
      </c>
      <c r="G144" s="774" t="s">
        <v>1238</v>
      </c>
      <c r="H144" s="775" t="s">
        <v>1073</v>
      </c>
      <c r="I144" s="776" t="s">
        <v>1074</v>
      </c>
      <c r="J144" s="776" t="str">
        <f>VLOOKUP(D144,[5]Sheet1!$D$1:$D$65536,1,0)</f>
        <v>RMCH06-332FPA</v>
      </c>
      <c r="K144" s="775" t="s">
        <v>28</v>
      </c>
      <c r="L144" s="775"/>
      <c r="M144" s="775"/>
      <c r="N144" s="774" t="s">
        <v>294</v>
      </c>
      <c r="O144" s="774">
        <v>2.7390000000000001E-3</v>
      </c>
      <c r="P144" s="774"/>
      <c r="Q144" s="774"/>
      <c r="R144" s="774">
        <f t="shared" si="13"/>
        <v>2.8348649999999998E-3</v>
      </c>
      <c r="S144" s="774">
        <f t="shared" si="12"/>
        <v>2.8348649999999998E-3</v>
      </c>
      <c r="T144" s="774"/>
      <c r="U144" s="774" t="s">
        <v>1443</v>
      </c>
      <c r="V144" s="774"/>
      <c r="W144" s="774"/>
      <c r="X144" s="777"/>
      <c r="Y144" s="777"/>
      <c r="Z144" s="801"/>
    </row>
    <row r="145" spans="1:54" ht="15.75" customHeight="1">
      <c r="A145" s="775">
        <v>2</v>
      </c>
      <c r="B145" s="774" t="s">
        <v>1242</v>
      </c>
      <c r="C145" s="774" t="s">
        <v>1237</v>
      </c>
      <c r="D145" s="774" t="s">
        <v>1242</v>
      </c>
      <c r="E145" s="774" t="s">
        <v>1242</v>
      </c>
      <c r="F145" s="774" t="e">
        <v>#N/A</v>
      </c>
      <c r="G145" s="774" t="s">
        <v>1238</v>
      </c>
      <c r="H145" s="775" t="s">
        <v>1073</v>
      </c>
      <c r="I145" s="776" t="s">
        <v>1074</v>
      </c>
      <c r="J145" s="776" t="str">
        <f>VLOOKUP(D145,[5]Sheet1!$D$1:$D$65536,1,0)</f>
        <v>ERJ1GJF3301C</v>
      </c>
      <c r="K145" s="775" t="s">
        <v>28</v>
      </c>
      <c r="L145" s="775"/>
      <c r="M145" s="775"/>
      <c r="N145" s="774" t="s">
        <v>289</v>
      </c>
      <c r="O145" s="774"/>
      <c r="P145" s="774"/>
      <c r="Q145" s="774"/>
      <c r="R145" s="774">
        <f t="shared" si="13"/>
        <v>0</v>
      </c>
      <c r="S145" s="774">
        <f t="shared" si="12"/>
        <v>0</v>
      </c>
      <c r="T145" s="774"/>
      <c r="U145" s="774"/>
      <c r="V145" s="774"/>
      <c r="W145" s="774"/>
      <c r="X145" s="777"/>
      <c r="Y145" s="777"/>
      <c r="Z145" s="801"/>
    </row>
    <row r="146" spans="1:54" s="658" customFormat="1" ht="13.5" customHeight="1">
      <c r="A146" s="775">
        <v>2</v>
      </c>
      <c r="B146" s="774" t="s">
        <v>1243</v>
      </c>
      <c r="C146" s="774" t="s">
        <v>1244</v>
      </c>
      <c r="D146" s="787" t="s">
        <v>1243</v>
      </c>
      <c r="E146" s="774" t="s">
        <v>1243</v>
      </c>
      <c r="F146" s="774" t="e">
        <v>#N/A</v>
      </c>
      <c r="G146" s="774" t="s">
        <v>1245</v>
      </c>
      <c r="H146" s="775" t="s">
        <v>1073</v>
      </c>
      <c r="I146" s="776" t="s">
        <v>1074</v>
      </c>
      <c r="J146" s="776" t="str">
        <f>VLOOKUP(D146,[5]Sheet1!$D$1:$D$65536,1,0)</f>
        <v>AC0201FR-0724K9L</v>
      </c>
      <c r="K146" s="775" t="s">
        <v>28</v>
      </c>
      <c r="L146" s="775">
        <v>1</v>
      </c>
      <c r="M146" s="775">
        <v>1</v>
      </c>
      <c r="N146" s="774" t="s">
        <v>296</v>
      </c>
      <c r="O146" s="774">
        <v>5.9999999999999995E-4</v>
      </c>
      <c r="P146" s="774">
        <f>VLOOKUP(D146,'EEBOM Feb.2nd2026'!$D:$N,11,0)</f>
        <v>5.9999999999999995E-4</v>
      </c>
      <c r="Q146" s="774">
        <f>O146-P146</f>
        <v>0</v>
      </c>
      <c r="R146" s="774">
        <f t="shared" si="13"/>
        <v>6.2099999999999992E-4</v>
      </c>
      <c r="S146" s="774">
        <f t="shared" si="12"/>
        <v>6.2099999999999992E-4</v>
      </c>
      <c r="T146" s="774">
        <f>R146*M146</f>
        <v>6.2099999999999992E-4</v>
      </c>
      <c r="U146" s="774" t="s">
        <v>1470</v>
      </c>
      <c r="V146" s="774">
        <v>10000</v>
      </c>
      <c r="W146" s="774">
        <v>10</v>
      </c>
      <c r="X146" s="777" t="s">
        <v>1472</v>
      </c>
      <c r="Y146" s="777" t="s">
        <v>1448</v>
      </c>
      <c r="Z146" s="801" t="s">
        <v>1246</v>
      </c>
      <c r="AA146" s="753"/>
      <c r="AB146" s="753"/>
      <c r="AC146" s="753"/>
      <c r="AD146" s="753"/>
      <c r="AE146" s="753"/>
      <c r="AF146" s="753"/>
      <c r="AG146" s="753"/>
      <c r="AH146" s="753"/>
      <c r="AI146" s="753"/>
      <c r="AJ146" s="753"/>
      <c r="AK146" s="753"/>
      <c r="AL146" s="753"/>
      <c r="AM146" s="753"/>
      <c r="AN146" s="753"/>
      <c r="AO146" s="753"/>
      <c r="AP146" s="753"/>
      <c r="AQ146" s="753"/>
      <c r="AR146" s="753"/>
      <c r="AS146" s="753"/>
      <c r="AT146" s="753"/>
      <c r="AU146" s="753"/>
      <c r="AV146" s="753"/>
      <c r="AW146" s="753"/>
      <c r="AX146" s="753"/>
      <c r="AY146" s="753"/>
      <c r="AZ146" s="753"/>
      <c r="BA146" s="753"/>
      <c r="BB146" s="753"/>
    </row>
    <row r="147" spans="1:54" ht="15.75" customHeight="1">
      <c r="A147" s="775">
        <v>2</v>
      </c>
      <c r="B147" s="774" t="s">
        <v>1247</v>
      </c>
      <c r="C147" s="774" t="s">
        <v>1244</v>
      </c>
      <c r="D147" s="774" t="s">
        <v>1247</v>
      </c>
      <c r="E147" s="774" t="s">
        <v>1247</v>
      </c>
      <c r="F147" s="774" t="e">
        <v>#N/A</v>
      </c>
      <c r="G147" s="774" t="s">
        <v>1245</v>
      </c>
      <c r="H147" s="775" t="s">
        <v>1073</v>
      </c>
      <c r="I147" s="776" t="s">
        <v>1074</v>
      </c>
      <c r="J147" s="776" t="str">
        <f>VLOOKUP(D147,[5]Sheet1!$D$1:$D$65536,1,0)</f>
        <v>RK73H1HTTC2492F</v>
      </c>
      <c r="K147" s="775" t="s">
        <v>28</v>
      </c>
      <c r="L147" s="775"/>
      <c r="M147" s="775"/>
      <c r="N147" s="774" t="s">
        <v>292</v>
      </c>
      <c r="O147" s="774">
        <v>1.6999999999999999E-3</v>
      </c>
      <c r="P147" s="774"/>
      <c r="Q147" s="774"/>
      <c r="R147" s="774">
        <f t="shared" si="13"/>
        <v>1.7594999999999998E-3</v>
      </c>
      <c r="S147" s="774">
        <f t="shared" si="12"/>
        <v>1.7594999999999998E-3</v>
      </c>
      <c r="T147" s="774"/>
      <c r="U147" s="774" t="s">
        <v>1443</v>
      </c>
      <c r="V147" s="774"/>
      <c r="W147" s="774"/>
      <c r="X147" s="777"/>
      <c r="Y147" s="777"/>
      <c r="Z147" s="801"/>
    </row>
    <row r="148" spans="1:54" ht="15.75" customHeight="1">
      <c r="A148" s="775">
        <v>2</v>
      </c>
      <c r="B148" s="774" t="s">
        <v>1248</v>
      </c>
      <c r="C148" s="774" t="s">
        <v>1244</v>
      </c>
      <c r="D148" s="774" t="s">
        <v>1248</v>
      </c>
      <c r="E148" s="774" t="s">
        <v>1248</v>
      </c>
      <c r="F148" s="774" t="e">
        <v>#N/A</v>
      </c>
      <c r="G148" s="774" t="s">
        <v>1245</v>
      </c>
      <c r="H148" s="775" t="s">
        <v>1073</v>
      </c>
      <c r="I148" s="776" t="s">
        <v>1074</v>
      </c>
      <c r="J148" s="776" t="str">
        <f>VLOOKUP(D148,[5]Sheet1!$D$1:$D$65536,1,0)</f>
        <v>RMCH06-2492FPA</v>
      </c>
      <c r="K148" s="775" t="s">
        <v>28</v>
      </c>
      <c r="L148" s="775"/>
      <c r="M148" s="775"/>
      <c r="N148" s="774" t="s">
        <v>294</v>
      </c>
      <c r="O148" s="774">
        <v>2.7390000000000001E-3</v>
      </c>
      <c r="P148" s="774"/>
      <c r="Q148" s="774"/>
      <c r="R148" s="774">
        <f t="shared" si="13"/>
        <v>2.8348649999999998E-3</v>
      </c>
      <c r="S148" s="774">
        <f t="shared" si="12"/>
        <v>2.8348649999999998E-3</v>
      </c>
      <c r="T148" s="774"/>
      <c r="U148" s="774" t="s">
        <v>1443</v>
      </c>
      <c r="V148" s="774"/>
      <c r="W148" s="774"/>
      <c r="X148" s="777"/>
      <c r="Y148" s="777"/>
      <c r="Z148" s="801"/>
    </row>
    <row r="149" spans="1:54" ht="15.75" customHeight="1">
      <c r="A149" s="775">
        <v>2</v>
      </c>
      <c r="B149" s="774" t="s">
        <v>1249</v>
      </c>
      <c r="C149" s="774" t="s">
        <v>1244</v>
      </c>
      <c r="D149" s="774" t="s">
        <v>1249</v>
      </c>
      <c r="E149" s="774" t="s">
        <v>1249</v>
      </c>
      <c r="F149" s="774" t="e">
        <v>#N/A</v>
      </c>
      <c r="G149" s="774" t="s">
        <v>1245</v>
      </c>
      <c r="H149" s="775" t="s">
        <v>1073</v>
      </c>
      <c r="I149" s="776" t="s">
        <v>1074</v>
      </c>
      <c r="J149" s="776" t="str">
        <f>VLOOKUP(D149,[5]Sheet1!$D$1:$D$65536,1,0)</f>
        <v>ERJ1GJF2492C</v>
      </c>
      <c r="K149" s="775" t="s">
        <v>28</v>
      </c>
      <c r="L149" s="775"/>
      <c r="M149" s="775"/>
      <c r="N149" s="774" t="s">
        <v>289</v>
      </c>
      <c r="O149" s="774"/>
      <c r="P149" s="774"/>
      <c r="Q149" s="774"/>
      <c r="R149" s="774">
        <f t="shared" si="13"/>
        <v>0</v>
      </c>
      <c r="S149" s="774">
        <f t="shared" si="12"/>
        <v>0</v>
      </c>
      <c r="T149" s="774"/>
      <c r="U149" s="774"/>
      <c r="V149" s="774"/>
      <c r="W149" s="774"/>
      <c r="X149" s="777"/>
      <c r="Y149" s="777"/>
      <c r="Z149" s="801"/>
    </row>
    <row r="150" spans="1:54" s="668" customFormat="1" ht="15.75" customHeight="1">
      <c r="A150" s="775">
        <v>2</v>
      </c>
      <c r="B150" s="774" t="s">
        <v>1250</v>
      </c>
      <c r="C150" s="774" t="s">
        <v>1251</v>
      </c>
      <c r="D150" s="787" t="s">
        <v>1404</v>
      </c>
      <c r="E150" s="774" t="s">
        <v>1250</v>
      </c>
      <c r="F150" s="774" t="e">
        <v>#N/A</v>
      </c>
      <c r="G150" s="774" t="s">
        <v>1252</v>
      </c>
      <c r="H150" s="775" t="s">
        <v>1073</v>
      </c>
      <c r="I150" s="776" t="s">
        <v>1074</v>
      </c>
      <c r="J150" s="776" t="str">
        <f>VLOOKUP(D150,[5]Sheet1!$D$1:$D$65536,1,0)</f>
        <v>ERJ-2BWFR100X</v>
      </c>
      <c r="K150" s="775" t="s">
        <v>28</v>
      </c>
      <c r="L150" s="775">
        <v>1</v>
      </c>
      <c r="M150" s="775">
        <v>1</v>
      </c>
      <c r="N150" s="774" t="s">
        <v>289</v>
      </c>
      <c r="O150" s="774">
        <v>0.05</v>
      </c>
      <c r="P150" s="774"/>
      <c r="Q150" s="774"/>
      <c r="R150" s="774">
        <f t="shared" si="13"/>
        <v>5.1749999999999997E-2</v>
      </c>
      <c r="S150" s="774">
        <f t="shared" si="12"/>
        <v>0</v>
      </c>
      <c r="T150" s="774">
        <f>R150*M150</f>
        <v>5.1749999999999997E-2</v>
      </c>
      <c r="U150" s="779" t="s">
        <v>1474</v>
      </c>
      <c r="V150" s="774">
        <v>10000</v>
      </c>
      <c r="W150" s="780">
        <v>16</v>
      </c>
      <c r="X150" s="777" t="s">
        <v>1466</v>
      </c>
      <c r="Y150" s="777" t="s">
        <v>1453</v>
      </c>
      <c r="Z150" s="801" t="s">
        <v>1253</v>
      </c>
      <c r="AA150" s="753"/>
      <c r="AB150" s="753"/>
      <c r="AC150" s="753"/>
      <c r="AD150" s="753"/>
      <c r="AE150" s="753"/>
      <c r="AF150" s="753"/>
      <c r="AG150" s="753"/>
      <c r="AH150" s="753"/>
      <c r="AI150" s="753"/>
      <c r="AJ150" s="753"/>
      <c r="AK150" s="753"/>
      <c r="AL150" s="753"/>
      <c r="AM150" s="753"/>
      <c r="AN150" s="753"/>
      <c r="AO150" s="753"/>
      <c r="AP150" s="753"/>
      <c r="AQ150" s="753"/>
      <c r="AR150" s="753"/>
      <c r="AS150" s="753"/>
      <c r="AT150" s="753"/>
      <c r="AU150" s="753"/>
      <c r="AV150" s="753"/>
      <c r="AW150" s="753"/>
      <c r="AX150" s="753"/>
      <c r="AY150" s="753"/>
      <c r="AZ150" s="753"/>
      <c r="BA150" s="753"/>
      <c r="BB150" s="753"/>
    </row>
    <row r="151" spans="1:54" ht="15.5" customHeight="1">
      <c r="A151" s="775">
        <v>2</v>
      </c>
      <c r="B151" s="774" t="s">
        <v>1254</v>
      </c>
      <c r="C151" s="774" t="s">
        <v>1255</v>
      </c>
      <c r="D151" s="774" t="s">
        <v>1254</v>
      </c>
      <c r="E151" s="774" t="s">
        <v>1254</v>
      </c>
      <c r="F151" s="774" t="e">
        <v>#N/A</v>
      </c>
      <c r="G151" s="774" t="s">
        <v>1256</v>
      </c>
      <c r="H151" s="775" t="s">
        <v>1073</v>
      </c>
      <c r="I151" s="776" t="s">
        <v>1074</v>
      </c>
      <c r="J151" s="776" t="str">
        <f>VLOOKUP(D151,[5]Sheet1!$D$1:$D$65536,1,0)</f>
        <v>CRCW040233K0FKED</v>
      </c>
      <c r="K151" s="775" t="s">
        <v>28</v>
      </c>
      <c r="L151" s="775">
        <v>1</v>
      </c>
      <c r="M151" s="775"/>
      <c r="N151" s="774" t="s">
        <v>368</v>
      </c>
      <c r="O151" s="774">
        <v>8.3299999999999997E-4</v>
      </c>
      <c r="P151" s="774"/>
      <c r="Q151" s="774"/>
      <c r="R151" s="774">
        <f t="shared" si="13"/>
        <v>8.6215499999999987E-4</v>
      </c>
      <c r="S151" s="774">
        <f t="shared" si="12"/>
        <v>5.1025499999999982E-4</v>
      </c>
      <c r="T151" s="774"/>
      <c r="U151" s="774" t="s">
        <v>1443</v>
      </c>
      <c r="V151" s="774"/>
      <c r="W151" s="774"/>
      <c r="X151" s="777"/>
      <c r="Y151" s="777"/>
      <c r="Z151" s="801" t="s">
        <v>1257</v>
      </c>
    </row>
    <row r="152" spans="1:54" s="658" customFormat="1" ht="15.75" customHeight="1">
      <c r="A152" s="775">
        <v>2</v>
      </c>
      <c r="B152" s="774" t="s">
        <v>1258</v>
      </c>
      <c r="C152" s="774" t="s">
        <v>1255</v>
      </c>
      <c r="D152" s="787" t="s">
        <v>1258</v>
      </c>
      <c r="E152" s="774" t="s">
        <v>1258</v>
      </c>
      <c r="F152" s="774" t="e">
        <v>#N/A</v>
      </c>
      <c r="G152" s="774" t="s">
        <v>1256</v>
      </c>
      <c r="H152" s="775" t="s">
        <v>1073</v>
      </c>
      <c r="I152" s="776" t="s">
        <v>1074</v>
      </c>
      <c r="J152" s="776" t="str">
        <f>VLOOKUP(D152,[5]Sheet1!$D$1:$D$65536,1,0)</f>
        <v>AC0402FR-0733KL</v>
      </c>
      <c r="K152" s="775" t="s">
        <v>28</v>
      </c>
      <c r="L152" s="775"/>
      <c r="M152" s="775">
        <v>1</v>
      </c>
      <c r="N152" s="774" t="s">
        <v>296</v>
      </c>
      <c r="O152" s="774">
        <v>3.4000000000000002E-4</v>
      </c>
      <c r="P152" s="774">
        <f>VLOOKUP(D152,'EEBOM Feb.2nd2026'!$D:$N,11,0)</f>
        <v>3.4000000000000002E-4</v>
      </c>
      <c r="Q152" s="774">
        <f>O152-P152</f>
        <v>0</v>
      </c>
      <c r="R152" s="774">
        <f t="shared" si="13"/>
        <v>3.5189999999999999E-4</v>
      </c>
      <c r="S152" s="774">
        <f t="shared" si="12"/>
        <v>0</v>
      </c>
      <c r="T152" s="774">
        <f>R152*M152</f>
        <v>3.5189999999999999E-4</v>
      </c>
      <c r="U152" s="774" t="s">
        <v>1470</v>
      </c>
      <c r="V152" s="774">
        <v>10000</v>
      </c>
      <c r="W152" s="774">
        <v>10</v>
      </c>
      <c r="X152" s="777" t="s">
        <v>1472</v>
      </c>
      <c r="Y152" s="777" t="s">
        <v>1448</v>
      </c>
      <c r="Z152" s="801"/>
      <c r="AA152" s="753"/>
      <c r="AB152" s="753"/>
      <c r="AC152" s="753"/>
      <c r="AD152" s="753"/>
      <c r="AE152" s="753"/>
      <c r="AF152" s="753"/>
      <c r="AG152" s="753"/>
      <c r="AH152" s="753"/>
      <c r="AI152" s="753"/>
      <c r="AJ152" s="753"/>
      <c r="AK152" s="753"/>
      <c r="AL152" s="753"/>
      <c r="AM152" s="753"/>
      <c r="AN152" s="753"/>
      <c r="AO152" s="753"/>
      <c r="AP152" s="753"/>
      <c r="AQ152" s="753"/>
      <c r="AR152" s="753"/>
      <c r="AS152" s="753"/>
      <c r="AT152" s="753"/>
      <c r="AU152" s="753"/>
      <c r="AV152" s="753"/>
      <c r="AW152" s="753"/>
      <c r="AX152" s="753"/>
      <c r="AY152" s="753"/>
      <c r="AZ152" s="753"/>
      <c r="BA152" s="753"/>
      <c r="BB152" s="753"/>
    </row>
    <row r="153" spans="1:54" ht="15.75" customHeight="1">
      <c r="A153" s="775">
        <v>2</v>
      </c>
      <c r="B153" s="774" t="s">
        <v>1259</v>
      </c>
      <c r="C153" s="774" t="s">
        <v>1255</v>
      </c>
      <c r="D153" s="774" t="s">
        <v>1259</v>
      </c>
      <c r="E153" s="774" t="s">
        <v>1259</v>
      </c>
      <c r="F153" s="774" t="e">
        <v>#N/A</v>
      </c>
      <c r="G153" s="774" t="s">
        <v>1256</v>
      </c>
      <c r="H153" s="775" t="s">
        <v>1073</v>
      </c>
      <c r="I153" s="776" t="s">
        <v>1074</v>
      </c>
      <c r="J153" s="776" t="str">
        <f>VLOOKUP(D153,[5]Sheet1!$D$1:$D$65536,1,0)</f>
        <v>RMCH10K333FTH</v>
      </c>
      <c r="K153" s="775" t="s">
        <v>28</v>
      </c>
      <c r="L153" s="775"/>
      <c r="M153" s="775"/>
      <c r="N153" s="774" t="s">
        <v>294</v>
      </c>
      <c r="O153" s="774">
        <v>1.6999999999999999E-3</v>
      </c>
      <c r="P153" s="774"/>
      <c r="Q153" s="774"/>
      <c r="R153" s="774">
        <f t="shared" si="13"/>
        <v>1.7594999999999998E-3</v>
      </c>
      <c r="S153" s="774">
        <f t="shared" si="12"/>
        <v>1.4075999999999997E-3</v>
      </c>
      <c r="T153" s="774"/>
      <c r="U153" s="774" t="s">
        <v>1443</v>
      </c>
      <c r="V153" s="774"/>
      <c r="W153" s="774"/>
      <c r="X153" s="777"/>
      <c r="Y153" s="777"/>
      <c r="Z153" s="801"/>
    </row>
    <row r="154" spans="1:54" ht="15.75" customHeight="1">
      <c r="A154" s="775">
        <v>2</v>
      </c>
      <c r="B154" s="774" t="s">
        <v>1260</v>
      </c>
      <c r="C154" s="774" t="s">
        <v>1255</v>
      </c>
      <c r="D154" s="774" t="s">
        <v>1260</v>
      </c>
      <c r="E154" s="774" t="s">
        <v>1260</v>
      </c>
      <c r="F154" s="774" t="e">
        <v>#N/A</v>
      </c>
      <c r="G154" s="774" t="s">
        <v>1256</v>
      </c>
      <c r="H154" s="775" t="s">
        <v>1073</v>
      </c>
      <c r="I154" s="776" t="s">
        <v>1074</v>
      </c>
      <c r="J154" s="776" t="str">
        <f>VLOOKUP(D154,[5]Sheet1!$D$1:$D$65536,1,0)</f>
        <v>RK73H1ETTP3302F</v>
      </c>
      <c r="K154" s="775" t="s">
        <v>28</v>
      </c>
      <c r="L154" s="775"/>
      <c r="M154" s="775"/>
      <c r="N154" s="774" t="s">
        <v>292</v>
      </c>
      <c r="O154" s="774">
        <v>1.047E-3</v>
      </c>
      <c r="P154" s="774"/>
      <c r="Q154" s="774"/>
      <c r="R154" s="774">
        <f t="shared" si="13"/>
        <v>1.0836449999999998E-3</v>
      </c>
      <c r="S154" s="774">
        <f t="shared" si="12"/>
        <v>7.3174499999999979E-4</v>
      </c>
      <c r="T154" s="774"/>
      <c r="U154" s="774" t="s">
        <v>1443</v>
      </c>
      <c r="V154" s="774"/>
      <c r="W154" s="774"/>
      <c r="X154" s="777"/>
      <c r="Y154" s="777"/>
      <c r="Z154" s="801"/>
    </row>
    <row r="155" spans="1:54" ht="15.75" customHeight="1">
      <c r="A155" s="775">
        <v>2</v>
      </c>
      <c r="B155" s="774" t="s">
        <v>1261</v>
      </c>
      <c r="C155" s="774" t="s">
        <v>1262</v>
      </c>
      <c r="D155" s="774" t="s">
        <v>1261</v>
      </c>
      <c r="E155" s="774" t="s">
        <v>1261</v>
      </c>
      <c r="F155" s="774" t="e">
        <v>#N/A</v>
      </c>
      <c r="G155" s="774" t="s">
        <v>1263</v>
      </c>
      <c r="H155" s="775" t="s">
        <v>1073</v>
      </c>
      <c r="I155" s="776" t="s">
        <v>1074</v>
      </c>
      <c r="J155" s="776" t="str">
        <f>VLOOKUP(D155,[5]Sheet1!$D$1:$D$65536,1,0)</f>
        <v>CRCW0603100KFKEA</v>
      </c>
      <c r="K155" s="775" t="s">
        <v>28</v>
      </c>
      <c r="L155" s="775">
        <v>3</v>
      </c>
      <c r="M155" s="775"/>
      <c r="N155" s="774" t="s">
        <v>368</v>
      </c>
      <c r="O155" s="774">
        <v>9.5600000000000004E-4</v>
      </c>
      <c r="P155" s="774"/>
      <c r="Q155" s="774"/>
      <c r="R155" s="774">
        <f t="shared" si="13"/>
        <v>9.8945999999999995E-4</v>
      </c>
      <c r="S155" s="774">
        <f t="shared" si="12"/>
        <v>0</v>
      </c>
      <c r="T155" s="774"/>
      <c r="U155" s="774" t="s">
        <v>1443</v>
      </c>
      <c r="V155" s="774"/>
      <c r="W155" s="774"/>
      <c r="X155" s="777"/>
      <c r="Y155" s="777"/>
      <c r="Z155" s="801" t="s">
        <v>1264</v>
      </c>
    </row>
    <row r="156" spans="1:54" s="658" customFormat="1" ht="15.75" customHeight="1">
      <c r="A156" s="775">
        <v>2</v>
      </c>
      <c r="B156" s="774" t="s">
        <v>1265</v>
      </c>
      <c r="C156" s="774" t="s">
        <v>1262</v>
      </c>
      <c r="D156" s="787" t="s">
        <v>1265</v>
      </c>
      <c r="E156" s="774" t="s">
        <v>1265</v>
      </c>
      <c r="F156" s="774" t="e">
        <v>#N/A</v>
      </c>
      <c r="G156" s="774" t="s">
        <v>1263</v>
      </c>
      <c r="H156" s="775" t="s">
        <v>1073</v>
      </c>
      <c r="I156" s="776" t="s">
        <v>1074</v>
      </c>
      <c r="J156" s="776" t="str">
        <f>VLOOKUP(D156,[5]Sheet1!$D$1:$D$65536,1,0)</f>
        <v>AC0603FR-07100KL</v>
      </c>
      <c r="K156" s="775" t="s">
        <v>28</v>
      </c>
      <c r="L156" s="775"/>
      <c r="M156" s="775">
        <v>3</v>
      </c>
      <c r="N156" s="774" t="s">
        <v>296</v>
      </c>
      <c r="O156" s="774">
        <v>1.6999999999999999E-3</v>
      </c>
      <c r="P156" s="774">
        <f>VLOOKUP(D156,'EEBOM Feb.2nd2026'!$D:$N,11,0)</f>
        <v>6.6E-4</v>
      </c>
      <c r="Q156" s="774">
        <f>O156-P156</f>
        <v>1.0399999999999999E-3</v>
      </c>
      <c r="R156" s="774">
        <f t="shared" si="13"/>
        <v>1.7594999999999998E-3</v>
      </c>
      <c r="S156" s="774">
        <f t="shared" si="12"/>
        <v>7.7003999999999983E-4</v>
      </c>
      <c r="T156" s="774">
        <f>R156*M156</f>
        <v>5.2784999999999993E-3</v>
      </c>
      <c r="U156" s="774" t="s">
        <v>1470</v>
      </c>
      <c r="V156" s="774">
        <v>5000</v>
      </c>
      <c r="W156" s="774">
        <v>10</v>
      </c>
      <c r="X156" s="777" t="s">
        <v>1472</v>
      </c>
      <c r="Y156" s="777" t="s">
        <v>1448</v>
      </c>
      <c r="Z156" s="801"/>
      <c r="AA156" s="753"/>
      <c r="AB156" s="753"/>
      <c r="AC156" s="753"/>
      <c r="AD156" s="753"/>
      <c r="AE156" s="753"/>
      <c r="AF156" s="753"/>
      <c r="AG156" s="753"/>
      <c r="AH156" s="753"/>
      <c r="AI156" s="753"/>
      <c r="AJ156" s="753"/>
      <c r="AK156" s="753"/>
      <c r="AL156" s="753"/>
      <c r="AM156" s="753"/>
      <c r="AN156" s="753"/>
      <c r="AO156" s="753"/>
      <c r="AP156" s="753"/>
      <c r="AQ156" s="753"/>
      <c r="AR156" s="753"/>
      <c r="AS156" s="753"/>
      <c r="AT156" s="753"/>
      <c r="AU156" s="753"/>
      <c r="AV156" s="753"/>
      <c r="AW156" s="753"/>
      <c r="AX156" s="753"/>
      <c r="AY156" s="753"/>
      <c r="AZ156" s="753"/>
      <c r="BA156" s="753"/>
      <c r="BB156" s="753"/>
    </row>
    <row r="157" spans="1:54" ht="15.75" customHeight="1">
      <c r="A157" s="775">
        <v>2</v>
      </c>
      <c r="B157" s="774" t="s">
        <v>1266</v>
      </c>
      <c r="C157" s="774" t="s">
        <v>1262</v>
      </c>
      <c r="D157" s="774" t="s">
        <v>1266</v>
      </c>
      <c r="E157" s="774" t="s">
        <v>1266</v>
      </c>
      <c r="F157" s="774" t="e">
        <v>#N/A</v>
      </c>
      <c r="G157" s="774" t="s">
        <v>1263</v>
      </c>
      <c r="H157" s="775" t="s">
        <v>1073</v>
      </c>
      <c r="I157" s="776" t="s">
        <v>1074</v>
      </c>
      <c r="J157" s="776" t="str">
        <f>VLOOKUP(D157,[5]Sheet1!$D$1:$D$65536,1,0)</f>
        <v>RMCH16K104FTP</v>
      </c>
      <c r="K157" s="775" t="s">
        <v>28</v>
      </c>
      <c r="L157" s="775"/>
      <c r="M157" s="775"/>
      <c r="N157" s="774" t="s">
        <v>294</v>
      </c>
      <c r="O157" s="774">
        <v>1.6999999999999999E-3</v>
      </c>
      <c r="P157" s="774"/>
      <c r="Q157" s="774"/>
      <c r="R157" s="774">
        <f t="shared" si="13"/>
        <v>1.7594999999999998E-3</v>
      </c>
      <c r="S157" s="774">
        <f t="shared" si="12"/>
        <v>7.7003999999999983E-4</v>
      </c>
      <c r="T157" s="774"/>
      <c r="U157" s="774" t="s">
        <v>1443</v>
      </c>
      <c r="V157" s="774"/>
      <c r="W157" s="774"/>
      <c r="X157" s="777"/>
      <c r="Y157" s="777"/>
      <c r="Z157" s="801"/>
    </row>
    <row r="158" spans="1:54" ht="15.75" customHeight="1">
      <c r="A158" s="775">
        <v>2</v>
      </c>
      <c r="B158" s="774" t="s">
        <v>1267</v>
      </c>
      <c r="C158" s="774" t="s">
        <v>1262</v>
      </c>
      <c r="D158" s="774" t="s">
        <v>1267</v>
      </c>
      <c r="E158" s="774" t="s">
        <v>1267</v>
      </c>
      <c r="F158" s="774" t="e">
        <v>#N/A</v>
      </c>
      <c r="G158" s="774" t="s">
        <v>1263</v>
      </c>
      <c r="H158" s="775" t="s">
        <v>1073</v>
      </c>
      <c r="I158" s="776" t="s">
        <v>1074</v>
      </c>
      <c r="J158" s="776" t="str">
        <f>VLOOKUP(D158,[5]Sheet1!$D$1:$D$65536,1,0)</f>
        <v>RK73H1JTTD1003F</v>
      </c>
      <c r="K158" s="775" t="s">
        <v>28</v>
      </c>
      <c r="L158" s="775"/>
      <c r="M158" s="775"/>
      <c r="N158" s="774" t="s">
        <v>292</v>
      </c>
      <c r="O158" s="774">
        <v>1.5139999999999999E-3</v>
      </c>
      <c r="P158" s="774"/>
      <c r="Q158" s="774"/>
      <c r="R158" s="774">
        <f t="shared" si="13"/>
        <v>1.5669899999999999E-3</v>
      </c>
      <c r="S158" s="774">
        <f t="shared" si="12"/>
        <v>5.7752999999999993E-4</v>
      </c>
      <c r="T158" s="774"/>
      <c r="U158" s="774" t="s">
        <v>1443</v>
      </c>
      <c r="V158" s="774"/>
      <c r="W158" s="774"/>
      <c r="X158" s="777"/>
      <c r="Y158" s="777"/>
      <c r="Z158" s="801"/>
    </row>
    <row r="159" spans="1:54" s="658" customFormat="1" ht="15.75" customHeight="1">
      <c r="A159" s="775">
        <v>2</v>
      </c>
      <c r="B159" s="774" t="s">
        <v>1268</v>
      </c>
      <c r="C159" s="774" t="s">
        <v>1269</v>
      </c>
      <c r="D159" s="787" t="s">
        <v>1268</v>
      </c>
      <c r="E159" s="774" t="s">
        <v>1268</v>
      </c>
      <c r="F159" s="774" t="e">
        <v>#N/A</v>
      </c>
      <c r="G159" s="774" t="s">
        <v>1270</v>
      </c>
      <c r="H159" s="775" t="s">
        <v>1073</v>
      </c>
      <c r="I159" s="776" t="s">
        <v>1074</v>
      </c>
      <c r="J159" s="776" t="str">
        <f>VLOOKUP(D159,[5]Sheet1!$D$1:$D$65536,1,0)</f>
        <v>CRCW04024K99FKED</v>
      </c>
      <c r="K159" s="775" t="s">
        <v>28</v>
      </c>
      <c r="L159" s="775">
        <v>1</v>
      </c>
      <c r="M159" s="775">
        <v>1</v>
      </c>
      <c r="N159" s="774" t="s">
        <v>368</v>
      </c>
      <c r="O159" s="774">
        <v>8.3000000000000001E-4</v>
      </c>
      <c r="P159" s="774">
        <f>VLOOKUP(D159,'EEBOM Feb.2nd2026'!$D:$N,11,0)</f>
        <v>8.3000000000000001E-4</v>
      </c>
      <c r="Q159" s="774">
        <f>O159-P159</f>
        <v>0</v>
      </c>
      <c r="R159" s="774">
        <f t="shared" si="13"/>
        <v>8.5904999999999998E-4</v>
      </c>
      <c r="S159" s="774">
        <f t="shared" si="12"/>
        <v>8.5904999999999998E-4</v>
      </c>
      <c r="T159" s="774">
        <f>R159*M159</f>
        <v>8.5904999999999998E-4</v>
      </c>
      <c r="U159" s="774" t="s">
        <v>1443</v>
      </c>
      <c r="V159" s="774">
        <v>10000</v>
      </c>
      <c r="W159" s="774">
        <v>18</v>
      </c>
      <c r="X159" s="777" t="s">
        <v>1454</v>
      </c>
      <c r="Y159" s="777" t="s">
        <v>1448</v>
      </c>
      <c r="Z159" s="801" t="s">
        <v>1271</v>
      </c>
      <c r="AA159" s="753"/>
      <c r="AB159" s="753"/>
      <c r="AC159" s="753"/>
      <c r="AD159" s="753"/>
      <c r="AE159" s="753"/>
      <c r="AF159" s="753"/>
      <c r="AG159" s="753"/>
      <c r="AH159" s="753"/>
      <c r="AI159" s="753"/>
      <c r="AJ159" s="753"/>
      <c r="AK159" s="753"/>
      <c r="AL159" s="753"/>
      <c r="AM159" s="753"/>
      <c r="AN159" s="753"/>
      <c r="AO159" s="753"/>
      <c r="AP159" s="753"/>
      <c r="AQ159" s="753"/>
      <c r="AR159" s="753"/>
      <c r="AS159" s="753"/>
      <c r="AT159" s="753"/>
      <c r="AU159" s="753"/>
      <c r="AV159" s="753"/>
      <c r="AW159" s="753"/>
      <c r="AX159" s="753"/>
      <c r="AY159" s="753"/>
      <c r="AZ159" s="753"/>
      <c r="BA159" s="753"/>
      <c r="BB159" s="753"/>
    </row>
    <row r="160" spans="1:54" ht="15.75" customHeight="1">
      <c r="A160" s="775">
        <v>2</v>
      </c>
      <c r="B160" s="774" t="s">
        <v>1272</v>
      </c>
      <c r="C160" s="774" t="s">
        <v>1269</v>
      </c>
      <c r="D160" s="774" t="s">
        <v>1272</v>
      </c>
      <c r="E160" s="774" t="s">
        <v>1272</v>
      </c>
      <c r="F160" s="774" t="e">
        <v>#N/A</v>
      </c>
      <c r="G160" s="774" t="s">
        <v>1270</v>
      </c>
      <c r="H160" s="775" t="s">
        <v>1073</v>
      </c>
      <c r="I160" s="776" t="s">
        <v>1074</v>
      </c>
      <c r="J160" s="776" t="str">
        <f>VLOOKUP(D160,[5]Sheet1!$D$1:$D$65536,1,0)</f>
        <v>RMCH10K4991FTH</v>
      </c>
      <c r="K160" s="775" t="s">
        <v>28</v>
      </c>
      <c r="L160" s="775"/>
      <c r="M160" s="775"/>
      <c r="N160" s="774" t="s">
        <v>294</v>
      </c>
      <c r="O160" s="774">
        <v>2.2669999999999999E-3</v>
      </c>
      <c r="P160" s="774"/>
      <c r="Q160" s="774"/>
      <c r="R160" s="774">
        <f t="shared" si="13"/>
        <v>2.3463449999999997E-3</v>
      </c>
      <c r="S160" s="774">
        <f t="shared" si="12"/>
        <v>2.3463449999999997E-3</v>
      </c>
      <c r="T160" s="774"/>
      <c r="U160" s="774" t="s">
        <v>1443</v>
      </c>
      <c r="V160" s="774"/>
      <c r="W160" s="774"/>
      <c r="X160" s="777"/>
      <c r="Y160" s="777"/>
      <c r="Z160" s="801"/>
    </row>
    <row r="161" spans="1:54" ht="15.75" customHeight="1">
      <c r="A161" s="775">
        <v>2</v>
      </c>
      <c r="B161" s="774" t="s">
        <v>1273</v>
      </c>
      <c r="C161" s="774" t="s">
        <v>1269</v>
      </c>
      <c r="D161" s="774" t="s">
        <v>1273</v>
      </c>
      <c r="E161" s="774" t="s">
        <v>1273</v>
      </c>
      <c r="F161" s="774" t="e">
        <v>#N/A</v>
      </c>
      <c r="G161" s="774" t="s">
        <v>1270</v>
      </c>
      <c r="H161" s="775" t="s">
        <v>1073</v>
      </c>
      <c r="I161" s="776" t="s">
        <v>1074</v>
      </c>
      <c r="J161" s="776" t="str">
        <f>VLOOKUP(D161,[5]Sheet1!$D$1:$D$65536,1,0)</f>
        <v>RK73H1ETTP4991F</v>
      </c>
      <c r="K161" s="775" t="s">
        <v>28</v>
      </c>
      <c r="L161" s="775"/>
      <c r="M161" s="775"/>
      <c r="N161" s="774" t="s">
        <v>292</v>
      </c>
      <c r="O161" s="774">
        <v>1.047E-3</v>
      </c>
      <c r="P161" s="774"/>
      <c r="Q161" s="774"/>
      <c r="R161" s="774">
        <f t="shared" si="13"/>
        <v>1.0836449999999998E-3</v>
      </c>
      <c r="S161" s="774">
        <f t="shared" si="12"/>
        <v>1.0836449999999998E-3</v>
      </c>
      <c r="T161" s="774"/>
      <c r="U161" s="774" t="s">
        <v>1443</v>
      </c>
      <c r="V161" s="774"/>
      <c r="W161" s="774"/>
      <c r="X161" s="777"/>
      <c r="Y161" s="777"/>
      <c r="Z161" s="801"/>
    </row>
    <row r="162" spans="1:54" ht="15.75" customHeight="1">
      <c r="A162" s="775">
        <v>2</v>
      </c>
      <c r="B162" s="774" t="s">
        <v>1556</v>
      </c>
      <c r="C162" s="774" t="s">
        <v>1269</v>
      </c>
      <c r="D162" s="774" t="s">
        <v>1556</v>
      </c>
      <c r="E162" s="774"/>
      <c r="F162" s="774"/>
      <c r="G162" s="774" t="s">
        <v>1270</v>
      </c>
      <c r="H162" s="775" t="s">
        <v>1073</v>
      </c>
      <c r="I162" s="776" t="s">
        <v>1074</v>
      </c>
      <c r="J162" s="776"/>
      <c r="K162" s="775" t="s">
        <v>28</v>
      </c>
      <c r="L162" s="780"/>
      <c r="M162" s="775"/>
      <c r="N162" s="774" t="s">
        <v>289</v>
      </c>
      <c r="O162" s="779">
        <f>VLOOKUP(D162,[7]Sheet3!$C$2:$G$13,5,0)</f>
        <v>2.7799999999999999E-3</v>
      </c>
      <c r="P162" s="774"/>
      <c r="Q162" s="774"/>
      <c r="R162" s="779">
        <f>O162*1.035</f>
        <v>2.8772999999999997E-3</v>
      </c>
      <c r="S162" s="779">
        <f>R162*L162</f>
        <v>0</v>
      </c>
      <c r="T162" s="774"/>
      <c r="U162" s="774"/>
      <c r="V162" s="774"/>
      <c r="W162" s="774"/>
      <c r="X162" s="777"/>
      <c r="Y162" s="777"/>
      <c r="Z162" s="801"/>
      <c r="AA162" s="753" t="s">
        <v>1558</v>
      </c>
      <c r="AB162" s="802" t="s">
        <v>1559</v>
      </c>
    </row>
    <row r="163" spans="1:54" ht="15.75" customHeight="1">
      <c r="A163" s="782">
        <v>2</v>
      </c>
      <c r="B163" s="781" t="s">
        <v>1274</v>
      </c>
      <c r="C163" s="781" t="s">
        <v>1269</v>
      </c>
      <c r="D163" s="781" t="s">
        <v>1274</v>
      </c>
      <c r="E163" s="781" t="s">
        <v>1274</v>
      </c>
      <c r="F163" s="781" t="e">
        <v>#N/A</v>
      </c>
      <c r="G163" s="781" t="s">
        <v>1270</v>
      </c>
      <c r="H163" s="782" t="s">
        <v>1073</v>
      </c>
      <c r="I163" s="783" t="s">
        <v>1074</v>
      </c>
      <c r="J163" s="776" t="e">
        <f>VLOOKUP(D163,[5]Sheet1!$D$1:$D$65536,1,0)</f>
        <v>#N/A</v>
      </c>
      <c r="K163" s="782" t="s">
        <v>28</v>
      </c>
      <c r="L163" s="782"/>
      <c r="M163" s="782"/>
      <c r="N163" s="781" t="s">
        <v>289</v>
      </c>
      <c r="O163" s="774"/>
      <c r="P163" s="781"/>
      <c r="Q163" s="781"/>
      <c r="R163" s="781">
        <f t="shared" si="13"/>
        <v>0</v>
      </c>
      <c r="S163" s="774">
        <f t="shared" ref="S163:S179" si="16">R163-_xlfn.MINIFS(R:R,C:C,C163)</f>
        <v>0</v>
      </c>
      <c r="T163" s="781"/>
      <c r="U163" s="781"/>
      <c r="V163" s="781"/>
      <c r="W163" s="781"/>
      <c r="X163" s="793" t="s">
        <v>1475</v>
      </c>
      <c r="Y163" s="777"/>
      <c r="Z163" s="801"/>
      <c r="AA163" s="753" t="s">
        <v>1537</v>
      </c>
    </row>
    <row r="164" spans="1:54" ht="15.75" customHeight="1">
      <c r="A164" s="775">
        <v>2</v>
      </c>
      <c r="B164" s="774" t="s">
        <v>366</v>
      </c>
      <c r="C164" s="774" t="s">
        <v>1275</v>
      </c>
      <c r="D164" s="774" t="s">
        <v>367</v>
      </c>
      <c r="E164" s="774" t="s">
        <v>367</v>
      </c>
      <c r="F164" s="774" t="s">
        <v>367</v>
      </c>
      <c r="G164" s="774" t="s">
        <v>1276</v>
      </c>
      <c r="H164" s="775" t="s">
        <v>1073</v>
      </c>
      <c r="I164" s="776" t="s">
        <v>1074</v>
      </c>
      <c r="J164" s="776" t="str">
        <f>VLOOKUP(D164,[5]Sheet1!$D$1:$D$65536,1,0)</f>
        <v>CRCW04020000Z0ED</v>
      </c>
      <c r="K164" s="775" t="s">
        <v>28</v>
      </c>
      <c r="L164" s="775">
        <v>4</v>
      </c>
      <c r="M164" s="775"/>
      <c r="N164" s="774" t="s">
        <v>368</v>
      </c>
      <c r="O164" s="774">
        <v>1.6999999999999999E-3</v>
      </c>
      <c r="P164" s="774"/>
      <c r="Q164" s="774"/>
      <c r="R164" s="774">
        <f t="shared" si="13"/>
        <v>1.7594999999999998E-3</v>
      </c>
      <c r="S164" s="774">
        <f t="shared" si="16"/>
        <v>1.4179499999999999E-3</v>
      </c>
      <c r="T164" s="774"/>
      <c r="U164" s="774" t="s">
        <v>1473</v>
      </c>
      <c r="V164" s="774"/>
      <c r="W164" s="774"/>
      <c r="X164" s="777"/>
      <c r="Y164" s="777"/>
      <c r="Z164" s="801" t="s">
        <v>1277</v>
      </c>
    </row>
    <row r="165" spans="1:54" s="658" customFormat="1" ht="15.75" customHeight="1">
      <c r="A165" s="775">
        <v>2</v>
      </c>
      <c r="B165" s="774" t="s">
        <v>369</v>
      </c>
      <c r="C165" s="774" t="s">
        <v>1275</v>
      </c>
      <c r="D165" s="774" t="s">
        <v>370</v>
      </c>
      <c r="E165" s="774" t="s">
        <v>370</v>
      </c>
      <c r="F165" s="774" t="s">
        <v>370</v>
      </c>
      <c r="G165" s="774" t="s">
        <v>1276</v>
      </c>
      <c r="H165" s="775" t="s">
        <v>1073</v>
      </c>
      <c r="I165" s="776" t="s">
        <v>1074</v>
      </c>
      <c r="J165" s="776" t="str">
        <f>VLOOKUP(D165,[5]Sheet1!$D$1:$D$65536,1,0)</f>
        <v>AC0402JR-070RL</v>
      </c>
      <c r="K165" s="775" t="s">
        <v>28</v>
      </c>
      <c r="L165" s="775"/>
      <c r="M165" s="775">
        <v>4</v>
      </c>
      <c r="N165" s="774" t="s">
        <v>296</v>
      </c>
      <c r="O165" s="774">
        <v>3.3E-4</v>
      </c>
      <c r="P165" s="774"/>
      <c r="Q165" s="774"/>
      <c r="R165" s="774">
        <f t="shared" si="13"/>
        <v>3.4154999999999998E-4</v>
      </c>
      <c r="S165" s="774">
        <f t="shared" si="16"/>
        <v>0</v>
      </c>
      <c r="T165" s="774">
        <f>R165*M165</f>
        <v>1.3661999999999999E-3</v>
      </c>
      <c r="U165" s="774" t="s">
        <v>1470</v>
      </c>
      <c r="V165" s="774">
        <v>10000</v>
      </c>
      <c r="W165" s="774">
        <v>10</v>
      </c>
      <c r="X165" s="777" t="s">
        <v>1444</v>
      </c>
      <c r="Y165" s="777" t="s">
        <v>1444</v>
      </c>
      <c r="Z165" s="801"/>
      <c r="AA165" s="753"/>
      <c r="AB165" s="753"/>
      <c r="AC165" s="753"/>
      <c r="AD165" s="753"/>
      <c r="AE165" s="753"/>
      <c r="AF165" s="753"/>
      <c r="AG165" s="753"/>
      <c r="AH165" s="753"/>
      <c r="AI165" s="753"/>
      <c r="AJ165" s="753"/>
      <c r="AK165" s="753"/>
      <c r="AL165" s="753"/>
      <c r="AM165" s="753"/>
      <c r="AN165" s="753"/>
      <c r="AO165" s="753"/>
      <c r="AP165" s="753"/>
      <c r="AQ165" s="753"/>
      <c r="AR165" s="753"/>
      <c r="AS165" s="753"/>
      <c r="AT165" s="753"/>
      <c r="AU165" s="753"/>
      <c r="AV165" s="753"/>
      <c r="AW165" s="753"/>
      <c r="AX165" s="753"/>
      <c r="AY165" s="753"/>
      <c r="AZ165" s="753"/>
      <c r="BA165" s="753"/>
      <c r="BB165" s="753"/>
    </row>
    <row r="166" spans="1:54" ht="15.75" customHeight="1">
      <c r="A166" s="775">
        <v>2</v>
      </c>
      <c r="B166" s="774" t="s">
        <v>357</v>
      </c>
      <c r="C166" s="774" t="s">
        <v>1275</v>
      </c>
      <c r="D166" s="774" t="s">
        <v>359</v>
      </c>
      <c r="E166" s="774" t="s">
        <v>359</v>
      </c>
      <c r="F166" s="774" t="s">
        <v>359</v>
      </c>
      <c r="G166" s="774" t="s">
        <v>1276</v>
      </c>
      <c r="H166" s="775" t="s">
        <v>1073</v>
      </c>
      <c r="I166" s="776" t="s">
        <v>1074</v>
      </c>
      <c r="J166" s="776" t="str">
        <f>VLOOKUP(D166,[5]Sheet1!$D$1:$D$65536,1,0)</f>
        <v>RMCH10JPTH</v>
      </c>
      <c r="K166" s="775" t="s">
        <v>28</v>
      </c>
      <c r="L166" s="775"/>
      <c r="M166" s="775"/>
      <c r="N166" s="774" t="s">
        <v>294</v>
      </c>
      <c r="O166" s="774">
        <v>1.6999999999999999E-3</v>
      </c>
      <c r="P166" s="774"/>
      <c r="Q166" s="774"/>
      <c r="R166" s="774">
        <f t="shared" si="13"/>
        <v>1.7594999999999998E-3</v>
      </c>
      <c r="S166" s="774">
        <f t="shared" si="16"/>
        <v>1.4179499999999999E-3</v>
      </c>
      <c r="T166" s="774"/>
      <c r="U166" s="774" t="s">
        <v>1443</v>
      </c>
      <c r="V166" s="774"/>
      <c r="W166" s="774"/>
      <c r="X166" s="777"/>
      <c r="Y166" s="777"/>
      <c r="Z166" s="801"/>
    </row>
    <row r="167" spans="1:54" ht="15.75" customHeight="1">
      <c r="A167" s="775">
        <v>2</v>
      </c>
      <c r="B167" s="774" t="s">
        <v>364</v>
      </c>
      <c r="C167" s="774" t="s">
        <v>1275</v>
      </c>
      <c r="D167" s="774" t="s">
        <v>365</v>
      </c>
      <c r="E167" s="774" t="s">
        <v>365</v>
      </c>
      <c r="F167" s="774" t="s">
        <v>365</v>
      </c>
      <c r="G167" s="774" t="s">
        <v>1276</v>
      </c>
      <c r="H167" s="775" t="s">
        <v>1073</v>
      </c>
      <c r="I167" s="776" t="s">
        <v>1074</v>
      </c>
      <c r="J167" s="776" t="str">
        <f>VLOOKUP(D167,[5]Sheet1!$D$1:$D$65536,1,0)</f>
        <v>RK73Z1ETTP</v>
      </c>
      <c r="K167" s="775" t="s">
        <v>28</v>
      </c>
      <c r="L167" s="775"/>
      <c r="M167" s="775"/>
      <c r="N167" s="774" t="s">
        <v>292</v>
      </c>
      <c r="O167" s="774">
        <v>6.4999999999999997E-4</v>
      </c>
      <c r="P167" s="774"/>
      <c r="Q167" s="774"/>
      <c r="R167" s="774">
        <f t="shared" si="13"/>
        <v>6.7274999999999995E-4</v>
      </c>
      <c r="S167" s="774">
        <f t="shared" si="16"/>
        <v>3.3119999999999997E-4</v>
      </c>
      <c r="T167" s="774"/>
      <c r="U167" s="774" t="s">
        <v>1476</v>
      </c>
      <c r="V167" s="774"/>
      <c r="W167" s="774"/>
      <c r="X167" s="777"/>
      <c r="Y167" s="777"/>
      <c r="Z167" s="801"/>
    </row>
    <row r="168" spans="1:54" ht="15.75" customHeight="1">
      <c r="A168" s="775">
        <v>2</v>
      </c>
      <c r="B168" s="774" t="s">
        <v>362</v>
      </c>
      <c r="C168" s="774" t="s">
        <v>1275</v>
      </c>
      <c r="D168" s="774" t="s">
        <v>363</v>
      </c>
      <c r="E168" s="774" t="s">
        <v>363</v>
      </c>
      <c r="F168" s="774" t="s">
        <v>363</v>
      </c>
      <c r="G168" s="774" t="s">
        <v>1276</v>
      </c>
      <c r="H168" s="775" t="s">
        <v>1073</v>
      </c>
      <c r="I168" s="776" t="s">
        <v>1074</v>
      </c>
      <c r="J168" s="776" t="str">
        <f>VLOOKUP(D168,[5]Sheet1!$D$1:$D$65536,1,0)</f>
        <v>ERJ2GE0R00X</v>
      </c>
      <c r="K168" s="775" t="s">
        <v>28</v>
      </c>
      <c r="L168" s="775"/>
      <c r="M168" s="775"/>
      <c r="N168" s="774" t="s">
        <v>289</v>
      </c>
      <c r="O168" s="774">
        <v>1.6999999999999999E-3</v>
      </c>
      <c r="P168" s="774"/>
      <c r="Q168" s="774"/>
      <c r="R168" s="774">
        <f t="shared" si="13"/>
        <v>1.7594999999999998E-3</v>
      </c>
      <c r="S168" s="774">
        <f t="shared" si="16"/>
        <v>1.4179499999999999E-3</v>
      </c>
      <c r="T168" s="774"/>
      <c r="U168" s="774" t="s">
        <v>1473</v>
      </c>
      <c r="V168" s="774"/>
      <c r="W168" s="774"/>
      <c r="X168" s="777"/>
      <c r="Y168" s="777"/>
      <c r="Z168" s="801"/>
    </row>
    <row r="169" spans="1:54" s="658" customFormat="1" ht="15.75" customHeight="1">
      <c r="A169" s="775">
        <v>2</v>
      </c>
      <c r="B169" s="774" t="s">
        <v>1278</v>
      </c>
      <c r="C169" s="774" t="s">
        <v>1279</v>
      </c>
      <c r="D169" s="774" t="s">
        <v>1280</v>
      </c>
      <c r="E169" s="774" t="s">
        <v>1280</v>
      </c>
      <c r="F169" s="774" t="e">
        <v>#N/A</v>
      </c>
      <c r="G169" s="774" t="s">
        <v>1281</v>
      </c>
      <c r="H169" s="775" t="s">
        <v>1073</v>
      </c>
      <c r="I169" s="776" t="s">
        <v>1074</v>
      </c>
      <c r="J169" s="776" t="str">
        <f>VLOOKUP(D169,[5]Sheet1!$D$1:$D$65536,1,0)</f>
        <v>RMCH06JPPA</v>
      </c>
      <c r="K169" s="775" t="s">
        <v>28</v>
      </c>
      <c r="L169" s="775">
        <v>2</v>
      </c>
      <c r="M169" s="775">
        <v>2</v>
      </c>
      <c r="N169" s="774" t="s">
        <v>294</v>
      </c>
      <c r="O169" s="774">
        <v>6.2E-4</v>
      </c>
      <c r="P169" s="774">
        <f>VLOOKUP(D169,'EEBOM Feb.2nd2026'!$D:$N,11,0)</f>
        <v>1.1329999999999999E-3</v>
      </c>
      <c r="Q169" s="774">
        <f>O169-P169</f>
        <v>-5.1299999999999989E-4</v>
      </c>
      <c r="R169" s="774">
        <f t="shared" si="13"/>
        <v>6.4169999999999993E-4</v>
      </c>
      <c r="S169" s="774">
        <f t="shared" si="16"/>
        <v>6.4169999999999993E-4</v>
      </c>
      <c r="T169" s="774">
        <f>R169*M169</f>
        <v>1.2833999999999999E-3</v>
      </c>
      <c r="U169" s="774" t="s">
        <v>1443</v>
      </c>
      <c r="V169" s="774">
        <v>15000</v>
      </c>
      <c r="W169" s="774">
        <v>16</v>
      </c>
      <c r="X169" s="777" t="s">
        <v>1454</v>
      </c>
      <c r="Y169" s="777" t="s">
        <v>1448</v>
      </c>
      <c r="Z169" s="801" t="s">
        <v>1282</v>
      </c>
      <c r="AA169" s="753"/>
      <c r="AB169" s="753"/>
      <c r="AC169" s="753"/>
      <c r="AD169" s="753"/>
      <c r="AE169" s="753"/>
      <c r="AF169" s="753"/>
      <c r="AG169" s="753"/>
      <c r="AH169" s="753"/>
      <c r="AI169" s="753"/>
      <c r="AJ169" s="753"/>
      <c r="AK169" s="753"/>
      <c r="AL169" s="753"/>
      <c r="AM169" s="753"/>
      <c r="AN169" s="753"/>
      <c r="AO169" s="753"/>
      <c r="AP169" s="753"/>
      <c r="AQ169" s="753"/>
      <c r="AR169" s="753"/>
      <c r="AS169" s="753"/>
      <c r="AT169" s="753"/>
      <c r="AU169" s="753"/>
      <c r="AV169" s="753"/>
      <c r="AW169" s="753"/>
      <c r="AX169" s="753"/>
      <c r="AY169" s="753"/>
      <c r="AZ169" s="753"/>
      <c r="BA169" s="753"/>
      <c r="BB169" s="753"/>
    </row>
    <row r="170" spans="1:54" ht="15.75" customHeight="1">
      <c r="A170" s="775">
        <v>2</v>
      </c>
      <c r="B170" s="774" t="s">
        <v>1283</v>
      </c>
      <c r="C170" s="774" t="s">
        <v>1279</v>
      </c>
      <c r="D170" s="774" t="s">
        <v>1284</v>
      </c>
      <c r="E170" s="774" t="s">
        <v>1285</v>
      </c>
      <c r="F170" s="774" t="e">
        <v>#N/A</v>
      </c>
      <c r="G170" s="774" t="s">
        <v>1281</v>
      </c>
      <c r="H170" s="775" t="s">
        <v>1073</v>
      </c>
      <c r="I170" s="776" t="s">
        <v>1074</v>
      </c>
      <c r="J170" s="776" t="str">
        <f>VLOOKUP(D170,[5]Sheet1!$D$1:$D$65536,1,0)</f>
        <v>RK73Z1HTTC</v>
      </c>
      <c r="K170" s="775" t="s">
        <v>28</v>
      </c>
      <c r="L170" s="775"/>
      <c r="M170" s="775"/>
      <c r="N170" s="774" t="s">
        <v>292</v>
      </c>
      <c r="O170" s="774"/>
      <c r="P170" s="774"/>
      <c r="Q170" s="774"/>
      <c r="R170" s="774">
        <f t="shared" si="13"/>
        <v>0</v>
      </c>
      <c r="S170" s="774">
        <f t="shared" si="16"/>
        <v>0</v>
      </c>
      <c r="T170" s="774"/>
      <c r="U170" s="774"/>
      <c r="V170" s="774"/>
      <c r="W170" s="774"/>
      <c r="X170" s="777"/>
      <c r="Y170" s="777"/>
      <c r="Z170" s="801"/>
    </row>
    <row r="171" spans="1:54" ht="15.75" customHeight="1">
      <c r="A171" s="775">
        <v>2</v>
      </c>
      <c r="B171" s="774" t="s">
        <v>1286</v>
      </c>
      <c r="C171" s="774" t="s">
        <v>1279</v>
      </c>
      <c r="D171" s="774" t="s">
        <v>1286</v>
      </c>
      <c r="E171" s="774" t="s">
        <v>1286</v>
      </c>
      <c r="F171" s="774" t="e">
        <v>#N/A</v>
      </c>
      <c r="G171" s="774" t="s">
        <v>1281</v>
      </c>
      <c r="H171" s="775" t="s">
        <v>1073</v>
      </c>
      <c r="I171" s="776" t="s">
        <v>1074</v>
      </c>
      <c r="J171" s="776" t="str">
        <f>VLOOKUP(D171,[5]Sheet1!$D$1:$D$65536,1,0)</f>
        <v>ERJ1GJ0R00C</v>
      </c>
      <c r="K171" s="775" t="s">
        <v>28</v>
      </c>
      <c r="L171" s="775"/>
      <c r="M171" s="775"/>
      <c r="N171" s="774" t="s">
        <v>289</v>
      </c>
      <c r="O171" s="774">
        <v>9.7599999999999996E-3</v>
      </c>
      <c r="P171" s="774"/>
      <c r="Q171" s="774"/>
      <c r="R171" s="774">
        <f t="shared" si="13"/>
        <v>1.0101599999999999E-2</v>
      </c>
      <c r="S171" s="774">
        <f t="shared" si="16"/>
        <v>1.0101599999999999E-2</v>
      </c>
      <c r="T171" s="774"/>
      <c r="U171" s="774" t="s">
        <v>1476</v>
      </c>
      <c r="V171" s="774"/>
      <c r="W171" s="774"/>
      <c r="X171" s="777"/>
      <c r="Y171" s="777"/>
      <c r="Z171" s="801"/>
    </row>
    <row r="172" spans="1:54" ht="15.75" customHeight="1">
      <c r="A172" s="775">
        <v>2</v>
      </c>
      <c r="B172" s="774" t="s">
        <v>385</v>
      </c>
      <c r="C172" s="774" t="s">
        <v>382</v>
      </c>
      <c r="D172" s="774" t="s">
        <v>385</v>
      </c>
      <c r="E172" s="774" t="s">
        <v>385</v>
      </c>
      <c r="F172" s="774" t="s">
        <v>385</v>
      </c>
      <c r="G172" s="774" t="s">
        <v>1287</v>
      </c>
      <c r="H172" s="775" t="s">
        <v>1073</v>
      </c>
      <c r="I172" s="776" t="s">
        <v>1074</v>
      </c>
      <c r="J172" s="776" t="str">
        <f>VLOOKUP(D172,[5]Sheet1!$D$1:$D$65536,1,0)</f>
        <v>CRCW060349R9FKEA</v>
      </c>
      <c r="K172" s="775" t="s">
        <v>28</v>
      </c>
      <c r="L172" s="775">
        <v>2</v>
      </c>
      <c r="M172" s="775"/>
      <c r="N172" s="774" t="s">
        <v>368</v>
      </c>
      <c r="O172" s="774">
        <v>9.5600000000000004E-4</v>
      </c>
      <c r="P172" s="774"/>
      <c r="Q172" s="774"/>
      <c r="R172" s="774">
        <f t="shared" si="13"/>
        <v>9.8945999999999995E-4</v>
      </c>
      <c r="S172" s="774">
        <f t="shared" si="16"/>
        <v>3.0635999999999999E-4</v>
      </c>
      <c r="T172" s="774"/>
      <c r="U172" s="774" t="s">
        <v>1443</v>
      </c>
      <c r="V172" s="774"/>
      <c r="W172" s="774"/>
      <c r="X172" s="777"/>
      <c r="Y172" s="777"/>
      <c r="Z172" s="801" t="s">
        <v>1288</v>
      </c>
    </row>
    <row r="173" spans="1:54" s="658" customFormat="1" ht="15.75" customHeight="1">
      <c r="A173" s="775">
        <v>2</v>
      </c>
      <c r="B173" s="774" t="s">
        <v>387</v>
      </c>
      <c r="C173" s="774" t="s">
        <v>382</v>
      </c>
      <c r="D173" s="774" t="s">
        <v>387</v>
      </c>
      <c r="E173" s="774" t="s">
        <v>387</v>
      </c>
      <c r="F173" s="774" t="s">
        <v>387</v>
      </c>
      <c r="G173" s="774" t="s">
        <v>1287</v>
      </c>
      <c r="H173" s="775" t="s">
        <v>1073</v>
      </c>
      <c r="I173" s="776" t="s">
        <v>1074</v>
      </c>
      <c r="J173" s="776" t="str">
        <f>VLOOKUP(D173,[5]Sheet1!$D$1:$D$65536,1,0)</f>
        <v>AC0603FR-0749R9L</v>
      </c>
      <c r="K173" s="775" t="s">
        <v>28</v>
      </c>
      <c r="L173" s="775"/>
      <c r="M173" s="775">
        <v>2</v>
      </c>
      <c r="N173" s="774" t="s">
        <v>296</v>
      </c>
      <c r="O173" s="774">
        <v>6.6E-4</v>
      </c>
      <c r="P173" s="774">
        <f>VLOOKUP(D173,'EEBOM Feb.2nd2026'!$D:$N,11,0)</f>
        <v>6.6E-4</v>
      </c>
      <c r="Q173" s="774">
        <f>O173-P173</f>
        <v>0</v>
      </c>
      <c r="R173" s="774">
        <f t="shared" si="13"/>
        <v>6.8309999999999996E-4</v>
      </c>
      <c r="S173" s="774">
        <f t="shared" si="16"/>
        <v>0</v>
      </c>
      <c r="T173" s="774">
        <f>R173*M173</f>
        <v>1.3661999999999999E-3</v>
      </c>
      <c r="U173" s="774" t="s">
        <v>1470</v>
      </c>
      <c r="V173" s="774">
        <v>5000</v>
      </c>
      <c r="W173" s="774">
        <v>10</v>
      </c>
      <c r="X173" s="777" t="s">
        <v>1472</v>
      </c>
      <c r="Y173" s="777" t="s">
        <v>1448</v>
      </c>
      <c r="Z173" s="801"/>
      <c r="AA173" s="753"/>
      <c r="AB173" s="753"/>
      <c r="AC173" s="753"/>
      <c r="AD173" s="753"/>
      <c r="AE173" s="753"/>
      <c r="AF173" s="753"/>
      <c r="AG173" s="753"/>
      <c r="AH173" s="753"/>
      <c r="AI173" s="753"/>
      <c r="AJ173" s="753"/>
      <c r="AK173" s="753"/>
      <c r="AL173" s="753"/>
      <c r="AM173" s="753"/>
      <c r="AN173" s="753"/>
      <c r="AO173" s="753"/>
      <c r="AP173" s="753"/>
      <c r="AQ173" s="753"/>
      <c r="AR173" s="753"/>
      <c r="AS173" s="753"/>
      <c r="AT173" s="753"/>
      <c r="AU173" s="753"/>
      <c r="AV173" s="753"/>
      <c r="AW173" s="753"/>
      <c r="AX173" s="753"/>
      <c r="AY173" s="753"/>
      <c r="AZ173" s="753"/>
      <c r="BA173" s="753"/>
      <c r="BB173" s="753"/>
    </row>
    <row r="174" spans="1:54" ht="15.75" customHeight="1">
      <c r="A174" s="775">
        <v>2</v>
      </c>
      <c r="B174" s="774" t="s">
        <v>381</v>
      </c>
      <c r="C174" s="774" t="s">
        <v>382</v>
      </c>
      <c r="D174" s="774" t="s">
        <v>381</v>
      </c>
      <c r="E174" s="774" t="s">
        <v>381</v>
      </c>
      <c r="F174" s="774" t="s">
        <v>381</v>
      </c>
      <c r="G174" s="774" t="s">
        <v>1287</v>
      </c>
      <c r="H174" s="775" t="s">
        <v>1073</v>
      </c>
      <c r="I174" s="776" t="s">
        <v>1074</v>
      </c>
      <c r="J174" s="776" t="str">
        <f>VLOOKUP(D174,[5]Sheet1!$D$1:$D$65536,1,0)</f>
        <v>RK73H1JTTD49R9F</v>
      </c>
      <c r="K174" s="775" t="s">
        <v>28</v>
      </c>
      <c r="L174" s="775"/>
      <c r="M174" s="775"/>
      <c r="N174" s="774" t="s">
        <v>292</v>
      </c>
      <c r="O174" s="774">
        <v>9.8200000000000002E-4</v>
      </c>
      <c r="P174" s="774"/>
      <c r="Q174" s="774"/>
      <c r="R174" s="774">
        <f t="shared" si="13"/>
        <v>1.0163699999999999E-3</v>
      </c>
      <c r="S174" s="774">
        <f t="shared" si="16"/>
        <v>3.3326999999999999E-4</v>
      </c>
      <c r="T174" s="774"/>
      <c r="U174" s="774" t="s">
        <v>1443</v>
      </c>
      <c r="V174" s="774"/>
      <c r="W174" s="774"/>
      <c r="X174" s="777"/>
      <c r="Y174" s="777"/>
      <c r="Z174" s="801"/>
    </row>
    <row r="175" spans="1:54" ht="15.75" customHeight="1">
      <c r="A175" s="775">
        <v>2</v>
      </c>
      <c r="B175" s="774" t="s">
        <v>386</v>
      </c>
      <c r="C175" s="774" t="s">
        <v>382</v>
      </c>
      <c r="D175" s="774" t="s">
        <v>386</v>
      </c>
      <c r="E175" s="774" t="s">
        <v>386</v>
      </c>
      <c r="F175" s="774" t="s">
        <v>386</v>
      </c>
      <c r="G175" s="774" t="s">
        <v>1287</v>
      </c>
      <c r="H175" s="775" t="s">
        <v>1073</v>
      </c>
      <c r="I175" s="776" t="s">
        <v>1074</v>
      </c>
      <c r="J175" s="776" t="str">
        <f>VLOOKUP(D175,[5]Sheet1!$D$1:$D$65536,1,0)</f>
        <v>RMCH16K49R9FTP</v>
      </c>
      <c r="K175" s="775" t="s">
        <v>28</v>
      </c>
      <c r="L175" s="775"/>
      <c r="M175" s="775"/>
      <c r="N175" s="774" t="s">
        <v>294</v>
      </c>
      <c r="O175" s="774">
        <v>1.4499999999999999E-3</v>
      </c>
      <c r="P175" s="774"/>
      <c r="Q175" s="774"/>
      <c r="R175" s="774">
        <f t="shared" si="13"/>
        <v>1.5007499999999997E-3</v>
      </c>
      <c r="S175" s="774">
        <f t="shared" si="16"/>
        <v>8.1764999999999974E-4</v>
      </c>
      <c r="T175" s="774"/>
      <c r="U175" s="774" t="s">
        <v>1443</v>
      </c>
      <c r="V175" s="774"/>
      <c r="W175" s="774"/>
      <c r="X175" s="777"/>
      <c r="Y175" s="777"/>
      <c r="Z175" s="801"/>
    </row>
    <row r="176" spans="1:54" ht="15.75" customHeight="1">
      <c r="A176" s="775">
        <v>2</v>
      </c>
      <c r="B176" s="774" t="s">
        <v>630</v>
      </c>
      <c r="C176" s="774" t="s">
        <v>622</v>
      </c>
      <c r="D176" s="774" t="s">
        <v>1289</v>
      </c>
      <c r="E176" s="774" t="s">
        <v>1289</v>
      </c>
      <c r="F176" s="774" t="e">
        <v>#N/A</v>
      </c>
      <c r="G176" s="774" t="s">
        <v>1290</v>
      </c>
      <c r="H176" s="775" t="s">
        <v>1073</v>
      </c>
      <c r="I176" s="776" t="s">
        <v>1074</v>
      </c>
      <c r="J176" s="776" t="str">
        <f>VLOOKUP(D176,[5]Sheet1!$D$1:$D$65536,1,0)</f>
        <v>CRCW0402100KFKED</v>
      </c>
      <c r="K176" s="775" t="s">
        <v>28</v>
      </c>
      <c r="L176" s="775">
        <v>1</v>
      </c>
      <c r="M176" s="775"/>
      <c r="N176" s="774" t="s">
        <v>368</v>
      </c>
      <c r="O176" s="774">
        <v>9.5600000000000004E-4</v>
      </c>
      <c r="P176" s="774"/>
      <c r="Q176" s="774"/>
      <c r="R176" s="774">
        <f t="shared" si="13"/>
        <v>9.8945999999999995E-4</v>
      </c>
      <c r="S176" s="774">
        <f t="shared" si="16"/>
        <v>9.8945999999999995E-4</v>
      </c>
      <c r="T176" s="774"/>
      <c r="U176" s="774" t="s">
        <v>1443</v>
      </c>
      <c r="V176" s="774"/>
      <c r="W176" s="774"/>
      <c r="X176" s="777"/>
      <c r="Y176" s="777"/>
      <c r="Z176" s="801" t="s">
        <v>1291</v>
      </c>
    </row>
    <row r="177" spans="1:54" s="658" customFormat="1" ht="15.75" customHeight="1">
      <c r="A177" s="775">
        <v>2</v>
      </c>
      <c r="B177" s="774" t="s">
        <v>632</v>
      </c>
      <c r="C177" s="774" t="s">
        <v>622</v>
      </c>
      <c r="D177" s="774" t="s">
        <v>633</v>
      </c>
      <c r="E177" s="774" t="s">
        <v>633</v>
      </c>
      <c r="F177" s="774" t="s">
        <v>633</v>
      </c>
      <c r="G177" s="774" t="s">
        <v>1290</v>
      </c>
      <c r="H177" s="775" t="s">
        <v>1073</v>
      </c>
      <c r="I177" s="776" t="s">
        <v>1074</v>
      </c>
      <c r="J177" s="776" t="str">
        <f>VLOOKUP(D177,[5]Sheet1!$D$1:$D$65536,1,0)</f>
        <v>AC0402FR-07100KL</v>
      </c>
      <c r="K177" s="775" t="s">
        <v>28</v>
      </c>
      <c r="L177" s="775"/>
      <c r="M177" s="775">
        <v>1</v>
      </c>
      <c r="N177" s="774" t="s">
        <v>296</v>
      </c>
      <c r="O177" s="774">
        <v>3.4000000000000002E-4</v>
      </c>
      <c r="P177" s="774"/>
      <c r="Q177" s="774"/>
      <c r="R177" s="774">
        <f t="shared" si="13"/>
        <v>3.5189999999999999E-4</v>
      </c>
      <c r="S177" s="774">
        <f t="shared" si="16"/>
        <v>3.5189999999999999E-4</v>
      </c>
      <c r="T177" s="774">
        <f>R177*M177</f>
        <v>3.5189999999999999E-4</v>
      </c>
      <c r="U177" s="774" t="s">
        <v>1470</v>
      </c>
      <c r="V177" s="774">
        <v>10000</v>
      </c>
      <c r="W177" s="774">
        <v>10</v>
      </c>
      <c r="X177" s="777" t="s">
        <v>1444</v>
      </c>
      <c r="Y177" s="777" t="s">
        <v>1444</v>
      </c>
      <c r="Z177" s="801"/>
      <c r="AA177" s="753"/>
      <c r="AB177" s="753"/>
      <c r="AC177" s="753"/>
      <c r="AD177" s="753"/>
      <c r="AE177" s="753"/>
      <c r="AF177" s="753"/>
      <c r="AG177" s="753"/>
      <c r="AH177" s="753"/>
      <c r="AI177" s="753"/>
      <c r="AJ177" s="753"/>
      <c r="AK177" s="753"/>
      <c r="AL177" s="753"/>
      <c r="AM177" s="753"/>
      <c r="AN177" s="753"/>
      <c r="AO177" s="753"/>
      <c r="AP177" s="753"/>
      <c r="AQ177" s="753"/>
      <c r="AR177" s="753"/>
      <c r="AS177" s="753"/>
      <c r="AT177" s="753"/>
      <c r="AU177" s="753"/>
      <c r="AV177" s="753"/>
      <c r="AW177" s="753"/>
      <c r="AX177" s="753"/>
      <c r="AY177" s="753"/>
      <c r="AZ177" s="753"/>
      <c r="BA177" s="753"/>
      <c r="BB177" s="753"/>
    </row>
    <row r="178" spans="1:54" ht="15.75" customHeight="1">
      <c r="A178" s="775">
        <v>2</v>
      </c>
      <c r="B178" s="774" t="s">
        <v>626</v>
      </c>
      <c r="C178" s="774" t="s">
        <v>622</v>
      </c>
      <c r="D178" s="774" t="s">
        <v>627</v>
      </c>
      <c r="E178" s="774" t="s">
        <v>627</v>
      </c>
      <c r="F178" s="774" t="s">
        <v>627</v>
      </c>
      <c r="G178" s="774" t="s">
        <v>1290</v>
      </c>
      <c r="H178" s="775" t="s">
        <v>1073</v>
      </c>
      <c r="I178" s="776" t="s">
        <v>1074</v>
      </c>
      <c r="J178" s="776" t="str">
        <f>VLOOKUP(D178,[5]Sheet1!$D$1:$D$65536,1,0)</f>
        <v>RMCH10K104FTH</v>
      </c>
      <c r="K178" s="775" t="s">
        <v>28</v>
      </c>
      <c r="L178" s="775"/>
      <c r="M178" s="775"/>
      <c r="N178" s="774" t="s">
        <v>294</v>
      </c>
      <c r="O178" s="774">
        <v>1.1100000000000001E-3</v>
      </c>
      <c r="P178" s="774"/>
      <c r="Q178" s="774"/>
      <c r="R178" s="774">
        <f t="shared" si="13"/>
        <v>1.1488500000000001E-3</v>
      </c>
      <c r="S178" s="774">
        <f t="shared" si="16"/>
        <v>1.1488500000000001E-3</v>
      </c>
      <c r="T178" s="774"/>
      <c r="U178" s="774" t="s">
        <v>1443</v>
      </c>
      <c r="V178" s="774"/>
      <c r="W178" s="774"/>
      <c r="X178" s="777"/>
      <c r="Y178" s="777"/>
      <c r="Z178" s="801"/>
    </row>
    <row r="179" spans="1:54" ht="15.75" customHeight="1">
      <c r="A179" s="775">
        <v>2</v>
      </c>
      <c r="B179" s="774" t="s">
        <v>621</v>
      </c>
      <c r="C179" s="774" t="s">
        <v>622</v>
      </c>
      <c r="D179" s="774" t="s">
        <v>623</v>
      </c>
      <c r="E179" s="774" t="s">
        <v>623</v>
      </c>
      <c r="F179" s="774" t="s">
        <v>623</v>
      </c>
      <c r="G179" s="774" t="s">
        <v>1290</v>
      </c>
      <c r="H179" s="775" t="s">
        <v>1073</v>
      </c>
      <c r="I179" s="776" t="s">
        <v>1074</v>
      </c>
      <c r="J179" s="776" t="str">
        <f>VLOOKUP(D179,[5]Sheet1!$D$1:$D$65536,1,0)</f>
        <v>RK73H1ETTP1003F</v>
      </c>
      <c r="K179" s="775" t="s">
        <v>28</v>
      </c>
      <c r="L179" s="775"/>
      <c r="M179" s="775"/>
      <c r="N179" s="774" t="s">
        <v>292</v>
      </c>
      <c r="O179" s="774">
        <v>9.1E-4</v>
      </c>
      <c r="P179" s="774"/>
      <c r="Q179" s="774"/>
      <c r="R179" s="774">
        <f t="shared" si="13"/>
        <v>9.4184999999999994E-4</v>
      </c>
      <c r="S179" s="774">
        <f t="shared" si="16"/>
        <v>9.4184999999999994E-4</v>
      </c>
      <c r="T179" s="774"/>
      <c r="U179" s="774" t="s">
        <v>1473</v>
      </c>
      <c r="V179" s="774"/>
      <c r="W179" s="774"/>
      <c r="X179" s="777"/>
      <c r="Y179" s="777"/>
      <c r="Z179" s="801"/>
    </row>
    <row r="180" spans="1:54" ht="15.75" customHeight="1">
      <c r="A180" s="775">
        <v>2</v>
      </c>
      <c r="B180" s="774" t="s">
        <v>1557</v>
      </c>
      <c r="C180" s="774" t="s">
        <v>622</v>
      </c>
      <c r="D180" s="774" t="s">
        <v>1557</v>
      </c>
      <c r="E180" s="774"/>
      <c r="F180" s="774"/>
      <c r="G180" s="774" t="s">
        <v>1290</v>
      </c>
      <c r="H180" s="775" t="s">
        <v>1073</v>
      </c>
      <c r="I180" s="776" t="s">
        <v>1074</v>
      </c>
      <c r="J180" s="776"/>
      <c r="K180" s="775" t="s">
        <v>28</v>
      </c>
      <c r="L180" s="780"/>
      <c r="M180" s="775"/>
      <c r="N180" s="774" t="s">
        <v>289</v>
      </c>
      <c r="O180" s="779">
        <f>VLOOKUP(D180,[7]Sheet3!$C$2:$G$13,5,0)</f>
        <v>2.7799999999999999E-3</v>
      </c>
      <c r="P180" s="774"/>
      <c r="Q180" s="774"/>
      <c r="R180" s="774">
        <f>O180*1.035</f>
        <v>2.8772999999999997E-3</v>
      </c>
      <c r="S180" s="774"/>
      <c r="T180" s="774"/>
      <c r="U180" s="774"/>
      <c r="V180" s="774"/>
      <c r="W180" s="774"/>
      <c r="X180" s="777"/>
      <c r="Y180" s="777"/>
      <c r="Z180" s="801"/>
      <c r="AA180" s="753" t="s">
        <v>1558</v>
      </c>
      <c r="AB180" s="802" t="s">
        <v>1559</v>
      </c>
    </row>
    <row r="181" spans="1:54" ht="15.75" customHeight="1">
      <c r="A181" s="782">
        <v>2</v>
      </c>
      <c r="B181" s="781" t="s">
        <v>628</v>
      </c>
      <c r="C181" s="781" t="s">
        <v>622</v>
      </c>
      <c r="D181" s="781" t="s">
        <v>629</v>
      </c>
      <c r="E181" s="781" t="s">
        <v>629</v>
      </c>
      <c r="F181" s="781" t="s">
        <v>629</v>
      </c>
      <c r="G181" s="781" t="s">
        <v>1290</v>
      </c>
      <c r="H181" s="782" t="s">
        <v>1073</v>
      </c>
      <c r="I181" s="783" t="s">
        <v>1074</v>
      </c>
      <c r="J181" s="776" t="e">
        <f>VLOOKUP(D181,[5]Sheet1!$D$1:$D$65536,1,0)</f>
        <v>#N/A</v>
      </c>
      <c r="K181" s="782" t="s">
        <v>28</v>
      </c>
      <c r="L181" s="782"/>
      <c r="M181" s="782"/>
      <c r="N181" s="781" t="s">
        <v>289</v>
      </c>
      <c r="O181" s="774"/>
      <c r="P181" s="781"/>
      <c r="Q181" s="781"/>
      <c r="R181" s="781">
        <f t="shared" si="13"/>
        <v>0</v>
      </c>
      <c r="S181" s="774">
        <f t="shared" ref="S181:S229" si="17">R181-_xlfn.MINIFS(R:R,C:C,C181)</f>
        <v>0</v>
      </c>
      <c r="T181" s="781"/>
      <c r="U181" s="781" t="s">
        <v>1473</v>
      </c>
      <c r="V181" s="781"/>
      <c r="W181" s="781"/>
      <c r="X181" s="793" t="s">
        <v>1475</v>
      </c>
      <c r="Y181" s="777"/>
      <c r="Z181" s="801"/>
      <c r="AA181" s="753" t="s">
        <v>1537</v>
      </c>
    </row>
    <row r="182" spans="1:54" s="658" customFormat="1" ht="15.75" customHeight="1">
      <c r="A182" s="775">
        <v>2</v>
      </c>
      <c r="B182" s="774" t="s">
        <v>564</v>
      </c>
      <c r="C182" s="774" t="s">
        <v>560</v>
      </c>
      <c r="D182" s="774" t="s">
        <v>564</v>
      </c>
      <c r="E182" s="774" t="s">
        <v>564</v>
      </c>
      <c r="F182" s="774" t="s">
        <v>564</v>
      </c>
      <c r="G182" s="774" t="s">
        <v>1293</v>
      </c>
      <c r="H182" s="775" t="s">
        <v>1073</v>
      </c>
      <c r="I182" s="776" t="s">
        <v>1074</v>
      </c>
      <c r="J182" s="776" t="str">
        <f>VLOOKUP(D182,[5]Sheet1!$D$1:$D$65536,1,0)</f>
        <v>CRCW25121R00KNEGIF</v>
      </c>
      <c r="K182" s="775" t="s">
        <v>28</v>
      </c>
      <c r="L182" s="775">
        <v>2</v>
      </c>
      <c r="M182" s="775">
        <v>2</v>
      </c>
      <c r="N182" s="774" t="s">
        <v>368</v>
      </c>
      <c r="O182" s="774">
        <v>5.1777999999999998E-2</v>
      </c>
      <c r="P182" s="774">
        <f>VLOOKUP(D182,'EEBOM Feb.2nd2026'!$D:$N,11,0)</f>
        <v>5.1777999999999998E-2</v>
      </c>
      <c r="Q182" s="774">
        <f>O182-P182</f>
        <v>0</v>
      </c>
      <c r="R182" s="774">
        <f t="shared" si="13"/>
        <v>5.3590229999999996E-2</v>
      </c>
      <c r="S182" s="774">
        <f t="shared" si="17"/>
        <v>5.3590229999999996E-2</v>
      </c>
      <c r="T182" s="774">
        <f>R182*M182</f>
        <v>0.10718045999999999</v>
      </c>
      <c r="U182" s="774" t="s">
        <v>1443</v>
      </c>
      <c r="V182" s="774">
        <v>10000</v>
      </c>
      <c r="W182" s="774">
        <v>20</v>
      </c>
      <c r="X182" s="777" t="s">
        <v>1454</v>
      </c>
      <c r="Y182" s="777" t="s">
        <v>1448</v>
      </c>
      <c r="Z182" s="801" t="s">
        <v>1294</v>
      </c>
      <c r="AA182" s="753"/>
      <c r="AB182" s="753"/>
      <c r="AC182" s="753"/>
      <c r="AD182" s="753"/>
      <c r="AE182" s="753"/>
      <c r="AF182" s="753"/>
      <c r="AG182" s="753"/>
      <c r="AH182" s="753"/>
      <c r="AI182" s="753"/>
      <c r="AJ182" s="753"/>
      <c r="AK182" s="753"/>
      <c r="AL182" s="753"/>
      <c r="AM182" s="753"/>
      <c r="AN182" s="753"/>
      <c r="AO182" s="753"/>
      <c r="AP182" s="753"/>
      <c r="AQ182" s="753"/>
      <c r="AR182" s="753"/>
      <c r="AS182" s="753"/>
      <c r="AT182" s="753"/>
      <c r="AU182" s="753"/>
      <c r="AV182" s="753"/>
      <c r="AW182" s="753"/>
      <c r="AX182" s="753"/>
      <c r="AY182" s="753"/>
      <c r="AZ182" s="753"/>
      <c r="BA182" s="753"/>
      <c r="BB182" s="753"/>
    </row>
    <row r="183" spans="1:54" ht="15.75" customHeight="1">
      <c r="A183" s="775">
        <v>2</v>
      </c>
      <c r="B183" s="774" t="s">
        <v>561</v>
      </c>
      <c r="C183" s="774" t="s">
        <v>560</v>
      </c>
      <c r="D183" s="774" t="s">
        <v>561</v>
      </c>
      <c r="E183" s="774" t="s">
        <v>561</v>
      </c>
      <c r="F183" s="774" t="s">
        <v>561</v>
      </c>
      <c r="G183" s="774" t="s">
        <v>1293</v>
      </c>
      <c r="H183" s="775" t="s">
        <v>1073</v>
      </c>
      <c r="I183" s="776" t="s">
        <v>1074</v>
      </c>
      <c r="J183" s="776" t="str">
        <f>VLOOKUP(D183,[5]Sheet1!$D$1:$D$65536,1,0)</f>
        <v>SR2512KK-071RL</v>
      </c>
      <c r="K183" s="775" t="s">
        <v>28</v>
      </c>
      <c r="L183" s="775"/>
      <c r="M183" s="775"/>
      <c r="N183" s="774" t="s">
        <v>296</v>
      </c>
      <c r="O183" s="774">
        <v>0.1</v>
      </c>
      <c r="P183" s="774"/>
      <c r="Q183" s="774"/>
      <c r="R183" s="774">
        <f t="shared" si="13"/>
        <v>0.10349999999999999</v>
      </c>
      <c r="S183" s="774">
        <f t="shared" si="17"/>
        <v>0.10349999999999999</v>
      </c>
      <c r="T183" s="774"/>
      <c r="U183" s="774" t="s">
        <v>1477</v>
      </c>
      <c r="V183" s="774"/>
      <c r="W183" s="774"/>
      <c r="X183" s="777"/>
      <c r="Y183" s="777"/>
      <c r="Z183" s="801"/>
    </row>
    <row r="184" spans="1:54" ht="15.75" customHeight="1">
      <c r="A184" s="775">
        <v>2</v>
      </c>
      <c r="B184" s="774" t="s">
        <v>566</v>
      </c>
      <c r="C184" s="774" t="s">
        <v>560</v>
      </c>
      <c r="D184" s="774" t="s">
        <v>566</v>
      </c>
      <c r="E184" s="774" t="s">
        <v>566</v>
      </c>
      <c r="F184" s="774" t="s">
        <v>566</v>
      </c>
      <c r="G184" s="774" t="s">
        <v>1293</v>
      </c>
      <c r="H184" s="775" t="s">
        <v>1073</v>
      </c>
      <c r="I184" s="776" t="s">
        <v>1074</v>
      </c>
      <c r="J184" s="776" t="str">
        <f>VLOOKUP(D184,[5]Sheet1!$D$1:$D$65536,1,0)</f>
        <v>RPC2512JT1R00</v>
      </c>
      <c r="K184" s="775" t="s">
        <v>28</v>
      </c>
      <c r="L184" s="775"/>
      <c r="M184" s="775"/>
      <c r="N184" s="774" t="s">
        <v>567</v>
      </c>
      <c r="O184" s="774"/>
      <c r="P184" s="774"/>
      <c r="Q184" s="774"/>
      <c r="R184" s="774">
        <f t="shared" si="13"/>
        <v>0</v>
      </c>
      <c r="S184" s="774">
        <f t="shared" si="17"/>
        <v>0</v>
      </c>
      <c r="T184" s="774"/>
      <c r="U184" s="774"/>
      <c r="V184" s="774"/>
      <c r="W184" s="774"/>
      <c r="X184" s="777"/>
      <c r="Y184" s="777"/>
      <c r="Z184" s="801"/>
    </row>
    <row r="185" spans="1:54" ht="15.75" customHeight="1">
      <c r="A185" s="775">
        <v>2</v>
      </c>
      <c r="B185" s="774" t="s">
        <v>565</v>
      </c>
      <c r="C185" s="774" t="s">
        <v>560</v>
      </c>
      <c r="D185" s="774" t="s">
        <v>565</v>
      </c>
      <c r="E185" s="774" t="s">
        <v>565</v>
      </c>
      <c r="F185" s="774" t="s">
        <v>565</v>
      </c>
      <c r="G185" s="774" t="s">
        <v>1293</v>
      </c>
      <c r="H185" s="775" t="s">
        <v>1073</v>
      </c>
      <c r="I185" s="776" t="s">
        <v>1074</v>
      </c>
      <c r="J185" s="776" t="str">
        <f>VLOOKUP(D185,[5]Sheet1!$D$1:$D$65536,1,0)</f>
        <v>SG73W3ATTE1R0K</v>
      </c>
      <c r="K185" s="775" t="s">
        <v>28</v>
      </c>
      <c r="L185" s="775"/>
      <c r="M185" s="775"/>
      <c r="N185" s="774" t="s">
        <v>292</v>
      </c>
      <c r="O185" s="774">
        <v>8.4847000000000006E-2</v>
      </c>
      <c r="P185" s="774"/>
      <c r="Q185" s="774"/>
      <c r="R185" s="774">
        <f t="shared" si="13"/>
        <v>8.7816644999999999E-2</v>
      </c>
      <c r="S185" s="774">
        <f t="shared" si="17"/>
        <v>8.7816644999999999E-2</v>
      </c>
      <c r="T185" s="774"/>
      <c r="U185" s="774" t="s">
        <v>1443</v>
      </c>
      <c r="V185" s="774"/>
      <c r="W185" s="774"/>
      <c r="X185" s="777"/>
      <c r="Y185" s="777"/>
      <c r="Z185" s="801"/>
    </row>
    <row r="186" spans="1:54" s="658" customFormat="1" ht="15.75" customHeight="1">
      <c r="A186" s="775">
        <v>2</v>
      </c>
      <c r="B186" s="774" t="s">
        <v>1295</v>
      </c>
      <c r="C186" s="774" t="s">
        <v>1296</v>
      </c>
      <c r="D186" s="774" t="s">
        <v>1295</v>
      </c>
      <c r="E186" s="774" t="s">
        <v>1295</v>
      </c>
      <c r="F186" s="774" t="e">
        <v>#N/A</v>
      </c>
      <c r="G186" s="774" t="s">
        <v>1297</v>
      </c>
      <c r="H186" s="775" t="s">
        <v>1073</v>
      </c>
      <c r="I186" s="776" t="s">
        <v>1074</v>
      </c>
      <c r="J186" s="776" t="str">
        <f>VLOOKUP(D186,[5]Sheet1!$D$1:$D$65536,1,0)</f>
        <v>AC0201FR-0726K7L</v>
      </c>
      <c r="K186" s="775" t="s">
        <v>28</v>
      </c>
      <c r="L186" s="775">
        <v>1</v>
      </c>
      <c r="M186" s="775">
        <v>1</v>
      </c>
      <c r="N186" s="774" t="s">
        <v>296</v>
      </c>
      <c r="O186" s="774">
        <v>5.9999999999999995E-4</v>
      </c>
      <c r="P186" s="774">
        <f>VLOOKUP(D186,'EEBOM Feb.2nd2026'!$D:$N,11,0)</f>
        <v>5.9999999999999995E-4</v>
      </c>
      <c r="Q186" s="774">
        <f>O186-P186</f>
        <v>0</v>
      </c>
      <c r="R186" s="774">
        <f t="shared" si="13"/>
        <v>6.2099999999999992E-4</v>
      </c>
      <c r="S186" s="774">
        <f t="shared" si="17"/>
        <v>6.2099999999999992E-4</v>
      </c>
      <c r="T186" s="774">
        <f>R186*M186</f>
        <v>6.2099999999999992E-4</v>
      </c>
      <c r="U186" s="774" t="s">
        <v>1470</v>
      </c>
      <c r="V186" s="774">
        <v>10000</v>
      </c>
      <c r="W186" s="774">
        <v>10</v>
      </c>
      <c r="X186" s="777" t="s">
        <v>1472</v>
      </c>
      <c r="Y186" s="777" t="s">
        <v>1448</v>
      </c>
      <c r="Z186" s="801" t="s">
        <v>437</v>
      </c>
      <c r="AA186" s="753"/>
      <c r="AB186" s="753"/>
      <c r="AC186" s="753"/>
      <c r="AD186" s="753"/>
      <c r="AE186" s="753"/>
      <c r="AF186" s="753"/>
      <c r="AG186" s="753"/>
      <c r="AH186" s="753"/>
      <c r="AI186" s="753"/>
      <c r="AJ186" s="753"/>
      <c r="AK186" s="753"/>
      <c r="AL186" s="753"/>
      <c r="AM186" s="753"/>
      <c r="AN186" s="753"/>
      <c r="AO186" s="753"/>
      <c r="AP186" s="753"/>
      <c r="AQ186" s="753"/>
      <c r="AR186" s="753"/>
      <c r="AS186" s="753"/>
      <c r="AT186" s="753"/>
      <c r="AU186" s="753"/>
      <c r="AV186" s="753"/>
      <c r="AW186" s="753"/>
      <c r="AX186" s="753"/>
      <c r="AY186" s="753"/>
      <c r="AZ186" s="753"/>
      <c r="BA186" s="753"/>
      <c r="BB186" s="753"/>
    </row>
    <row r="187" spans="1:54" ht="15.75" customHeight="1">
      <c r="A187" s="775">
        <v>2</v>
      </c>
      <c r="B187" s="774" t="s">
        <v>1298</v>
      </c>
      <c r="C187" s="774" t="s">
        <v>1296</v>
      </c>
      <c r="D187" s="774" t="s">
        <v>1298</v>
      </c>
      <c r="E187" s="774" t="s">
        <v>1298</v>
      </c>
      <c r="F187" s="774" t="e">
        <v>#N/A</v>
      </c>
      <c r="G187" s="774" t="s">
        <v>1297</v>
      </c>
      <c r="H187" s="775" t="s">
        <v>1073</v>
      </c>
      <c r="I187" s="776" t="s">
        <v>1074</v>
      </c>
      <c r="J187" s="776" t="str">
        <f>VLOOKUP(D187,[5]Sheet1!$D$1:$D$65536,1,0)</f>
        <v>RK73H1HTTC2672F</v>
      </c>
      <c r="K187" s="775" t="s">
        <v>28</v>
      </c>
      <c r="L187" s="775"/>
      <c r="M187" s="775"/>
      <c r="N187" s="774" t="s">
        <v>292</v>
      </c>
      <c r="O187" s="774">
        <v>1.5139999999999999E-3</v>
      </c>
      <c r="P187" s="774"/>
      <c r="Q187" s="774"/>
      <c r="R187" s="774">
        <f t="shared" si="13"/>
        <v>1.5669899999999999E-3</v>
      </c>
      <c r="S187" s="774">
        <f t="shared" si="17"/>
        <v>1.5669899999999999E-3</v>
      </c>
      <c r="T187" s="774"/>
      <c r="U187" s="774" t="s">
        <v>1443</v>
      </c>
      <c r="V187" s="774"/>
      <c r="W187" s="774"/>
      <c r="X187" s="777"/>
      <c r="Y187" s="777"/>
      <c r="Z187" s="801"/>
    </row>
    <row r="188" spans="1:54" ht="15.75" customHeight="1">
      <c r="A188" s="775">
        <v>2</v>
      </c>
      <c r="B188" s="774" t="s">
        <v>1299</v>
      </c>
      <c r="C188" s="774" t="s">
        <v>1296</v>
      </c>
      <c r="D188" s="774" t="s">
        <v>1299</v>
      </c>
      <c r="E188" s="774" t="s">
        <v>1299</v>
      </c>
      <c r="F188" s="774" t="e">
        <v>#N/A</v>
      </c>
      <c r="G188" s="774" t="s">
        <v>1297</v>
      </c>
      <c r="H188" s="775" t="s">
        <v>1073</v>
      </c>
      <c r="I188" s="776" t="s">
        <v>1074</v>
      </c>
      <c r="J188" s="776" t="str">
        <f>VLOOKUP(D188,[5]Sheet1!$D$1:$D$65536,1,0)</f>
        <v>RMCH06-2672FPA</v>
      </c>
      <c r="K188" s="775" t="s">
        <v>28</v>
      </c>
      <c r="L188" s="775"/>
      <c r="M188" s="775"/>
      <c r="N188" s="774" t="s">
        <v>294</v>
      </c>
      <c r="O188" s="774">
        <v>2.7390000000000001E-3</v>
      </c>
      <c r="P188" s="774"/>
      <c r="Q188" s="774"/>
      <c r="R188" s="774">
        <f t="shared" si="13"/>
        <v>2.8348649999999998E-3</v>
      </c>
      <c r="S188" s="774">
        <f t="shared" si="17"/>
        <v>2.8348649999999998E-3</v>
      </c>
      <c r="T188" s="774"/>
      <c r="U188" s="774" t="s">
        <v>1443</v>
      </c>
      <c r="V188" s="774"/>
      <c r="W188" s="774"/>
      <c r="X188" s="777"/>
      <c r="Y188" s="777"/>
      <c r="Z188" s="801"/>
    </row>
    <row r="189" spans="1:54" ht="15.75" customHeight="1">
      <c r="A189" s="775">
        <v>2</v>
      </c>
      <c r="B189" s="774" t="s">
        <v>1300</v>
      </c>
      <c r="C189" s="774" t="s">
        <v>1296</v>
      </c>
      <c r="D189" s="774" t="s">
        <v>1300</v>
      </c>
      <c r="E189" s="774" t="s">
        <v>1300</v>
      </c>
      <c r="F189" s="774" t="e">
        <v>#N/A</v>
      </c>
      <c r="G189" s="774" t="s">
        <v>1297</v>
      </c>
      <c r="H189" s="775" t="s">
        <v>1073</v>
      </c>
      <c r="I189" s="776" t="s">
        <v>1074</v>
      </c>
      <c r="J189" s="776" t="str">
        <f>VLOOKUP(D189,[5]Sheet1!$D$1:$D$65536,1,0)</f>
        <v>ERJ1GJF2672C</v>
      </c>
      <c r="K189" s="775" t="s">
        <v>28</v>
      </c>
      <c r="L189" s="775"/>
      <c r="M189" s="775"/>
      <c r="N189" s="774" t="s">
        <v>289</v>
      </c>
      <c r="O189" s="774"/>
      <c r="P189" s="774"/>
      <c r="Q189" s="774"/>
      <c r="R189" s="774">
        <f t="shared" si="13"/>
        <v>0</v>
      </c>
      <c r="S189" s="774">
        <f t="shared" si="17"/>
        <v>0</v>
      </c>
      <c r="T189" s="774"/>
      <c r="U189" s="774"/>
      <c r="V189" s="774"/>
      <c r="W189" s="774"/>
      <c r="X189" s="777"/>
      <c r="Y189" s="777"/>
      <c r="Z189" s="801"/>
    </row>
    <row r="190" spans="1:54" s="658" customFormat="1" ht="15.75" customHeight="1">
      <c r="A190" s="775">
        <v>2</v>
      </c>
      <c r="B190" s="774" t="s">
        <v>1301</v>
      </c>
      <c r="C190" s="774" t="s">
        <v>1302</v>
      </c>
      <c r="D190" s="774" t="s">
        <v>1301</v>
      </c>
      <c r="E190" s="774" t="s">
        <v>1301</v>
      </c>
      <c r="F190" s="774" t="e">
        <v>#N/A</v>
      </c>
      <c r="G190" s="774" t="s">
        <v>1303</v>
      </c>
      <c r="H190" s="775" t="s">
        <v>1073</v>
      </c>
      <c r="I190" s="776" t="s">
        <v>1074</v>
      </c>
      <c r="J190" s="776" t="str">
        <f>VLOOKUP(D190,[5]Sheet1!$D$1:$D$65536,1,0)</f>
        <v>RK73H1HTTC9092D</v>
      </c>
      <c r="K190" s="775" t="s">
        <v>28</v>
      </c>
      <c r="L190" s="775">
        <v>1</v>
      </c>
      <c r="M190" s="775">
        <v>1</v>
      </c>
      <c r="N190" s="774" t="s">
        <v>292</v>
      </c>
      <c r="O190" s="774">
        <v>6.7000000000000002E-3</v>
      </c>
      <c r="P190" s="774">
        <f>VLOOKUP(D190,'EEBOM Feb.2nd2026'!$D:$N,11,0)</f>
        <v>1.0999999999999999E-2</v>
      </c>
      <c r="Q190" s="774">
        <f>O190-P190</f>
        <v>-4.2999999999999991E-3</v>
      </c>
      <c r="R190" s="774">
        <f t="shared" si="13"/>
        <v>6.9344999999999997E-3</v>
      </c>
      <c r="S190" s="774">
        <f t="shared" si="17"/>
        <v>0</v>
      </c>
      <c r="T190" s="774">
        <f>R190*M190</f>
        <v>6.9344999999999997E-3</v>
      </c>
      <c r="U190" s="774" t="s">
        <v>1443</v>
      </c>
      <c r="V190" s="774">
        <v>15000</v>
      </c>
      <c r="W190" s="774">
        <v>18</v>
      </c>
      <c r="X190" s="777" t="s">
        <v>1454</v>
      </c>
      <c r="Y190" s="777" t="s">
        <v>1448</v>
      </c>
      <c r="Z190" s="801" t="s">
        <v>600</v>
      </c>
      <c r="AA190" s="753"/>
      <c r="AB190" s="753"/>
      <c r="AC190" s="753"/>
      <c r="AD190" s="753"/>
      <c r="AE190" s="753"/>
      <c r="AF190" s="753"/>
      <c r="AG190" s="753"/>
      <c r="AH190" s="753"/>
      <c r="AI190" s="753"/>
      <c r="AJ190" s="753"/>
      <c r="AK190" s="753"/>
      <c r="AL190" s="753"/>
      <c r="AM190" s="753"/>
      <c r="AN190" s="753"/>
      <c r="AO190" s="753"/>
      <c r="AP190" s="753"/>
      <c r="AQ190" s="753"/>
      <c r="AR190" s="753"/>
      <c r="AS190" s="753"/>
      <c r="AT190" s="753"/>
      <c r="AU190" s="753"/>
      <c r="AV190" s="753"/>
      <c r="AW190" s="753"/>
      <c r="AX190" s="753"/>
      <c r="AY190" s="753"/>
      <c r="AZ190" s="753"/>
      <c r="BA190" s="753"/>
      <c r="BB190" s="753"/>
    </row>
    <row r="191" spans="1:54" ht="15.5" customHeight="1">
      <c r="A191" s="775">
        <v>2</v>
      </c>
      <c r="B191" s="774" t="s">
        <v>1304</v>
      </c>
      <c r="C191" s="774" t="s">
        <v>1302</v>
      </c>
      <c r="D191" s="774" t="s">
        <v>1304</v>
      </c>
      <c r="E191" s="774" t="s">
        <v>1304</v>
      </c>
      <c r="F191" s="774" t="e">
        <v>#N/A</v>
      </c>
      <c r="G191" s="774" t="s">
        <v>1303</v>
      </c>
      <c r="H191" s="775" t="s">
        <v>1073</v>
      </c>
      <c r="I191" s="776" t="s">
        <v>1074</v>
      </c>
      <c r="J191" s="776" t="str">
        <f>VLOOKUP(D191,[5]Sheet1!$D$1:$D$65536,1,0)</f>
        <v>RMCH06-9092DPA</v>
      </c>
      <c r="K191" s="775" t="s">
        <v>28</v>
      </c>
      <c r="L191" s="775"/>
      <c r="M191" s="775"/>
      <c r="N191" s="774" t="s">
        <v>294</v>
      </c>
      <c r="O191" s="774">
        <v>1.0578000000000001E-2</v>
      </c>
      <c r="P191" s="774"/>
      <c r="Q191" s="774"/>
      <c r="R191" s="774">
        <f t="shared" si="13"/>
        <v>1.094823E-2</v>
      </c>
      <c r="S191" s="774">
        <f t="shared" si="17"/>
        <v>4.0137300000000001E-3</v>
      </c>
      <c r="T191" s="774"/>
      <c r="U191" s="774" t="s">
        <v>1443</v>
      </c>
      <c r="V191" s="774"/>
      <c r="W191" s="774"/>
      <c r="X191" s="777"/>
      <c r="Y191" s="777"/>
      <c r="Z191" s="801"/>
    </row>
    <row r="192" spans="1:54" s="658" customFormat="1" ht="15.75" customHeight="1">
      <c r="A192" s="775">
        <v>2</v>
      </c>
      <c r="B192" s="774" t="s">
        <v>1478</v>
      </c>
      <c r="C192" s="774" t="s">
        <v>1306</v>
      </c>
      <c r="D192" s="774" t="s">
        <v>1305</v>
      </c>
      <c r="E192" s="774" t="s">
        <v>1305</v>
      </c>
      <c r="F192" s="774" t="e">
        <v>#N/A</v>
      </c>
      <c r="G192" s="774" t="s">
        <v>1307</v>
      </c>
      <c r="H192" s="775" t="s">
        <v>1073</v>
      </c>
      <c r="I192" s="776" t="s">
        <v>1074</v>
      </c>
      <c r="J192" s="776" t="str">
        <f>VLOOKUP(D192,[5]Sheet1!$D$1:$D$65536,1,0)</f>
        <v>AC0201FR-0757K6L</v>
      </c>
      <c r="K192" s="775" t="s">
        <v>28</v>
      </c>
      <c r="L192" s="775">
        <v>1</v>
      </c>
      <c r="M192" s="775">
        <v>1</v>
      </c>
      <c r="N192" s="774" t="s">
        <v>296</v>
      </c>
      <c r="O192" s="774">
        <v>5.9999999999999995E-4</v>
      </c>
      <c r="P192" s="774">
        <f>VLOOKUP(D192,'EEBOM Feb.2nd2026'!$D:$N,11,0)</f>
        <v>5.9999999999999995E-4</v>
      </c>
      <c r="Q192" s="774">
        <f>O192-P192</f>
        <v>0</v>
      </c>
      <c r="R192" s="774">
        <f t="shared" si="13"/>
        <v>6.2099999999999992E-4</v>
      </c>
      <c r="S192" s="774">
        <f t="shared" si="17"/>
        <v>6.2099999999999992E-4</v>
      </c>
      <c r="T192" s="774">
        <f>R192*M192</f>
        <v>6.2099999999999992E-4</v>
      </c>
      <c r="U192" s="774" t="s">
        <v>1470</v>
      </c>
      <c r="V192" s="774">
        <v>10000</v>
      </c>
      <c r="W192" s="774">
        <v>10</v>
      </c>
      <c r="X192" s="777" t="s">
        <v>1472</v>
      </c>
      <c r="Y192" s="777" t="s">
        <v>1448</v>
      </c>
      <c r="Z192" s="801" t="s">
        <v>1308</v>
      </c>
      <c r="AA192" s="753"/>
      <c r="AB192" s="753"/>
      <c r="AC192" s="753"/>
      <c r="AD192" s="753"/>
      <c r="AE192" s="753"/>
      <c r="AF192" s="753"/>
      <c r="AG192" s="753"/>
      <c r="AH192" s="753"/>
      <c r="AI192" s="753"/>
      <c r="AJ192" s="753"/>
      <c r="AK192" s="753"/>
      <c r="AL192" s="753"/>
      <c r="AM192" s="753"/>
      <c r="AN192" s="753"/>
      <c r="AO192" s="753"/>
      <c r="AP192" s="753"/>
      <c r="AQ192" s="753"/>
      <c r="AR192" s="753"/>
      <c r="AS192" s="753"/>
      <c r="AT192" s="753"/>
      <c r="AU192" s="753"/>
      <c r="AV192" s="753"/>
      <c r="AW192" s="753"/>
      <c r="AX192" s="753"/>
      <c r="AY192" s="753"/>
      <c r="AZ192" s="753"/>
      <c r="BA192" s="753"/>
      <c r="BB192" s="753"/>
    </row>
    <row r="193" spans="1:54" ht="15.75" customHeight="1">
      <c r="A193" s="775">
        <v>2</v>
      </c>
      <c r="B193" s="774" t="s">
        <v>1309</v>
      </c>
      <c r="C193" s="774" t="s">
        <v>1306</v>
      </c>
      <c r="D193" s="774" t="s">
        <v>1309</v>
      </c>
      <c r="E193" s="774" t="s">
        <v>1309</v>
      </c>
      <c r="F193" s="774" t="e">
        <v>#N/A</v>
      </c>
      <c r="G193" s="774" t="s">
        <v>1307</v>
      </c>
      <c r="H193" s="775" t="s">
        <v>1073</v>
      </c>
      <c r="I193" s="776" t="s">
        <v>1074</v>
      </c>
      <c r="J193" s="776" t="str">
        <f>VLOOKUP(D193,[5]Sheet1!$D$1:$D$65536,1,0)</f>
        <v>ERJ1GJF5762C</v>
      </c>
      <c r="K193" s="775" t="s">
        <v>28</v>
      </c>
      <c r="L193" s="775"/>
      <c r="M193" s="775"/>
      <c r="N193" s="774" t="s">
        <v>289</v>
      </c>
      <c r="O193" s="774"/>
      <c r="P193" s="774"/>
      <c r="Q193" s="774"/>
      <c r="R193" s="774">
        <f t="shared" si="13"/>
        <v>0</v>
      </c>
      <c r="S193" s="774">
        <f t="shared" si="17"/>
        <v>0</v>
      </c>
      <c r="T193" s="774"/>
      <c r="U193" s="774"/>
      <c r="V193" s="774"/>
      <c r="W193" s="774"/>
      <c r="X193" s="777"/>
      <c r="Y193" s="777"/>
      <c r="Z193" s="801"/>
    </row>
    <row r="194" spans="1:54" s="697" customFormat="1" ht="15.75" customHeight="1">
      <c r="A194" s="775">
        <v>2</v>
      </c>
      <c r="B194" s="774" t="s">
        <v>1310</v>
      </c>
      <c r="C194" s="774" t="s">
        <v>1306</v>
      </c>
      <c r="D194" s="774" t="s">
        <v>1310</v>
      </c>
      <c r="E194" s="774" t="s">
        <v>1310</v>
      </c>
      <c r="F194" s="774" t="e">
        <v>#N/A</v>
      </c>
      <c r="G194" s="774" t="s">
        <v>1307</v>
      </c>
      <c r="H194" s="775" t="s">
        <v>1073</v>
      </c>
      <c r="I194" s="776" t="s">
        <v>1074</v>
      </c>
      <c r="J194" s="776" t="str">
        <f>VLOOKUP(D194,[5]Sheet1!$D$1:$D$65536,1,0)</f>
        <v>RK73H1HTTC5762F</v>
      </c>
      <c r="K194" s="775" t="s">
        <v>28</v>
      </c>
      <c r="L194" s="775"/>
      <c r="M194" s="775"/>
      <c r="N194" s="774" t="s">
        <v>292</v>
      </c>
      <c r="O194" s="774">
        <v>1.5139999999999999E-3</v>
      </c>
      <c r="P194" s="774"/>
      <c r="Q194" s="774"/>
      <c r="R194" s="774">
        <f t="shared" si="13"/>
        <v>1.5669899999999999E-3</v>
      </c>
      <c r="S194" s="774">
        <f t="shared" si="17"/>
        <v>1.5669899999999999E-3</v>
      </c>
      <c r="T194" s="774"/>
      <c r="U194" s="774" t="s">
        <v>1443</v>
      </c>
      <c r="V194" s="774">
        <v>10000</v>
      </c>
      <c r="W194" s="774"/>
      <c r="X194" s="777"/>
      <c r="Y194" s="777"/>
      <c r="Z194" s="801"/>
      <c r="AA194" s="753"/>
      <c r="AB194" s="753"/>
      <c r="AC194" s="753"/>
      <c r="AD194" s="753"/>
      <c r="AE194" s="753"/>
      <c r="AF194" s="753"/>
      <c r="AG194" s="753"/>
      <c r="AH194" s="753"/>
      <c r="AI194" s="753"/>
      <c r="AJ194" s="753"/>
      <c r="AK194" s="753"/>
      <c r="AL194" s="753"/>
      <c r="AM194" s="753"/>
      <c r="AN194" s="753"/>
      <c r="AO194" s="753"/>
      <c r="AP194" s="753"/>
      <c r="AQ194" s="753"/>
      <c r="AR194" s="753"/>
      <c r="AS194" s="753"/>
      <c r="AT194" s="753"/>
      <c r="AU194" s="753"/>
      <c r="AV194" s="753"/>
      <c r="AW194" s="753"/>
      <c r="AX194" s="753"/>
      <c r="AY194" s="753"/>
      <c r="AZ194" s="753"/>
      <c r="BA194" s="753"/>
      <c r="BB194" s="753"/>
    </row>
    <row r="195" spans="1:54" ht="15.75" customHeight="1">
      <c r="A195" s="775">
        <v>2</v>
      </c>
      <c r="B195" s="774" t="s">
        <v>1311</v>
      </c>
      <c r="C195" s="774" t="s">
        <v>1306</v>
      </c>
      <c r="D195" s="774" t="s">
        <v>1311</v>
      </c>
      <c r="E195" s="774" t="s">
        <v>1311</v>
      </c>
      <c r="F195" s="774" t="e">
        <v>#N/A</v>
      </c>
      <c r="G195" s="774" t="s">
        <v>1307</v>
      </c>
      <c r="H195" s="775" t="s">
        <v>1073</v>
      </c>
      <c r="I195" s="776" t="s">
        <v>1074</v>
      </c>
      <c r="J195" s="776" t="str">
        <f>VLOOKUP(D195,[5]Sheet1!$D$1:$D$65536,1,0)</f>
        <v>RMCH06-5762FPA</v>
      </c>
      <c r="K195" s="775" t="s">
        <v>28</v>
      </c>
      <c r="L195" s="775"/>
      <c r="M195" s="775"/>
      <c r="N195" s="774" t="s">
        <v>294</v>
      </c>
      <c r="O195" s="774">
        <v>2.7390000000000001E-3</v>
      </c>
      <c r="P195" s="774"/>
      <c r="Q195" s="774"/>
      <c r="R195" s="774">
        <f t="shared" si="13"/>
        <v>2.8348649999999998E-3</v>
      </c>
      <c r="S195" s="774">
        <f t="shared" si="17"/>
        <v>2.8348649999999998E-3</v>
      </c>
      <c r="T195" s="774"/>
      <c r="U195" s="774" t="s">
        <v>1443</v>
      </c>
      <c r="V195" s="774"/>
      <c r="W195" s="774"/>
      <c r="X195" s="777"/>
      <c r="Y195" s="777"/>
      <c r="Z195" s="801"/>
    </row>
    <row r="196" spans="1:54" ht="15.75" customHeight="1">
      <c r="A196" s="775">
        <v>2</v>
      </c>
      <c r="B196" s="774" t="s">
        <v>1479</v>
      </c>
      <c r="C196" s="774" t="s">
        <v>389</v>
      </c>
      <c r="D196" s="774" t="s">
        <v>388</v>
      </c>
      <c r="E196" s="774" t="s">
        <v>388</v>
      </c>
      <c r="F196" s="774" t="s">
        <v>388</v>
      </c>
      <c r="G196" s="774" t="s">
        <v>1312</v>
      </c>
      <c r="H196" s="775" t="s">
        <v>1073</v>
      </c>
      <c r="I196" s="776" t="s">
        <v>1074</v>
      </c>
      <c r="J196" s="776" t="str">
        <f>VLOOKUP(D196,[5]Sheet1!$D$1:$D$65536,1,0)</f>
        <v>CRCW0603510RFKEA</v>
      </c>
      <c r="K196" s="775" t="s">
        <v>28</v>
      </c>
      <c r="L196" s="775">
        <v>2</v>
      </c>
      <c r="M196" s="775"/>
      <c r="N196" s="774" t="s">
        <v>368</v>
      </c>
      <c r="O196" s="774">
        <v>3.0000000000000001E-3</v>
      </c>
      <c r="P196" s="774"/>
      <c r="Q196" s="774"/>
      <c r="R196" s="774">
        <f t="shared" si="13"/>
        <v>3.1049999999999997E-3</v>
      </c>
      <c r="S196" s="774">
        <f t="shared" si="17"/>
        <v>2.4218999999999998E-3</v>
      </c>
      <c r="T196" s="774"/>
      <c r="U196" s="774" t="s">
        <v>1081</v>
      </c>
      <c r="V196" s="774"/>
      <c r="W196" s="774"/>
      <c r="X196" s="777"/>
      <c r="Y196" s="777"/>
      <c r="Z196" s="801" t="s">
        <v>1313</v>
      </c>
    </row>
    <row r="197" spans="1:54" s="658" customFormat="1" ht="15.75" customHeight="1">
      <c r="A197" s="775">
        <v>2</v>
      </c>
      <c r="B197" s="774" t="s">
        <v>394</v>
      </c>
      <c r="C197" s="774" t="s">
        <v>389</v>
      </c>
      <c r="D197" s="774" t="s">
        <v>394</v>
      </c>
      <c r="E197" s="774" t="s">
        <v>394</v>
      </c>
      <c r="F197" s="774" t="s">
        <v>394</v>
      </c>
      <c r="G197" s="774" t="s">
        <v>1312</v>
      </c>
      <c r="H197" s="775" t="s">
        <v>1073</v>
      </c>
      <c r="I197" s="776" t="s">
        <v>1074</v>
      </c>
      <c r="J197" s="776" t="str">
        <f>VLOOKUP(D197,[5]Sheet1!$D$1:$D$65536,1,0)</f>
        <v>AC0603FR-07510RL</v>
      </c>
      <c r="K197" s="775" t="s">
        <v>28</v>
      </c>
      <c r="L197" s="775"/>
      <c r="M197" s="775">
        <v>2</v>
      </c>
      <c r="N197" s="774" t="s">
        <v>296</v>
      </c>
      <c r="O197" s="774">
        <v>6.6E-4</v>
      </c>
      <c r="P197" s="774"/>
      <c r="Q197" s="774"/>
      <c r="R197" s="774">
        <f t="shared" si="13"/>
        <v>6.8309999999999996E-4</v>
      </c>
      <c r="S197" s="774">
        <f t="shared" si="17"/>
        <v>0</v>
      </c>
      <c r="T197" s="774">
        <f>R197*M197</f>
        <v>1.3661999999999999E-3</v>
      </c>
      <c r="U197" s="774" t="s">
        <v>1470</v>
      </c>
      <c r="V197" s="774">
        <v>10000</v>
      </c>
      <c r="W197" s="774">
        <v>10</v>
      </c>
      <c r="X197" s="777" t="s">
        <v>1444</v>
      </c>
      <c r="Y197" s="777" t="s">
        <v>1444</v>
      </c>
      <c r="Z197" s="801"/>
      <c r="AA197" s="753"/>
      <c r="AB197" s="753"/>
      <c r="AC197" s="753"/>
      <c r="AD197" s="753"/>
      <c r="AE197" s="753"/>
      <c r="AF197" s="753"/>
      <c r="AG197" s="753"/>
      <c r="AH197" s="753"/>
      <c r="AI197" s="753"/>
      <c r="AJ197" s="753"/>
      <c r="AK197" s="753"/>
      <c r="AL197" s="753"/>
      <c r="AM197" s="753"/>
      <c r="AN197" s="753"/>
      <c r="AO197" s="753"/>
      <c r="AP197" s="753"/>
      <c r="AQ197" s="753"/>
      <c r="AR197" s="753"/>
      <c r="AS197" s="753"/>
      <c r="AT197" s="753"/>
      <c r="AU197" s="753"/>
      <c r="AV197" s="753"/>
      <c r="AW197" s="753"/>
      <c r="AX197" s="753"/>
      <c r="AY197" s="753"/>
      <c r="AZ197" s="753"/>
      <c r="BA197" s="753"/>
      <c r="BB197" s="753"/>
    </row>
    <row r="198" spans="1:54" ht="15.75" customHeight="1">
      <c r="A198" s="775">
        <v>2</v>
      </c>
      <c r="B198" s="774" t="s">
        <v>392</v>
      </c>
      <c r="C198" s="774" t="s">
        <v>389</v>
      </c>
      <c r="D198" s="774" t="s">
        <v>392</v>
      </c>
      <c r="E198" s="774" t="s">
        <v>392</v>
      </c>
      <c r="F198" s="774" t="s">
        <v>392</v>
      </c>
      <c r="G198" s="774" t="s">
        <v>1312</v>
      </c>
      <c r="H198" s="775" t="s">
        <v>1073</v>
      </c>
      <c r="I198" s="776" t="s">
        <v>1074</v>
      </c>
      <c r="J198" s="776" t="str">
        <f>VLOOKUP(D198,[5]Sheet1!$D$1:$D$65536,1,0)</f>
        <v>RK73H1JTTD5100F</v>
      </c>
      <c r="K198" s="775" t="s">
        <v>28</v>
      </c>
      <c r="L198" s="775"/>
      <c r="M198" s="775"/>
      <c r="N198" s="774" t="s">
        <v>292</v>
      </c>
      <c r="O198" s="774">
        <v>1E-3</v>
      </c>
      <c r="P198" s="774"/>
      <c r="Q198" s="774"/>
      <c r="R198" s="774">
        <f t="shared" si="13"/>
        <v>1.0349999999999999E-3</v>
      </c>
      <c r="S198" s="774">
        <f t="shared" si="17"/>
        <v>3.5189999999999993E-4</v>
      </c>
      <c r="T198" s="774"/>
      <c r="U198" s="774" t="s">
        <v>1081</v>
      </c>
      <c r="V198" s="774"/>
      <c r="W198" s="774"/>
      <c r="X198" s="777"/>
      <c r="Y198" s="777"/>
      <c r="Z198" s="801"/>
    </row>
    <row r="199" spans="1:54" ht="15.75" customHeight="1">
      <c r="A199" s="775">
        <v>2</v>
      </c>
      <c r="B199" s="774" t="s">
        <v>393</v>
      </c>
      <c r="C199" s="774" t="s">
        <v>389</v>
      </c>
      <c r="D199" s="774" t="s">
        <v>393</v>
      </c>
      <c r="E199" s="774" t="s">
        <v>393</v>
      </c>
      <c r="F199" s="774" t="s">
        <v>393</v>
      </c>
      <c r="G199" s="774" t="s">
        <v>1312</v>
      </c>
      <c r="H199" s="775" t="s">
        <v>1073</v>
      </c>
      <c r="I199" s="776" t="s">
        <v>1074</v>
      </c>
      <c r="J199" s="776" t="str">
        <f>VLOOKUP(D199,[5]Sheet1!$D$1:$D$65536,1,0)</f>
        <v>RMCH16K511FTP</v>
      </c>
      <c r="K199" s="775" t="s">
        <v>28</v>
      </c>
      <c r="L199" s="775"/>
      <c r="M199" s="775"/>
      <c r="N199" s="774" t="s">
        <v>294</v>
      </c>
      <c r="O199" s="774">
        <v>1.4499999999999999E-3</v>
      </c>
      <c r="P199" s="774"/>
      <c r="Q199" s="774"/>
      <c r="R199" s="774">
        <f t="shared" ref="R199:R244" si="18">O199*1.035</f>
        <v>1.5007499999999997E-3</v>
      </c>
      <c r="S199" s="774">
        <f t="shared" si="17"/>
        <v>8.1764999999999974E-4</v>
      </c>
      <c r="T199" s="774"/>
      <c r="U199" s="774" t="s">
        <v>1443</v>
      </c>
      <c r="V199" s="774"/>
      <c r="W199" s="774"/>
      <c r="X199" s="777"/>
      <c r="Y199" s="777"/>
      <c r="Z199" s="801"/>
    </row>
    <row r="200" spans="1:54" s="658" customFormat="1" ht="15.75" customHeight="1">
      <c r="A200" s="775">
        <v>2</v>
      </c>
      <c r="B200" s="774" t="s">
        <v>1314</v>
      </c>
      <c r="C200" s="774" t="s">
        <v>1315</v>
      </c>
      <c r="D200" s="774" t="s">
        <v>1314</v>
      </c>
      <c r="E200" s="774" t="s">
        <v>1314</v>
      </c>
      <c r="F200" s="774" t="e">
        <v>#N/A</v>
      </c>
      <c r="G200" s="774" t="s">
        <v>1316</v>
      </c>
      <c r="H200" s="775" t="s">
        <v>1073</v>
      </c>
      <c r="I200" s="776" t="s">
        <v>1074</v>
      </c>
      <c r="J200" s="776" t="str">
        <f>VLOOKUP(D200,[5]Sheet1!$D$1:$D$65536,1,0)</f>
        <v>AC0201FR-0714K7L</v>
      </c>
      <c r="K200" s="775" t="s">
        <v>28</v>
      </c>
      <c r="L200" s="775">
        <v>1</v>
      </c>
      <c r="M200" s="775">
        <v>1</v>
      </c>
      <c r="N200" s="774" t="s">
        <v>296</v>
      </c>
      <c r="O200" s="774">
        <v>5.9999999999999995E-4</v>
      </c>
      <c r="P200" s="774">
        <f>VLOOKUP(D200,'EEBOM Feb.2nd2026'!$D:$N,11,0)</f>
        <v>5.9999999999999995E-4</v>
      </c>
      <c r="Q200" s="774">
        <f>O200-P200</f>
        <v>0</v>
      </c>
      <c r="R200" s="774">
        <f t="shared" si="18"/>
        <v>6.2099999999999992E-4</v>
      </c>
      <c r="S200" s="774">
        <f t="shared" si="17"/>
        <v>6.2099999999999992E-4</v>
      </c>
      <c r="T200" s="774">
        <f>R200*M200</f>
        <v>6.2099999999999992E-4</v>
      </c>
      <c r="U200" s="774" t="s">
        <v>1470</v>
      </c>
      <c r="V200" s="774">
        <v>10000</v>
      </c>
      <c r="W200" s="774">
        <v>10</v>
      </c>
      <c r="X200" s="777" t="s">
        <v>1472</v>
      </c>
      <c r="Y200" s="777" t="s">
        <v>1448</v>
      </c>
      <c r="Z200" s="801" t="s">
        <v>1317</v>
      </c>
      <c r="AA200" s="753"/>
      <c r="AB200" s="753"/>
      <c r="AC200" s="753"/>
      <c r="AD200" s="753"/>
      <c r="AE200" s="753"/>
      <c r="AF200" s="753"/>
      <c r="AG200" s="753"/>
      <c r="AH200" s="753"/>
      <c r="AI200" s="753"/>
      <c r="AJ200" s="753"/>
      <c r="AK200" s="753"/>
      <c r="AL200" s="753"/>
      <c r="AM200" s="753"/>
      <c r="AN200" s="753"/>
      <c r="AO200" s="753"/>
      <c r="AP200" s="753"/>
      <c r="AQ200" s="753"/>
      <c r="AR200" s="753"/>
      <c r="AS200" s="753"/>
      <c r="AT200" s="753"/>
      <c r="AU200" s="753"/>
      <c r="AV200" s="753"/>
      <c r="AW200" s="753"/>
      <c r="AX200" s="753"/>
      <c r="AY200" s="753"/>
      <c r="AZ200" s="753"/>
      <c r="BA200" s="753"/>
      <c r="BB200" s="753"/>
    </row>
    <row r="201" spans="1:54" ht="15.75" customHeight="1">
      <c r="A201" s="775">
        <v>2</v>
      </c>
      <c r="B201" s="774" t="s">
        <v>1318</v>
      </c>
      <c r="C201" s="774" t="s">
        <v>1315</v>
      </c>
      <c r="D201" s="774" t="s">
        <v>1318</v>
      </c>
      <c r="E201" s="774" t="s">
        <v>1318</v>
      </c>
      <c r="F201" s="774" t="e">
        <v>#N/A</v>
      </c>
      <c r="G201" s="774" t="s">
        <v>1316</v>
      </c>
      <c r="H201" s="775" t="s">
        <v>1073</v>
      </c>
      <c r="I201" s="776" t="s">
        <v>1074</v>
      </c>
      <c r="J201" s="776" t="str">
        <f>VLOOKUP(D201,[5]Sheet1!$D$1:$D$65536,1,0)</f>
        <v>RK73H1HTTC1472F</v>
      </c>
      <c r="K201" s="775" t="s">
        <v>28</v>
      </c>
      <c r="L201" s="775"/>
      <c r="M201" s="775"/>
      <c r="N201" s="774" t="s">
        <v>292</v>
      </c>
      <c r="O201" s="774">
        <v>1.5139999999999999E-3</v>
      </c>
      <c r="P201" s="774"/>
      <c r="Q201" s="774"/>
      <c r="R201" s="774">
        <f t="shared" si="18"/>
        <v>1.5669899999999999E-3</v>
      </c>
      <c r="S201" s="774">
        <f t="shared" si="17"/>
        <v>1.5669899999999999E-3</v>
      </c>
      <c r="T201" s="774"/>
      <c r="U201" s="774" t="s">
        <v>1443</v>
      </c>
      <c r="V201" s="774"/>
      <c r="W201" s="774"/>
      <c r="X201" s="777"/>
      <c r="Y201" s="777"/>
      <c r="Z201" s="801"/>
    </row>
    <row r="202" spans="1:54" ht="15.75" customHeight="1">
      <c r="A202" s="775">
        <v>2</v>
      </c>
      <c r="B202" s="774" t="s">
        <v>1319</v>
      </c>
      <c r="C202" s="774" t="s">
        <v>1315</v>
      </c>
      <c r="D202" s="774" t="s">
        <v>1319</v>
      </c>
      <c r="E202" s="774" t="s">
        <v>1319</v>
      </c>
      <c r="F202" s="774" t="e">
        <v>#N/A</v>
      </c>
      <c r="G202" s="774" t="s">
        <v>1316</v>
      </c>
      <c r="H202" s="775" t="s">
        <v>1073</v>
      </c>
      <c r="I202" s="776" t="s">
        <v>1074</v>
      </c>
      <c r="J202" s="776" t="str">
        <f>VLOOKUP(D202,[5]Sheet1!$D$1:$D$65536,1,0)</f>
        <v>RMCH06-1472FPA</v>
      </c>
      <c r="K202" s="775" t="s">
        <v>28</v>
      </c>
      <c r="L202" s="775"/>
      <c r="M202" s="775"/>
      <c r="N202" s="774" t="s">
        <v>294</v>
      </c>
      <c r="O202" s="774">
        <v>2.7390000000000001E-3</v>
      </c>
      <c r="P202" s="774"/>
      <c r="Q202" s="774"/>
      <c r="R202" s="774">
        <f t="shared" si="18"/>
        <v>2.8348649999999998E-3</v>
      </c>
      <c r="S202" s="774">
        <f t="shared" si="17"/>
        <v>2.8348649999999998E-3</v>
      </c>
      <c r="T202" s="774"/>
      <c r="U202" s="774" t="s">
        <v>1443</v>
      </c>
      <c r="V202" s="774"/>
      <c r="W202" s="774"/>
      <c r="X202" s="777"/>
      <c r="Y202" s="777"/>
      <c r="Z202" s="801"/>
    </row>
    <row r="203" spans="1:54" ht="15.75" customHeight="1">
      <c r="A203" s="775">
        <v>2</v>
      </c>
      <c r="B203" s="774" t="s">
        <v>1320</v>
      </c>
      <c r="C203" s="774" t="s">
        <v>1315</v>
      </c>
      <c r="D203" s="774" t="s">
        <v>1320</v>
      </c>
      <c r="E203" s="774" t="s">
        <v>1320</v>
      </c>
      <c r="F203" s="774" t="e">
        <v>#N/A</v>
      </c>
      <c r="G203" s="774" t="s">
        <v>1316</v>
      </c>
      <c r="H203" s="775" t="s">
        <v>1073</v>
      </c>
      <c r="I203" s="776" t="s">
        <v>1074</v>
      </c>
      <c r="J203" s="776" t="str">
        <f>VLOOKUP(D203,[5]Sheet1!$D$1:$D$65536,1,0)</f>
        <v>ERJ1GJF1472C</v>
      </c>
      <c r="K203" s="775" t="s">
        <v>28</v>
      </c>
      <c r="L203" s="775"/>
      <c r="M203" s="775"/>
      <c r="N203" s="774" t="s">
        <v>289</v>
      </c>
      <c r="O203" s="774"/>
      <c r="P203" s="774"/>
      <c r="Q203" s="774"/>
      <c r="R203" s="774">
        <f t="shared" si="18"/>
        <v>0</v>
      </c>
      <c r="S203" s="774">
        <f t="shared" si="17"/>
        <v>0</v>
      </c>
      <c r="T203" s="774"/>
      <c r="U203" s="774"/>
      <c r="V203" s="774"/>
      <c r="W203" s="774"/>
      <c r="X203" s="777"/>
      <c r="Y203" s="777"/>
      <c r="Z203" s="801"/>
    </row>
    <row r="204" spans="1:54" s="658" customFormat="1" ht="15.75" customHeight="1">
      <c r="A204" s="775">
        <v>2</v>
      </c>
      <c r="B204" s="774" t="s">
        <v>449</v>
      </c>
      <c r="C204" s="774" t="s">
        <v>441</v>
      </c>
      <c r="D204" s="774" t="s">
        <v>449</v>
      </c>
      <c r="E204" s="774" t="s">
        <v>449</v>
      </c>
      <c r="F204" s="774" t="s">
        <v>449</v>
      </c>
      <c r="G204" s="774" t="s">
        <v>1321</v>
      </c>
      <c r="H204" s="775" t="s">
        <v>1073</v>
      </c>
      <c r="I204" s="776" t="s">
        <v>1074</v>
      </c>
      <c r="J204" s="776" t="str">
        <f>VLOOKUP(D204,[5]Sheet1!$D$1:$D$65536,1,0)</f>
        <v>AC0201FR-0711KL</v>
      </c>
      <c r="K204" s="775" t="s">
        <v>28</v>
      </c>
      <c r="L204" s="775">
        <v>1</v>
      </c>
      <c r="M204" s="775">
        <v>1</v>
      </c>
      <c r="N204" s="774" t="s">
        <v>296</v>
      </c>
      <c r="O204" s="774">
        <v>5.9999999999999995E-4</v>
      </c>
      <c r="P204" s="774">
        <f>VLOOKUP(D204,'EEBOM Feb.2nd2026'!$D:$N,11,0)</f>
        <v>5.9999999999999995E-4</v>
      </c>
      <c r="Q204" s="774">
        <f>O204-P204</f>
        <v>0</v>
      </c>
      <c r="R204" s="774">
        <f t="shared" si="18"/>
        <v>6.2099999999999992E-4</v>
      </c>
      <c r="S204" s="774">
        <f t="shared" si="17"/>
        <v>0</v>
      </c>
      <c r="T204" s="774">
        <f>R204*M204</f>
        <v>6.2099999999999992E-4</v>
      </c>
      <c r="U204" s="774" t="s">
        <v>1470</v>
      </c>
      <c r="V204" s="774">
        <v>10000</v>
      </c>
      <c r="W204" s="774">
        <v>10</v>
      </c>
      <c r="X204" s="777" t="s">
        <v>1472</v>
      </c>
      <c r="Y204" s="777" t="s">
        <v>1448</v>
      </c>
      <c r="Z204" s="801" t="s">
        <v>1322</v>
      </c>
      <c r="AA204" s="753"/>
      <c r="AB204" s="753"/>
      <c r="AC204" s="753"/>
      <c r="AD204" s="753"/>
      <c r="AE204" s="753"/>
      <c r="AF204" s="753"/>
      <c r="AG204" s="753"/>
      <c r="AH204" s="753"/>
      <c r="AI204" s="753"/>
      <c r="AJ204" s="753"/>
      <c r="AK204" s="753"/>
      <c r="AL204" s="753"/>
      <c r="AM204" s="753"/>
      <c r="AN204" s="753"/>
      <c r="AO204" s="753"/>
      <c r="AP204" s="753"/>
      <c r="AQ204" s="753"/>
      <c r="AR204" s="753"/>
      <c r="AS204" s="753"/>
      <c r="AT204" s="753"/>
      <c r="AU204" s="753"/>
      <c r="AV204" s="753"/>
      <c r="AW204" s="753"/>
      <c r="AX204" s="753"/>
      <c r="AY204" s="753"/>
      <c r="AZ204" s="753"/>
      <c r="BA204" s="753"/>
      <c r="BB204" s="753"/>
    </row>
    <row r="205" spans="1:54" ht="15.75" customHeight="1">
      <c r="A205" s="775">
        <v>2</v>
      </c>
      <c r="B205" s="774" t="s">
        <v>445</v>
      </c>
      <c r="C205" s="774" t="s">
        <v>441</v>
      </c>
      <c r="D205" s="774" t="s">
        <v>445</v>
      </c>
      <c r="E205" s="774" t="s">
        <v>445</v>
      </c>
      <c r="F205" s="774" t="s">
        <v>445</v>
      </c>
      <c r="G205" s="774" t="s">
        <v>1321</v>
      </c>
      <c r="H205" s="775" t="s">
        <v>1073</v>
      </c>
      <c r="I205" s="776" t="s">
        <v>1074</v>
      </c>
      <c r="J205" s="776" t="str">
        <f>VLOOKUP(D205,[5]Sheet1!$D$1:$D$65536,1,0)</f>
        <v>RK73H1HTTC1102F</v>
      </c>
      <c r="K205" s="775" t="s">
        <v>28</v>
      </c>
      <c r="L205" s="775"/>
      <c r="M205" s="775"/>
      <c r="N205" s="774" t="s">
        <v>292</v>
      </c>
      <c r="O205" s="774">
        <v>1.5139999999999999E-3</v>
      </c>
      <c r="P205" s="774"/>
      <c r="Q205" s="774"/>
      <c r="R205" s="774">
        <f t="shared" si="18"/>
        <v>1.5669899999999999E-3</v>
      </c>
      <c r="S205" s="774">
        <f t="shared" si="17"/>
        <v>9.4598999999999996E-4</v>
      </c>
      <c r="T205" s="774"/>
      <c r="U205" s="774" t="s">
        <v>1443</v>
      </c>
      <c r="V205" s="774"/>
      <c r="W205" s="774"/>
      <c r="X205" s="777"/>
      <c r="Y205" s="777"/>
      <c r="Z205" s="801"/>
    </row>
    <row r="206" spans="1:54" ht="15.75" customHeight="1">
      <c r="A206" s="775">
        <v>2</v>
      </c>
      <c r="B206" s="774" t="s">
        <v>448</v>
      </c>
      <c r="C206" s="774" t="s">
        <v>441</v>
      </c>
      <c r="D206" s="774" t="s">
        <v>448</v>
      </c>
      <c r="E206" s="774" t="s">
        <v>448</v>
      </c>
      <c r="F206" s="774" t="s">
        <v>448</v>
      </c>
      <c r="G206" s="774" t="s">
        <v>1321</v>
      </c>
      <c r="H206" s="775" t="s">
        <v>1073</v>
      </c>
      <c r="I206" s="776" t="s">
        <v>1074</v>
      </c>
      <c r="J206" s="776" t="str">
        <f>VLOOKUP(D206,[5]Sheet1!$D$1:$D$65536,1,0)</f>
        <v>RMCH06-113FPA</v>
      </c>
      <c r="K206" s="775" t="s">
        <v>28</v>
      </c>
      <c r="L206" s="775"/>
      <c r="M206" s="775"/>
      <c r="N206" s="774" t="s">
        <v>294</v>
      </c>
      <c r="O206" s="774">
        <v>2.7390000000000001E-3</v>
      </c>
      <c r="P206" s="774"/>
      <c r="Q206" s="774"/>
      <c r="R206" s="774">
        <f t="shared" si="18"/>
        <v>2.8348649999999998E-3</v>
      </c>
      <c r="S206" s="774">
        <f t="shared" si="17"/>
        <v>2.2138649999999998E-3</v>
      </c>
      <c r="T206" s="774"/>
      <c r="U206" s="774" t="s">
        <v>1443</v>
      </c>
      <c r="V206" s="774"/>
      <c r="W206" s="774"/>
      <c r="X206" s="777"/>
      <c r="Y206" s="777"/>
      <c r="Z206" s="801"/>
    </row>
    <row r="207" spans="1:54" ht="15.75" customHeight="1">
      <c r="A207" s="775">
        <v>2</v>
      </c>
      <c r="B207" s="774" t="s">
        <v>447</v>
      </c>
      <c r="C207" s="774" t="s">
        <v>441</v>
      </c>
      <c r="D207" s="774" t="s">
        <v>447</v>
      </c>
      <c r="E207" s="774" t="s">
        <v>447</v>
      </c>
      <c r="F207" s="774" t="s">
        <v>447</v>
      </c>
      <c r="G207" s="774" t="s">
        <v>1321</v>
      </c>
      <c r="H207" s="775" t="s">
        <v>1073</v>
      </c>
      <c r="I207" s="776" t="s">
        <v>1074</v>
      </c>
      <c r="J207" s="776" t="str">
        <f>VLOOKUP(D207,[5]Sheet1!$D$1:$D$65536,1,0)</f>
        <v>ERJ1GJF1102C</v>
      </c>
      <c r="K207" s="775" t="s">
        <v>28</v>
      </c>
      <c r="L207" s="775"/>
      <c r="M207" s="775"/>
      <c r="N207" s="774" t="s">
        <v>289</v>
      </c>
      <c r="O207" s="774">
        <v>1.4800000000000001E-2</v>
      </c>
      <c r="P207" s="774"/>
      <c r="Q207" s="774"/>
      <c r="R207" s="774">
        <f t="shared" si="18"/>
        <v>1.5318E-2</v>
      </c>
      <c r="S207" s="774">
        <f t="shared" si="17"/>
        <v>1.4697E-2</v>
      </c>
      <c r="T207" s="774"/>
      <c r="U207" s="774" t="s">
        <v>1480</v>
      </c>
      <c r="V207" s="774"/>
      <c r="W207" s="774"/>
      <c r="X207" s="777"/>
      <c r="Y207" s="777"/>
      <c r="Z207" s="801"/>
    </row>
    <row r="208" spans="1:54" s="658" customFormat="1" ht="15.75" customHeight="1">
      <c r="A208" s="775">
        <v>2</v>
      </c>
      <c r="B208" s="774" t="s">
        <v>1323</v>
      </c>
      <c r="C208" s="774" t="s">
        <v>1324</v>
      </c>
      <c r="D208" s="774" t="s">
        <v>1323</v>
      </c>
      <c r="E208" s="774" t="s">
        <v>1323</v>
      </c>
      <c r="F208" s="774" t="e">
        <v>#N/A</v>
      </c>
      <c r="G208" s="774" t="s">
        <v>1325</v>
      </c>
      <c r="H208" s="775" t="s">
        <v>1073</v>
      </c>
      <c r="I208" s="776" t="s">
        <v>1074</v>
      </c>
      <c r="J208" s="776" t="str">
        <f>VLOOKUP(D208,[5]Sheet1!$D$1:$D$65536,1,0)</f>
        <v>AC0201FR-072K2L</v>
      </c>
      <c r="K208" s="775" t="s">
        <v>28</v>
      </c>
      <c r="L208" s="775">
        <v>3</v>
      </c>
      <c r="M208" s="775">
        <v>3</v>
      </c>
      <c r="N208" s="774" t="s">
        <v>296</v>
      </c>
      <c r="O208" s="774">
        <v>5.9999999999999995E-4</v>
      </c>
      <c r="P208" s="774">
        <f>VLOOKUP(D208,'EEBOM Feb.2nd2026'!$D:$N,11,0)</f>
        <v>5.9999999999999995E-4</v>
      </c>
      <c r="Q208" s="774">
        <f>O208-P208</f>
        <v>0</v>
      </c>
      <c r="R208" s="774">
        <f t="shared" si="18"/>
        <v>6.2099999999999992E-4</v>
      </c>
      <c r="S208" s="774">
        <f t="shared" si="17"/>
        <v>6.2099999999999992E-4</v>
      </c>
      <c r="T208" s="774">
        <f>R208*M208</f>
        <v>1.8629999999999996E-3</v>
      </c>
      <c r="U208" s="774" t="s">
        <v>1470</v>
      </c>
      <c r="V208" s="774">
        <v>10000</v>
      </c>
      <c r="W208" s="774">
        <v>10</v>
      </c>
      <c r="X208" s="777" t="s">
        <v>1472</v>
      </c>
      <c r="Y208" s="777" t="s">
        <v>1448</v>
      </c>
      <c r="Z208" s="801" t="s">
        <v>1326</v>
      </c>
      <c r="AA208" s="753"/>
      <c r="AB208" s="753"/>
      <c r="AC208" s="753"/>
      <c r="AD208" s="753"/>
      <c r="AE208" s="753"/>
      <c r="AF208" s="753"/>
      <c r="AG208" s="753"/>
      <c r="AH208" s="753"/>
      <c r="AI208" s="753"/>
      <c r="AJ208" s="753"/>
      <c r="AK208" s="753"/>
      <c r="AL208" s="753"/>
      <c r="AM208" s="753"/>
      <c r="AN208" s="753"/>
      <c r="AO208" s="753"/>
      <c r="AP208" s="753"/>
      <c r="AQ208" s="753"/>
      <c r="AR208" s="753"/>
      <c r="AS208" s="753"/>
      <c r="AT208" s="753"/>
      <c r="AU208" s="753"/>
      <c r="AV208" s="753"/>
      <c r="AW208" s="753"/>
      <c r="AX208" s="753"/>
      <c r="AY208" s="753"/>
      <c r="AZ208" s="753"/>
      <c r="BA208" s="753"/>
      <c r="BB208" s="753"/>
    </row>
    <row r="209" spans="1:54" ht="15.75" customHeight="1">
      <c r="A209" s="775">
        <v>2</v>
      </c>
      <c r="B209" s="774" t="s">
        <v>1327</v>
      </c>
      <c r="C209" s="774" t="s">
        <v>1324</v>
      </c>
      <c r="D209" s="774" t="s">
        <v>1327</v>
      </c>
      <c r="E209" s="774" t="s">
        <v>1327</v>
      </c>
      <c r="F209" s="774" t="e">
        <v>#N/A</v>
      </c>
      <c r="G209" s="774" t="s">
        <v>1325</v>
      </c>
      <c r="H209" s="775" t="s">
        <v>1073</v>
      </c>
      <c r="I209" s="776" t="s">
        <v>1074</v>
      </c>
      <c r="J209" s="776" t="str">
        <f>VLOOKUP(D209,[5]Sheet1!$D$1:$D$65536,1,0)</f>
        <v>RK73H1HTTC2201F</v>
      </c>
      <c r="K209" s="775" t="s">
        <v>28</v>
      </c>
      <c r="L209" s="775"/>
      <c r="M209" s="775"/>
      <c r="N209" s="774" t="s">
        <v>292</v>
      </c>
      <c r="O209" s="774">
        <v>1.5139999999999999E-3</v>
      </c>
      <c r="P209" s="774"/>
      <c r="Q209" s="774"/>
      <c r="R209" s="774">
        <f t="shared" si="18"/>
        <v>1.5669899999999999E-3</v>
      </c>
      <c r="S209" s="774">
        <f t="shared" si="17"/>
        <v>1.5669899999999999E-3</v>
      </c>
      <c r="T209" s="774"/>
      <c r="U209" s="774" t="s">
        <v>1443</v>
      </c>
      <c r="V209" s="774"/>
      <c r="W209" s="774"/>
      <c r="X209" s="777"/>
      <c r="Y209" s="777"/>
      <c r="Z209" s="801"/>
    </row>
    <row r="210" spans="1:54" ht="15.75" customHeight="1">
      <c r="A210" s="775">
        <v>2</v>
      </c>
      <c r="B210" s="774" t="s">
        <v>1328</v>
      </c>
      <c r="C210" s="774" t="s">
        <v>1324</v>
      </c>
      <c r="D210" s="774" t="s">
        <v>1328</v>
      </c>
      <c r="E210" s="774" t="s">
        <v>1328</v>
      </c>
      <c r="F210" s="774" t="e">
        <v>#N/A</v>
      </c>
      <c r="G210" s="774" t="s">
        <v>1325</v>
      </c>
      <c r="H210" s="775" t="s">
        <v>1073</v>
      </c>
      <c r="I210" s="776" t="s">
        <v>1074</v>
      </c>
      <c r="J210" s="776" t="str">
        <f>VLOOKUP(D210,[5]Sheet1!$D$1:$D$65536,1,0)</f>
        <v>RMCH06-222FPA</v>
      </c>
      <c r="K210" s="775" t="s">
        <v>28</v>
      </c>
      <c r="L210" s="775"/>
      <c r="M210" s="775"/>
      <c r="N210" s="774" t="s">
        <v>294</v>
      </c>
      <c r="O210" s="774">
        <v>2.7390000000000001E-3</v>
      </c>
      <c r="P210" s="774"/>
      <c r="Q210" s="774"/>
      <c r="R210" s="774">
        <f t="shared" si="18"/>
        <v>2.8348649999999998E-3</v>
      </c>
      <c r="S210" s="774">
        <f t="shared" si="17"/>
        <v>2.8348649999999998E-3</v>
      </c>
      <c r="T210" s="774"/>
      <c r="U210" s="774" t="s">
        <v>1443</v>
      </c>
      <c r="V210" s="774"/>
      <c r="W210" s="774"/>
      <c r="X210" s="777"/>
      <c r="Y210" s="777"/>
      <c r="Z210" s="801"/>
    </row>
    <row r="211" spans="1:54" ht="15.75" customHeight="1">
      <c r="A211" s="775">
        <v>2</v>
      </c>
      <c r="B211" s="774" t="s">
        <v>1329</v>
      </c>
      <c r="C211" s="774" t="s">
        <v>1324</v>
      </c>
      <c r="D211" s="774" t="s">
        <v>1329</v>
      </c>
      <c r="E211" s="774" t="s">
        <v>1329</v>
      </c>
      <c r="F211" s="774" t="e">
        <v>#N/A</v>
      </c>
      <c r="G211" s="774" t="s">
        <v>1325</v>
      </c>
      <c r="H211" s="775" t="s">
        <v>1073</v>
      </c>
      <c r="I211" s="776" t="s">
        <v>1074</v>
      </c>
      <c r="J211" s="776" t="str">
        <f>VLOOKUP(D211,[5]Sheet1!$D$1:$D$65536,1,0)</f>
        <v>ERJ1GJF2201C</v>
      </c>
      <c r="K211" s="775" t="s">
        <v>28</v>
      </c>
      <c r="L211" s="775"/>
      <c r="M211" s="775"/>
      <c r="N211" s="774" t="s">
        <v>289</v>
      </c>
      <c r="O211" s="774"/>
      <c r="P211" s="774"/>
      <c r="Q211" s="774"/>
      <c r="R211" s="774">
        <f t="shared" si="18"/>
        <v>0</v>
      </c>
      <c r="S211" s="774">
        <f t="shared" si="17"/>
        <v>0</v>
      </c>
      <c r="T211" s="774"/>
      <c r="U211" s="774"/>
      <c r="V211" s="774"/>
      <c r="W211" s="774"/>
      <c r="X211" s="777"/>
      <c r="Y211" s="777"/>
      <c r="Z211" s="801"/>
    </row>
    <row r="212" spans="1:54" s="658" customFormat="1">
      <c r="A212" s="775">
        <v>2</v>
      </c>
      <c r="B212" s="774" t="s">
        <v>1330</v>
      </c>
      <c r="C212" s="774" t="s">
        <v>1331</v>
      </c>
      <c r="D212" s="774" t="s">
        <v>1330</v>
      </c>
      <c r="E212" s="774" t="s">
        <v>1330</v>
      </c>
      <c r="F212" s="774" t="e">
        <v>#N/A</v>
      </c>
      <c r="G212" s="774" t="s">
        <v>1332</v>
      </c>
      <c r="H212" s="775" t="s">
        <v>1073</v>
      </c>
      <c r="I212" s="776" t="s">
        <v>1074</v>
      </c>
      <c r="J212" s="776" t="str">
        <f>VLOOKUP(D212,[5]Sheet1!$D$1:$D$65536,1,0)</f>
        <v>AC0201FR-07330KL</v>
      </c>
      <c r="K212" s="775" t="s">
        <v>28</v>
      </c>
      <c r="L212" s="775">
        <v>1</v>
      </c>
      <c r="M212" s="775">
        <v>1</v>
      </c>
      <c r="N212" s="774" t="s">
        <v>296</v>
      </c>
      <c r="O212" s="774">
        <v>5.9999999999999995E-4</v>
      </c>
      <c r="P212" s="774">
        <f>VLOOKUP(D212,'EEBOM Feb.2nd2026'!$D:$N,11,0)</f>
        <v>5.9999999999999995E-4</v>
      </c>
      <c r="Q212" s="774">
        <f>O212-P212</f>
        <v>0</v>
      </c>
      <c r="R212" s="774">
        <f t="shared" si="18"/>
        <v>6.2099999999999992E-4</v>
      </c>
      <c r="S212" s="774">
        <f t="shared" si="17"/>
        <v>6.2099999999999992E-4</v>
      </c>
      <c r="T212" s="774">
        <f>R212*M212</f>
        <v>6.2099999999999992E-4</v>
      </c>
      <c r="U212" s="774" t="s">
        <v>1470</v>
      </c>
      <c r="V212" s="774">
        <v>10000</v>
      </c>
      <c r="W212" s="774">
        <v>10</v>
      </c>
      <c r="X212" s="777" t="s">
        <v>1472</v>
      </c>
      <c r="Y212" s="777" t="s">
        <v>1448</v>
      </c>
      <c r="Z212" s="801" t="s">
        <v>1333</v>
      </c>
      <c r="AA212" s="753"/>
      <c r="AB212" s="753"/>
      <c r="AC212" s="753"/>
      <c r="AD212" s="753"/>
      <c r="AE212" s="753"/>
      <c r="AF212" s="753"/>
      <c r="AG212" s="753"/>
      <c r="AH212" s="753"/>
      <c r="AI212" s="753"/>
      <c r="AJ212" s="753"/>
      <c r="AK212" s="753"/>
      <c r="AL212" s="753"/>
      <c r="AM212" s="753"/>
      <c r="AN212" s="753"/>
      <c r="AO212" s="753"/>
      <c r="AP212" s="753"/>
      <c r="AQ212" s="753"/>
      <c r="AR212" s="753"/>
      <c r="AS212" s="753"/>
      <c r="AT212" s="753"/>
      <c r="AU212" s="753"/>
      <c r="AV212" s="753"/>
      <c r="AW212" s="753"/>
      <c r="AX212" s="753"/>
      <c r="AY212" s="753"/>
      <c r="AZ212" s="753"/>
      <c r="BA212" s="753"/>
      <c r="BB212" s="753"/>
    </row>
    <row r="213" spans="1:54" ht="15.75" customHeight="1">
      <c r="A213" s="775">
        <v>2</v>
      </c>
      <c r="B213" s="774" t="s">
        <v>1334</v>
      </c>
      <c r="C213" s="774" t="s">
        <v>1331</v>
      </c>
      <c r="D213" s="774" t="s">
        <v>1334</v>
      </c>
      <c r="E213" s="774" t="s">
        <v>1334</v>
      </c>
      <c r="F213" s="774" t="e">
        <v>#N/A</v>
      </c>
      <c r="G213" s="774" t="s">
        <v>1332</v>
      </c>
      <c r="H213" s="775" t="s">
        <v>1073</v>
      </c>
      <c r="I213" s="776" t="s">
        <v>1074</v>
      </c>
      <c r="J213" s="776" t="str">
        <f>VLOOKUP(D213,[5]Sheet1!$D$1:$D$65536,1,0)</f>
        <v>RK73H1HTTC3303F</v>
      </c>
      <c r="K213" s="775" t="s">
        <v>28</v>
      </c>
      <c r="L213" s="775"/>
      <c r="M213" s="775"/>
      <c r="N213" s="774" t="s">
        <v>292</v>
      </c>
      <c r="O213" s="774">
        <v>1.5139999999999999E-3</v>
      </c>
      <c r="P213" s="774"/>
      <c r="Q213" s="774"/>
      <c r="R213" s="774">
        <f t="shared" si="18"/>
        <v>1.5669899999999999E-3</v>
      </c>
      <c r="S213" s="774">
        <f t="shared" si="17"/>
        <v>1.5669899999999999E-3</v>
      </c>
      <c r="T213" s="774"/>
      <c r="U213" s="774" t="s">
        <v>1443</v>
      </c>
      <c r="V213" s="774"/>
      <c r="W213" s="774"/>
      <c r="X213" s="777"/>
      <c r="Y213" s="777"/>
      <c r="Z213" s="801"/>
    </row>
    <row r="214" spans="1:54" ht="15.75" customHeight="1">
      <c r="A214" s="775">
        <v>2</v>
      </c>
      <c r="B214" s="774" t="s">
        <v>1335</v>
      </c>
      <c r="C214" s="774" t="s">
        <v>1331</v>
      </c>
      <c r="D214" s="774" t="s">
        <v>1335</v>
      </c>
      <c r="E214" s="774" t="s">
        <v>1335</v>
      </c>
      <c r="F214" s="774" t="e">
        <v>#N/A</v>
      </c>
      <c r="G214" s="774" t="s">
        <v>1332</v>
      </c>
      <c r="H214" s="775" t="s">
        <v>1073</v>
      </c>
      <c r="I214" s="776" t="s">
        <v>1074</v>
      </c>
      <c r="J214" s="776" t="str">
        <f>VLOOKUP(D214,[5]Sheet1!$D$1:$D$65536,1,0)</f>
        <v>ERJ1GJF3303C</v>
      </c>
      <c r="K214" s="775" t="s">
        <v>28</v>
      </c>
      <c r="L214" s="775"/>
      <c r="M214" s="775"/>
      <c r="N214" s="774" t="s">
        <v>289</v>
      </c>
      <c r="O214" s="774"/>
      <c r="P214" s="774"/>
      <c r="Q214" s="774"/>
      <c r="R214" s="774">
        <f t="shared" si="18"/>
        <v>0</v>
      </c>
      <c r="S214" s="774">
        <f t="shared" si="17"/>
        <v>0</v>
      </c>
      <c r="T214" s="774"/>
      <c r="U214" s="774"/>
      <c r="V214" s="774"/>
      <c r="W214" s="774"/>
      <c r="X214" s="777"/>
      <c r="Y214" s="777"/>
      <c r="Z214" s="801"/>
    </row>
    <row r="215" spans="1:54" ht="15.75" customHeight="1">
      <c r="A215" s="775">
        <v>2</v>
      </c>
      <c r="B215" s="774" t="s">
        <v>1336</v>
      </c>
      <c r="C215" s="774" t="s">
        <v>1331</v>
      </c>
      <c r="D215" s="774" t="s">
        <v>1336</v>
      </c>
      <c r="E215" s="774" t="s">
        <v>1336</v>
      </c>
      <c r="F215" s="774" t="e">
        <v>#N/A</v>
      </c>
      <c r="G215" s="774" t="s">
        <v>1332</v>
      </c>
      <c r="H215" s="775" t="s">
        <v>1073</v>
      </c>
      <c r="I215" s="776" t="s">
        <v>1074</v>
      </c>
      <c r="J215" s="776" t="str">
        <f>VLOOKUP(D215,[5]Sheet1!$D$1:$D$65536,1,0)</f>
        <v>RMCH06-334FPA</v>
      </c>
      <c r="K215" s="775" t="s">
        <v>28</v>
      </c>
      <c r="L215" s="775"/>
      <c r="M215" s="775"/>
      <c r="N215" s="774" t="s">
        <v>294</v>
      </c>
      <c r="O215" s="774">
        <v>2.7390000000000001E-3</v>
      </c>
      <c r="P215" s="774"/>
      <c r="Q215" s="774"/>
      <c r="R215" s="774">
        <f t="shared" si="18"/>
        <v>2.8348649999999998E-3</v>
      </c>
      <c r="S215" s="774">
        <f t="shared" si="17"/>
        <v>2.8348649999999998E-3</v>
      </c>
      <c r="T215" s="774"/>
      <c r="U215" s="774" t="s">
        <v>1443</v>
      </c>
      <c r="V215" s="774"/>
      <c r="W215" s="774"/>
      <c r="X215" s="777"/>
      <c r="Y215" s="777"/>
      <c r="Z215" s="801"/>
    </row>
    <row r="216" spans="1:54" ht="15.75" customHeight="1">
      <c r="A216" s="775">
        <v>2</v>
      </c>
      <c r="B216" s="774" t="s">
        <v>1337</v>
      </c>
      <c r="C216" s="774" t="s">
        <v>1338</v>
      </c>
      <c r="D216" s="774" t="s">
        <v>1337</v>
      </c>
      <c r="E216" s="774" t="s">
        <v>1337</v>
      </c>
      <c r="F216" s="774" t="e">
        <v>#N/A</v>
      </c>
      <c r="G216" s="774" t="s">
        <v>1339</v>
      </c>
      <c r="H216" s="775" t="s">
        <v>1073</v>
      </c>
      <c r="I216" s="776" t="s">
        <v>1074</v>
      </c>
      <c r="J216" s="776" t="str">
        <f>VLOOKUP(D216,[5]Sheet1!$D$1:$D$65536,1,0)</f>
        <v>CRCW0603220KFKEA</v>
      </c>
      <c r="K216" s="775" t="s">
        <v>28</v>
      </c>
      <c r="L216" s="775">
        <v>1</v>
      </c>
      <c r="M216" s="775"/>
      <c r="N216" s="774" t="s">
        <v>368</v>
      </c>
      <c r="O216" s="774">
        <v>9.5600000000000004E-4</v>
      </c>
      <c r="P216" s="774"/>
      <c r="Q216" s="774"/>
      <c r="R216" s="774">
        <f t="shared" si="18"/>
        <v>9.8945999999999995E-4</v>
      </c>
      <c r="S216" s="774">
        <f t="shared" si="17"/>
        <v>3.6846000000000003E-4</v>
      </c>
      <c r="T216" s="774"/>
      <c r="U216" s="774" t="s">
        <v>1443</v>
      </c>
      <c r="V216" s="774"/>
      <c r="W216" s="774"/>
      <c r="X216" s="777"/>
      <c r="Y216" s="777"/>
      <c r="Z216" s="801" t="s">
        <v>1340</v>
      </c>
    </row>
    <row r="217" spans="1:54" s="658" customFormat="1" ht="15.75" customHeight="1">
      <c r="A217" s="775">
        <v>2</v>
      </c>
      <c r="B217" s="774" t="s">
        <v>1341</v>
      </c>
      <c r="C217" s="774" t="s">
        <v>1338</v>
      </c>
      <c r="D217" s="774" t="s">
        <v>1341</v>
      </c>
      <c r="E217" s="774" t="s">
        <v>1341</v>
      </c>
      <c r="F217" s="774" t="e">
        <v>#N/A</v>
      </c>
      <c r="G217" s="774" t="s">
        <v>1339</v>
      </c>
      <c r="H217" s="775" t="s">
        <v>1073</v>
      </c>
      <c r="I217" s="776" t="s">
        <v>1074</v>
      </c>
      <c r="J217" s="776" t="str">
        <f>VLOOKUP(D217,[5]Sheet1!$D$1:$D$65536,1,0)</f>
        <v>AC0603FR-07220KL</v>
      </c>
      <c r="K217" s="775" t="s">
        <v>28</v>
      </c>
      <c r="L217" s="775"/>
      <c r="M217" s="775">
        <v>1</v>
      </c>
      <c r="N217" s="774" t="s">
        <v>296</v>
      </c>
      <c r="O217" s="774">
        <v>5.9999999999999995E-4</v>
      </c>
      <c r="P217" s="774">
        <f>VLOOKUP(D217,'EEBOM Feb.2nd2026'!$D:$N,11,0)</f>
        <v>5.9999999999999995E-4</v>
      </c>
      <c r="Q217" s="774">
        <f>O217-P217</f>
        <v>0</v>
      </c>
      <c r="R217" s="774">
        <f t="shared" si="18"/>
        <v>6.2099999999999992E-4</v>
      </c>
      <c r="S217" s="774">
        <f t="shared" si="17"/>
        <v>0</v>
      </c>
      <c r="T217" s="774">
        <f>R217*M217</f>
        <v>6.2099999999999992E-4</v>
      </c>
      <c r="U217" s="774" t="s">
        <v>1470</v>
      </c>
      <c r="V217" s="774">
        <v>10000</v>
      </c>
      <c r="W217" s="774">
        <v>10</v>
      </c>
      <c r="X217" s="777" t="s">
        <v>1472</v>
      </c>
      <c r="Y217" s="777" t="s">
        <v>1448</v>
      </c>
      <c r="Z217" s="801"/>
      <c r="AA217" s="753"/>
      <c r="AB217" s="753"/>
      <c r="AC217" s="753"/>
      <c r="AD217" s="753"/>
      <c r="AE217" s="753"/>
      <c r="AF217" s="753"/>
      <c r="AG217" s="753"/>
      <c r="AH217" s="753"/>
      <c r="AI217" s="753"/>
      <c r="AJ217" s="753"/>
      <c r="AK217" s="753"/>
      <c r="AL217" s="753"/>
      <c r="AM217" s="753"/>
      <c r="AN217" s="753"/>
      <c r="AO217" s="753"/>
      <c r="AP217" s="753"/>
      <c r="AQ217" s="753"/>
      <c r="AR217" s="753"/>
      <c r="AS217" s="753"/>
      <c r="AT217" s="753"/>
      <c r="AU217" s="753"/>
      <c r="AV217" s="753"/>
      <c r="AW217" s="753"/>
      <c r="AX217" s="753"/>
      <c r="AY217" s="753"/>
      <c r="AZ217" s="753"/>
      <c r="BA217" s="753"/>
      <c r="BB217" s="753"/>
    </row>
    <row r="218" spans="1:54" ht="15.75" customHeight="1">
      <c r="A218" s="775">
        <v>2</v>
      </c>
      <c r="B218" s="774" t="s">
        <v>1342</v>
      </c>
      <c r="C218" s="774" t="s">
        <v>1338</v>
      </c>
      <c r="D218" s="774" t="s">
        <v>1342</v>
      </c>
      <c r="E218" s="774" t="s">
        <v>1342</v>
      </c>
      <c r="F218" s="774" t="e">
        <v>#N/A</v>
      </c>
      <c r="G218" s="774" t="s">
        <v>1339</v>
      </c>
      <c r="H218" s="775" t="s">
        <v>1073</v>
      </c>
      <c r="I218" s="776" t="s">
        <v>1074</v>
      </c>
      <c r="J218" s="776" t="str">
        <f>VLOOKUP(D218,[5]Sheet1!$D$1:$D$65536,1,0)</f>
        <v>RK73H1JTTD2203F</v>
      </c>
      <c r="K218" s="775" t="s">
        <v>28</v>
      </c>
      <c r="L218" s="775"/>
      <c r="M218" s="775"/>
      <c r="N218" s="774" t="s">
        <v>292</v>
      </c>
      <c r="O218" s="774">
        <v>9.8200000000000002E-4</v>
      </c>
      <c r="P218" s="774"/>
      <c r="Q218" s="774"/>
      <c r="R218" s="774">
        <f t="shared" si="18"/>
        <v>1.0163699999999999E-3</v>
      </c>
      <c r="S218" s="774">
        <f t="shared" si="17"/>
        <v>3.9537000000000003E-4</v>
      </c>
      <c r="T218" s="774"/>
      <c r="U218" s="774" t="s">
        <v>1443</v>
      </c>
      <c r="V218" s="774"/>
      <c r="W218" s="774"/>
      <c r="X218" s="777"/>
      <c r="Y218" s="777"/>
      <c r="Z218" s="801"/>
    </row>
    <row r="219" spans="1:54" ht="15.75" customHeight="1">
      <c r="A219" s="775">
        <v>2</v>
      </c>
      <c r="B219" s="774" t="s">
        <v>1343</v>
      </c>
      <c r="C219" s="774" t="s">
        <v>1338</v>
      </c>
      <c r="D219" s="774" t="s">
        <v>1343</v>
      </c>
      <c r="E219" s="774" t="s">
        <v>1343</v>
      </c>
      <c r="F219" s="774" t="e">
        <v>#N/A</v>
      </c>
      <c r="G219" s="774" t="s">
        <v>1339</v>
      </c>
      <c r="H219" s="775" t="s">
        <v>1073</v>
      </c>
      <c r="I219" s="776" t="s">
        <v>1074</v>
      </c>
      <c r="J219" s="776" t="str">
        <f>VLOOKUP(D219,[5]Sheet1!$D$1:$D$65536,1,0)</f>
        <v>RMCH16K224FTP</v>
      </c>
      <c r="K219" s="775" t="s">
        <v>28</v>
      </c>
      <c r="L219" s="775"/>
      <c r="M219" s="775"/>
      <c r="N219" s="774" t="s">
        <v>294</v>
      </c>
      <c r="O219" s="774">
        <v>1.8890000000000001E-3</v>
      </c>
      <c r="P219" s="774"/>
      <c r="Q219" s="774"/>
      <c r="R219" s="774">
        <f t="shared" si="18"/>
        <v>1.9551149999999999E-3</v>
      </c>
      <c r="S219" s="774">
        <f t="shared" si="17"/>
        <v>1.3341149999999999E-3</v>
      </c>
      <c r="T219" s="774"/>
      <c r="U219" s="774" t="s">
        <v>1443</v>
      </c>
      <c r="V219" s="774"/>
      <c r="W219" s="774"/>
      <c r="X219" s="777"/>
      <c r="Y219" s="777"/>
      <c r="Z219" s="801"/>
    </row>
    <row r="220" spans="1:54" s="658" customFormat="1" ht="15.75" customHeight="1">
      <c r="A220" s="775">
        <v>2</v>
      </c>
      <c r="B220" s="774" t="s">
        <v>1344</v>
      </c>
      <c r="C220" s="774" t="s">
        <v>1345</v>
      </c>
      <c r="D220" s="774" t="s">
        <v>1344</v>
      </c>
      <c r="E220" s="774" t="s">
        <v>1344</v>
      </c>
      <c r="F220" s="774" t="e">
        <v>#N/A</v>
      </c>
      <c r="G220" s="774" t="s">
        <v>1346</v>
      </c>
      <c r="H220" s="775" t="s">
        <v>1073</v>
      </c>
      <c r="I220" s="776" t="s">
        <v>1074</v>
      </c>
      <c r="J220" s="776" t="str">
        <f>VLOOKUP(D220,[5]Sheet1!$D$1:$D$65536,1,0)</f>
        <v>AC0201FR-076K8L</v>
      </c>
      <c r="K220" s="775" t="s">
        <v>28</v>
      </c>
      <c r="L220" s="775">
        <v>2</v>
      </c>
      <c r="M220" s="775">
        <v>2</v>
      </c>
      <c r="N220" s="774" t="s">
        <v>296</v>
      </c>
      <c r="O220" s="774">
        <v>5.9999999999999995E-4</v>
      </c>
      <c r="P220" s="774">
        <f>VLOOKUP(D220,'EEBOM Feb.2nd2026'!$D:$N,11,0)</f>
        <v>5.9999999999999995E-4</v>
      </c>
      <c r="Q220" s="774">
        <f>O220-P220</f>
        <v>0</v>
      </c>
      <c r="R220" s="774">
        <f t="shared" si="18"/>
        <v>6.2099999999999992E-4</v>
      </c>
      <c r="S220" s="774">
        <f t="shared" si="17"/>
        <v>6.2099999999999992E-4</v>
      </c>
      <c r="T220" s="774">
        <f>R220*M220</f>
        <v>1.2419999999999998E-3</v>
      </c>
      <c r="U220" s="774" t="s">
        <v>1470</v>
      </c>
      <c r="V220" s="774">
        <v>10000</v>
      </c>
      <c r="W220" s="774">
        <v>10</v>
      </c>
      <c r="X220" s="777" t="s">
        <v>1472</v>
      </c>
      <c r="Y220" s="777" t="s">
        <v>1448</v>
      </c>
      <c r="Z220" s="801" t="s">
        <v>1347</v>
      </c>
      <c r="AA220" s="753"/>
      <c r="AB220" s="753"/>
      <c r="AC220" s="753"/>
      <c r="AD220" s="753"/>
      <c r="AE220" s="753"/>
      <c r="AF220" s="753"/>
      <c r="AG220" s="753"/>
      <c r="AH220" s="753"/>
      <c r="AI220" s="753"/>
      <c r="AJ220" s="753"/>
      <c r="AK220" s="753"/>
      <c r="AL220" s="753"/>
      <c r="AM220" s="753"/>
      <c r="AN220" s="753"/>
      <c r="AO220" s="753"/>
      <c r="AP220" s="753"/>
      <c r="AQ220" s="753"/>
      <c r="AR220" s="753"/>
      <c r="AS220" s="753"/>
      <c r="AT220" s="753"/>
      <c r="AU220" s="753"/>
      <c r="AV220" s="753"/>
      <c r="AW220" s="753"/>
      <c r="AX220" s="753"/>
      <c r="AY220" s="753"/>
      <c r="AZ220" s="753"/>
      <c r="BA220" s="753"/>
      <c r="BB220" s="753"/>
    </row>
    <row r="221" spans="1:54" ht="15.75" customHeight="1">
      <c r="A221" s="775">
        <v>2</v>
      </c>
      <c r="B221" s="774" t="s">
        <v>1348</v>
      </c>
      <c r="C221" s="774" t="s">
        <v>1345</v>
      </c>
      <c r="D221" s="774" t="s">
        <v>1348</v>
      </c>
      <c r="E221" s="774" t="s">
        <v>1348</v>
      </c>
      <c r="F221" s="774" t="e">
        <v>#N/A</v>
      </c>
      <c r="G221" s="774" t="s">
        <v>1346</v>
      </c>
      <c r="H221" s="775" t="s">
        <v>1073</v>
      </c>
      <c r="I221" s="776" t="s">
        <v>1074</v>
      </c>
      <c r="J221" s="776" t="str">
        <f>VLOOKUP(D221,[5]Sheet1!$D$1:$D$65536,1,0)</f>
        <v>RK73H1HTTC6801F</v>
      </c>
      <c r="K221" s="775" t="s">
        <v>28</v>
      </c>
      <c r="L221" s="775"/>
      <c r="M221" s="775"/>
      <c r="N221" s="774" t="s">
        <v>292</v>
      </c>
      <c r="O221" s="774">
        <v>1.5139999999999999E-3</v>
      </c>
      <c r="P221" s="774"/>
      <c r="Q221" s="774"/>
      <c r="R221" s="774">
        <f t="shared" si="18"/>
        <v>1.5669899999999999E-3</v>
      </c>
      <c r="S221" s="774">
        <f t="shared" si="17"/>
        <v>1.5669899999999999E-3</v>
      </c>
      <c r="T221" s="774"/>
      <c r="U221" s="774" t="s">
        <v>1443</v>
      </c>
      <c r="V221" s="774"/>
      <c r="W221" s="774"/>
      <c r="X221" s="777"/>
      <c r="Y221" s="777"/>
      <c r="Z221" s="801"/>
    </row>
    <row r="222" spans="1:54" ht="15.75" customHeight="1">
      <c r="A222" s="775">
        <v>2</v>
      </c>
      <c r="B222" s="774" t="s">
        <v>1349</v>
      </c>
      <c r="C222" s="774" t="s">
        <v>1345</v>
      </c>
      <c r="D222" s="774" t="s">
        <v>1349</v>
      </c>
      <c r="E222" s="774" t="s">
        <v>1349</v>
      </c>
      <c r="F222" s="774" t="e">
        <v>#N/A</v>
      </c>
      <c r="G222" s="774" t="s">
        <v>1346</v>
      </c>
      <c r="H222" s="775" t="s">
        <v>1073</v>
      </c>
      <c r="I222" s="776" t="s">
        <v>1074</v>
      </c>
      <c r="J222" s="776" t="str">
        <f>VLOOKUP(D222,[5]Sheet1!$D$1:$D$65536,1,0)</f>
        <v>RMCH06-682FPA</v>
      </c>
      <c r="K222" s="775" t="s">
        <v>28</v>
      </c>
      <c r="L222" s="775"/>
      <c r="M222" s="775"/>
      <c r="N222" s="774" t="s">
        <v>294</v>
      </c>
      <c r="O222" s="774">
        <v>2.7390000000000001E-3</v>
      </c>
      <c r="P222" s="774"/>
      <c r="Q222" s="774"/>
      <c r="R222" s="774">
        <f t="shared" si="18"/>
        <v>2.8348649999999998E-3</v>
      </c>
      <c r="S222" s="774">
        <f t="shared" si="17"/>
        <v>2.8348649999999998E-3</v>
      </c>
      <c r="T222" s="774"/>
      <c r="U222" s="774" t="s">
        <v>1443</v>
      </c>
      <c r="V222" s="774"/>
      <c r="W222" s="774"/>
      <c r="X222" s="777"/>
      <c r="Y222" s="777"/>
      <c r="Z222" s="801"/>
    </row>
    <row r="223" spans="1:54" ht="15.75" customHeight="1">
      <c r="A223" s="775">
        <v>2</v>
      </c>
      <c r="B223" s="774" t="s">
        <v>1350</v>
      </c>
      <c r="C223" s="774" t="s">
        <v>1345</v>
      </c>
      <c r="D223" s="774" t="s">
        <v>1350</v>
      </c>
      <c r="E223" s="774" t="s">
        <v>1350</v>
      </c>
      <c r="F223" s="774" t="e">
        <v>#N/A</v>
      </c>
      <c r="G223" s="774" t="s">
        <v>1346</v>
      </c>
      <c r="H223" s="775" t="s">
        <v>1073</v>
      </c>
      <c r="I223" s="776" t="s">
        <v>1074</v>
      </c>
      <c r="J223" s="776" t="str">
        <f>VLOOKUP(D223,[5]Sheet1!$D$1:$D$65536,1,0)</f>
        <v>ERJ1GJF6801C</v>
      </c>
      <c r="K223" s="775" t="s">
        <v>28</v>
      </c>
      <c r="L223" s="775"/>
      <c r="M223" s="775"/>
      <c r="N223" s="774" t="s">
        <v>289</v>
      </c>
      <c r="O223" s="774"/>
      <c r="P223" s="774"/>
      <c r="Q223" s="774"/>
      <c r="R223" s="774">
        <f t="shared" si="18"/>
        <v>0</v>
      </c>
      <c r="S223" s="774">
        <f t="shared" si="17"/>
        <v>0</v>
      </c>
      <c r="T223" s="774"/>
      <c r="U223" s="774"/>
      <c r="V223" s="774"/>
      <c r="W223" s="774"/>
      <c r="X223" s="777"/>
      <c r="Y223" s="777"/>
      <c r="Z223" s="801"/>
    </row>
    <row r="224" spans="1:54" s="658" customFormat="1" ht="15.75" customHeight="1">
      <c r="A224" s="775">
        <v>2</v>
      </c>
      <c r="B224" s="774" t="s">
        <v>261</v>
      </c>
      <c r="C224" s="774" t="s">
        <v>262</v>
      </c>
      <c r="D224" s="774" t="s">
        <v>261</v>
      </c>
      <c r="E224" s="774" t="s">
        <v>261</v>
      </c>
      <c r="F224" s="774" t="s">
        <v>261</v>
      </c>
      <c r="G224" s="774" t="s">
        <v>263</v>
      </c>
      <c r="H224" s="775" t="s">
        <v>1073</v>
      </c>
      <c r="I224" s="776" t="s">
        <v>1074</v>
      </c>
      <c r="J224" s="776" t="str">
        <f>VLOOKUP(D224,[5]Sheet1!$D$1:$D$65536,1,0)</f>
        <v>TPS1HC100BQPWPRQ1</v>
      </c>
      <c r="K224" s="775" t="s">
        <v>28</v>
      </c>
      <c r="L224" s="775">
        <v>3</v>
      </c>
      <c r="M224" s="775">
        <v>3</v>
      </c>
      <c r="N224" s="774" t="s">
        <v>1464</v>
      </c>
      <c r="O224" s="774">
        <v>0.17299999999999999</v>
      </c>
      <c r="P224" s="774"/>
      <c r="Q224" s="774"/>
      <c r="R224" s="774">
        <f t="shared" si="18"/>
        <v>0.17905499999999996</v>
      </c>
      <c r="S224" s="774">
        <f t="shared" si="17"/>
        <v>0</v>
      </c>
      <c r="T224" s="774">
        <f t="shared" ref="T224:T234" si="19">R224*M224</f>
        <v>0.53716499999999989</v>
      </c>
      <c r="U224" s="774" t="s">
        <v>1464</v>
      </c>
      <c r="V224" s="774">
        <v>3000</v>
      </c>
      <c r="W224" s="774">
        <v>6</v>
      </c>
      <c r="X224" s="777" t="s">
        <v>1444</v>
      </c>
      <c r="Y224" s="777" t="s">
        <v>1444</v>
      </c>
      <c r="Z224" s="801" t="s">
        <v>1351</v>
      </c>
      <c r="AA224" s="753"/>
      <c r="AB224" s="753"/>
      <c r="AC224" s="753"/>
      <c r="AD224" s="753"/>
      <c r="AE224" s="753"/>
      <c r="AF224" s="753"/>
      <c r="AG224" s="753"/>
      <c r="AH224" s="753"/>
      <c r="AI224" s="753"/>
      <c r="AJ224" s="753"/>
      <c r="AK224" s="753"/>
      <c r="AL224" s="753"/>
      <c r="AM224" s="753"/>
      <c r="AN224" s="753"/>
      <c r="AO224" s="753"/>
      <c r="AP224" s="753"/>
      <c r="AQ224" s="753"/>
      <c r="AR224" s="753"/>
      <c r="AS224" s="753"/>
      <c r="AT224" s="753"/>
      <c r="AU224" s="753"/>
      <c r="AV224" s="753"/>
      <c r="AW224" s="753"/>
      <c r="AX224" s="753"/>
      <c r="AY224" s="753"/>
      <c r="AZ224" s="753"/>
      <c r="BA224" s="753"/>
      <c r="BB224" s="753"/>
    </row>
    <row r="225" spans="1:54" s="658" customFormat="1" ht="15.75" customHeight="1">
      <c r="A225" s="775">
        <v>2</v>
      </c>
      <c r="B225" s="774" t="s">
        <v>422</v>
      </c>
      <c r="C225" s="774" t="s">
        <v>423</v>
      </c>
      <c r="D225" s="774" t="s">
        <v>422</v>
      </c>
      <c r="E225" s="774" t="s">
        <v>422</v>
      </c>
      <c r="F225" s="774" t="s">
        <v>422</v>
      </c>
      <c r="G225" s="774" t="s">
        <v>424</v>
      </c>
      <c r="H225" s="775" t="s">
        <v>1073</v>
      </c>
      <c r="I225" s="776" t="s">
        <v>1074</v>
      </c>
      <c r="J225" s="776" t="str">
        <f>VLOOKUP(D225,[5]Sheet1!$D$1:$D$65536,1,0)</f>
        <v>TPS7B4255QDBVRQ1</v>
      </c>
      <c r="K225" s="775" t="s">
        <v>28</v>
      </c>
      <c r="L225" s="775">
        <v>2</v>
      </c>
      <c r="M225" s="775">
        <v>2</v>
      </c>
      <c r="N225" s="774" t="s">
        <v>1464</v>
      </c>
      <c r="O225" s="774">
        <v>8.8999999999999996E-2</v>
      </c>
      <c r="P225" s="774"/>
      <c r="Q225" s="774"/>
      <c r="R225" s="774">
        <f t="shared" si="18"/>
        <v>9.2114999999999989E-2</v>
      </c>
      <c r="S225" s="774">
        <f t="shared" si="17"/>
        <v>0</v>
      </c>
      <c r="T225" s="774">
        <f t="shared" si="19"/>
        <v>0.18422999999999998</v>
      </c>
      <c r="U225" s="774" t="s">
        <v>1464</v>
      </c>
      <c r="V225" s="774">
        <v>3000</v>
      </c>
      <c r="W225" s="774">
        <v>6</v>
      </c>
      <c r="X225" s="777" t="s">
        <v>1444</v>
      </c>
      <c r="Y225" s="777" t="s">
        <v>1444</v>
      </c>
      <c r="Z225" s="801" t="s">
        <v>1352</v>
      </c>
      <c r="AA225" s="753"/>
      <c r="AB225" s="753"/>
      <c r="AC225" s="753"/>
      <c r="AD225" s="753"/>
      <c r="AE225" s="753"/>
      <c r="AF225" s="753"/>
      <c r="AG225" s="753"/>
      <c r="AH225" s="753"/>
      <c r="AI225" s="753"/>
      <c r="AJ225" s="753"/>
      <c r="AK225" s="753"/>
      <c r="AL225" s="753"/>
      <c r="AM225" s="753"/>
      <c r="AN225" s="753"/>
      <c r="AO225" s="753"/>
      <c r="AP225" s="753"/>
      <c r="AQ225" s="753"/>
      <c r="AR225" s="753"/>
      <c r="AS225" s="753"/>
      <c r="AT225" s="753"/>
      <c r="AU225" s="753"/>
      <c r="AV225" s="753"/>
      <c r="AW225" s="753"/>
      <c r="AX225" s="753"/>
      <c r="AY225" s="753"/>
      <c r="AZ225" s="753"/>
      <c r="BA225" s="753"/>
      <c r="BB225" s="753"/>
    </row>
    <row r="226" spans="1:54" s="658" customFormat="1" ht="15.75" customHeight="1">
      <c r="A226" s="775">
        <v>2</v>
      </c>
      <c r="B226" s="774" t="s">
        <v>1353</v>
      </c>
      <c r="C226" s="774" t="s">
        <v>1354</v>
      </c>
      <c r="D226" s="774" t="s">
        <v>1353</v>
      </c>
      <c r="E226" s="774" t="s">
        <v>1353</v>
      </c>
      <c r="F226" s="774" t="e">
        <v>#N/A</v>
      </c>
      <c r="G226" s="774" t="s">
        <v>1355</v>
      </c>
      <c r="H226" s="775" t="s">
        <v>1073</v>
      </c>
      <c r="I226" s="776" t="s">
        <v>1074</v>
      </c>
      <c r="J226" s="776" t="str">
        <f>VLOOKUP(D226,[5]Sheet1!$D$1:$D$65536,1,0)</f>
        <v>LMR36503MSCQRPERQ1</v>
      </c>
      <c r="K226" s="775" t="s">
        <v>28</v>
      </c>
      <c r="L226" s="775">
        <v>1</v>
      </c>
      <c r="M226" s="775">
        <v>1</v>
      </c>
      <c r="N226" s="774" t="s">
        <v>1464</v>
      </c>
      <c r="O226" s="774">
        <v>0.34899999999999998</v>
      </c>
      <c r="P226" s="774"/>
      <c r="Q226" s="774"/>
      <c r="R226" s="774">
        <f t="shared" si="18"/>
        <v>0.36121499999999995</v>
      </c>
      <c r="S226" s="774">
        <f t="shared" si="17"/>
        <v>0</v>
      </c>
      <c r="T226" s="774">
        <f t="shared" si="19"/>
        <v>0.36121499999999995</v>
      </c>
      <c r="U226" s="774" t="s">
        <v>1464</v>
      </c>
      <c r="V226" s="774">
        <v>3000</v>
      </c>
      <c r="W226" s="774">
        <v>12</v>
      </c>
      <c r="X226" s="777" t="s">
        <v>1444</v>
      </c>
      <c r="Y226" s="777" t="s">
        <v>1444</v>
      </c>
      <c r="Z226" s="801" t="s">
        <v>559</v>
      </c>
      <c r="AA226" s="753"/>
      <c r="AB226" s="753"/>
      <c r="AC226" s="753"/>
      <c r="AD226" s="753"/>
      <c r="AE226" s="753"/>
      <c r="AF226" s="753"/>
      <c r="AG226" s="753"/>
      <c r="AH226" s="753"/>
      <c r="AI226" s="753"/>
      <c r="AJ226" s="753"/>
      <c r="AK226" s="753"/>
      <c r="AL226" s="753"/>
      <c r="AM226" s="753"/>
      <c r="AN226" s="753"/>
      <c r="AO226" s="753"/>
      <c r="AP226" s="753"/>
      <c r="AQ226" s="753"/>
      <c r="AR226" s="753"/>
      <c r="AS226" s="753"/>
      <c r="AT226" s="753"/>
      <c r="AU226" s="753"/>
      <c r="AV226" s="753"/>
      <c r="AW226" s="753"/>
      <c r="AX226" s="753"/>
      <c r="AY226" s="753"/>
      <c r="AZ226" s="753"/>
      <c r="BA226" s="753"/>
      <c r="BB226" s="753"/>
    </row>
    <row r="227" spans="1:54" s="658" customFormat="1" ht="15.75" customHeight="1">
      <c r="A227" s="775">
        <v>2</v>
      </c>
      <c r="B227" s="774" t="s">
        <v>1356</v>
      </c>
      <c r="C227" s="774" t="s">
        <v>1357</v>
      </c>
      <c r="D227" s="774" t="s">
        <v>1405</v>
      </c>
      <c r="E227" s="774" t="s">
        <v>1356</v>
      </c>
      <c r="F227" s="774" t="e">
        <v>#N/A</v>
      </c>
      <c r="G227" s="774" t="s">
        <v>1358</v>
      </c>
      <c r="H227" s="775" t="s">
        <v>1073</v>
      </c>
      <c r="I227" s="776" t="s">
        <v>1074</v>
      </c>
      <c r="J227" s="776" t="str">
        <f>VLOOKUP(D227,[5]Sheet1!$D$1:$D$65536,1,0)</f>
        <v>INA241A3QDDFRQ1</v>
      </c>
      <c r="K227" s="775" t="s">
        <v>28</v>
      </c>
      <c r="L227" s="775">
        <v>1</v>
      </c>
      <c r="M227" s="775">
        <v>1</v>
      </c>
      <c r="N227" s="774" t="s">
        <v>1464</v>
      </c>
      <c r="O227" s="774">
        <v>0.54</v>
      </c>
      <c r="P227" s="774">
        <f>VLOOKUP(D227,'EEBOM Feb.2nd2026'!$D:$N,11,0)</f>
        <v>0.7</v>
      </c>
      <c r="Q227" s="774">
        <f t="shared" ref="Q227:Q228" si="20">O227-P227</f>
        <v>-0.15999999999999992</v>
      </c>
      <c r="R227" s="774">
        <f t="shared" si="18"/>
        <v>0.55889999999999995</v>
      </c>
      <c r="S227" s="774">
        <f t="shared" si="17"/>
        <v>0</v>
      </c>
      <c r="T227" s="774">
        <f t="shared" si="19"/>
        <v>0.55889999999999995</v>
      </c>
      <c r="U227" s="774" t="s">
        <v>1464</v>
      </c>
      <c r="V227" s="774">
        <v>3000</v>
      </c>
      <c r="W227" s="774">
        <v>6</v>
      </c>
      <c r="X227" s="777" t="s">
        <v>1481</v>
      </c>
      <c r="Y227" s="777" t="s">
        <v>1448</v>
      </c>
      <c r="Z227" s="801" t="s">
        <v>1359</v>
      </c>
      <c r="AA227" s="753"/>
      <c r="AB227" s="753"/>
      <c r="AC227" s="753"/>
      <c r="AD227" s="753"/>
      <c r="AE227" s="753"/>
      <c r="AF227" s="753"/>
      <c r="AG227" s="753"/>
      <c r="AH227" s="753"/>
      <c r="AI227" s="753"/>
      <c r="AJ227" s="753"/>
      <c r="AK227" s="753"/>
      <c r="AL227" s="753"/>
      <c r="AM227" s="753"/>
      <c r="AN227" s="753"/>
      <c r="AO227" s="753"/>
      <c r="AP227" s="753"/>
      <c r="AQ227" s="753"/>
      <c r="AR227" s="753"/>
      <c r="AS227" s="753"/>
      <c r="AT227" s="753"/>
      <c r="AU227" s="753"/>
      <c r="AV227" s="753"/>
      <c r="AW227" s="753"/>
      <c r="AX227" s="753"/>
      <c r="AY227" s="753"/>
      <c r="AZ227" s="753"/>
      <c r="BA227" s="753"/>
      <c r="BB227" s="753"/>
    </row>
    <row r="228" spans="1:54" s="658" customFormat="1" ht="15.75" customHeight="1">
      <c r="A228" s="775">
        <v>2</v>
      </c>
      <c r="B228" s="774" t="s">
        <v>1360</v>
      </c>
      <c r="C228" s="774" t="s">
        <v>1361</v>
      </c>
      <c r="D228" s="774" t="s">
        <v>1406</v>
      </c>
      <c r="E228" s="774" t="s">
        <v>1360</v>
      </c>
      <c r="F228" s="774" t="e">
        <v>#N/A</v>
      </c>
      <c r="G228" s="774" t="s">
        <v>1362</v>
      </c>
      <c r="H228" s="775" t="s">
        <v>1073</v>
      </c>
      <c r="I228" s="776" t="s">
        <v>1074</v>
      </c>
      <c r="J228" s="776" t="str">
        <f>VLOOKUP(D228,[5]Sheet1!$D$1:$D$65536,1,0)</f>
        <v>TCA9517DGKRQ1</v>
      </c>
      <c r="K228" s="775" t="s">
        <v>28</v>
      </c>
      <c r="L228" s="775">
        <v>3</v>
      </c>
      <c r="M228" s="775">
        <v>3</v>
      </c>
      <c r="N228" s="774" t="s">
        <v>1464</v>
      </c>
      <c r="O228" s="774">
        <v>0.22700000000000001</v>
      </c>
      <c r="P228" s="774">
        <f>VLOOKUP(D228,'EEBOM Feb.2nd2026'!$D:$N,11,0)</f>
        <v>0.25</v>
      </c>
      <c r="Q228" s="774">
        <f t="shared" si="20"/>
        <v>-2.2999999999999993E-2</v>
      </c>
      <c r="R228" s="774">
        <f t="shared" si="18"/>
        <v>0.23494499999999999</v>
      </c>
      <c r="S228" s="774">
        <f t="shared" si="17"/>
        <v>0</v>
      </c>
      <c r="T228" s="774">
        <f t="shared" si="19"/>
        <v>0.70483499999999999</v>
      </c>
      <c r="U228" s="774" t="s">
        <v>1464</v>
      </c>
      <c r="V228" s="774">
        <v>2500</v>
      </c>
      <c r="W228" s="774">
        <v>12</v>
      </c>
      <c r="X228" s="777" t="s">
        <v>1481</v>
      </c>
      <c r="Y228" s="777" t="s">
        <v>1448</v>
      </c>
      <c r="Z228" s="801" t="s">
        <v>1363</v>
      </c>
      <c r="AA228" s="753"/>
      <c r="AB228" s="753"/>
      <c r="AC228" s="753"/>
      <c r="AD228" s="753"/>
      <c r="AE228" s="753"/>
      <c r="AF228" s="753"/>
      <c r="AG228" s="753"/>
      <c r="AH228" s="753"/>
      <c r="AI228" s="753"/>
      <c r="AJ228" s="753"/>
      <c r="AK228" s="753"/>
      <c r="AL228" s="753"/>
      <c r="AM228" s="753"/>
      <c r="AN228" s="753"/>
      <c r="AO228" s="753"/>
      <c r="AP228" s="753"/>
      <c r="AQ228" s="753"/>
      <c r="AR228" s="753"/>
      <c r="AS228" s="753"/>
      <c r="AT228" s="753"/>
      <c r="AU228" s="753"/>
      <c r="AV228" s="753"/>
      <c r="AW228" s="753"/>
      <c r="AX228" s="753"/>
      <c r="AY228" s="753"/>
      <c r="AZ228" s="753"/>
      <c r="BA228" s="753"/>
      <c r="BB228" s="753"/>
    </row>
    <row r="229" spans="1:54" s="658" customFormat="1" ht="15.75" customHeight="1">
      <c r="A229" s="775">
        <v>2</v>
      </c>
      <c r="B229" s="774" t="s">
        <v>569</v>
      </c>
      <c r="C229" s="774" t="s">
        <v>568</v>
      </c>
      <c r="D229" s="774" t="s">
        <v>569</v>
      </c>
      <c r="E229" s="774" t="s">
        <v>569</v>
      </c>
      <c r="F229" s="774" t="s">
        <v>569</v>
      </c>
      <c r="G229" s="774" t="s">
        <v>570</v>
      </c>
      <c r="H229" s="775" t="s">
        <v>1073</v>
      </c>
      <c r="I229" s="776" t="s">
        <v>1074</v>
      </c>
      <c r="J229" s="776" t="str">
        <f>VLOOKUP(D229,[5]Sheet1!$D$1:$D$65536,1,0)</f>
        <v>TMUX1308QBQBRQ1</v>
      </c>
      <c r="K229" s="775" t="s">
        <v>28</v>
      </c>
      <c r="L229" s="775">
        <v>2</v>
      </c>
      <c r="M229" s="775">
        <v>2</v>
      </c>
      <c r="N229" s="774" t="s">
        <v>1464</v>
      </c>
      <c r="O229" s="774">
        <v>6.3E-2</v>
      </c>
      <c r="P229" s="774"/>
      <c r="Q229" s="774"/>
      <c r="R229" s="774">
        <f t="shared" si="18"/>
        <v>6.5204999999999999E-2</v>
      </c>
      <c r="S229" s="774">
        <f t="shared" si="17"/>
        <v>0</v>
      </c>
      <c r="T229" s="774">
        <f t="shared" si="19"/>
        <v>0.13041</v>
      </c>
      <c r="U229" s="774" t="s">
        <v>1464</v>
      </c>
      <c r="V229" s="774">
        <v>3000</v>
      </c>
      <c r="W229" s="774">
        <v>12</v>
      </c>
      <c r="X229" s="777" t="s">
        <v>1444</v>
      </c>
      <c r="Y229" s="777" t="s">
        <v>1444</v>
      </c>
      <c r="Z229" s="801" t="s">
        <v>1364</v>
      </c>
      <c r="AA229" s="753"/>
      <c r="AB229" s="753"/>
      <c r="AC229" s="753"/>
      <c r="AD229" s="753"/>
      <c r="AE229" s="753"/>
      <c r="AF229" s="753"/>
      <c r="AG229" s="753"/>
      <c r="AH229" s="753"/>
      <c r="AI229" s="753"/>
      <c r="AJ229" s="753"/>
      <c r="AK229" s="753"/>
      <c r="AL229" s="753"/>
      <c r="AM229" s="753"/>
      <c r="AN229" s="753"/>
      <c r="AO229" s="753"/>
      <c r="AP229" s="753"/>
      <c r="AQ229" s="753"/>
      <c r="AR229" s="753"/>
      <c r="AS229" s="753"/>
      <c r="AT229" s="753"/>
      <c r="AU229" s="753"/>
      <c r="AV229" s="753"/>
      <c r="AW229" s="753"/>
      <c r="AX229" s="753"/>
      <c r="AY229" s="753"/>
      <c r="AZ229" s="753"/>
      <c r="BA229" s="753"/>
      <c r="BB229" s="753"/>
    </row>
    <row r="230" spans="1:54" s="658" customFormat="1" ht="15.75" customHeight="1">
      <c r="A230" s="775">
        <v>2</v>
      </c>
      <c r="B230" s="774" t="s">
        <v>1561</v>
      </c>
      <c r="C230" s="774" t="s">
        <v>613</v>
      </c>
      <c r="D230" s="787" t="s">
        <v>1561</v>
      </c>
      <c r="E230" s="774"/>
      <c r="F230" s="774"/>
      <c r="G230" s="774" t="s">
        <v>614</v>
      </c>
      <c r="H230" s="775" t="s">
        <v>1073</v>
      </c>
      <c r="I230" s="776" t="s">
        <v>1074</v>
      </c>
      <c r="J230" s="776"/>
      <c r="K230" s="775" t="s">
        <v>28</v>
      </c>
      <c r="L230" s="780">
        <v>1</v>
      </c>
      <c r="M230" s="780">
        <v>1</v>
      </c>
      <c r="N230" s="774" t="s">
        <v>1562</v>
      </c>
      <c r="O230" s="779">
        <f>VLOOKUP(D230,[7]Sheet3!$C$2:$G$13,5,0)</f>
        <v>0.83499999999999996</v>
      </c>
      <c r="P230" s="774"/>
      <c r="Q230" s="774"/>
      <c r="R230" s="774">
        <f>O230*1.035</f>
        <v>0.86422499999999991</v>
      </c>
      <c r="S230" s="774"/>
      <c r="T230" s="779">
        <f>R230*M230</f>
        <v>0.86422499999999991</v>
      </c>
      <c r="U230" s="774"/>
      <c r="V230" s="774"/>
      <c r="W230" s="774"/>
      <c r="X230" s="777"/>
      <c r="Y230" s="777"/>
      <c r="Z230" s="801" t="s">
        <v>616</v>
      </c>
      <c r="AA230" s="753" t="s">
        <v>1560</v>
      </c>
      <c r="AB230" s="802" t="s">
        <v>1551</v>
      </c>
      <c r="AC230" s="753"/>
      <c r="AD230" s="753"/>
      <c r="AE230" s="753"/>
      <c r="AF230" s="753"/>
      <c r="AG230" s="753"/>
      <c r="AH230" s="753"/>
      <c r="AI230" s="753"/>
      <c r="AJ230" s="753"/>
      <c r="AK230" s="753"/>
      <c r="AL230" s="753"/>
      <c r="AM230" s="753"/>
      <c r="AN230" s="753"/>
      <c r="AO230" s="753"/>
      <c r="AP230" s="753"/>
      <c r="AQ230" s="753"/>
      <c r="AR230" s="753"/>
      <c r="AS230" s="753"/>
      <c r="AT230" s="753"/>
      <c r="AU230" s="753"/>
      <c r="AV230" s="753"/>
      <c r="AW230" s="753"/>
      <c r="AX230" s="753"/>
      <c r="AY230" s="753"/>
      <c r="AZ230" s="753"/>
      <c r="BA230" s="753"/>
      <c r="BB230" s="753"/>
    </row>
    <row r="231" spans="1:54" s="658" customFormat="1" ht="15.75" customHeight="1">
      <c r="A231" s="775">
        <v>2</v>
      </c>
      <c r="B231" s="781" t="s">
        <v>1365</v>
      </c>
      <c r="C231" s="781" t="s">
        <v>613</v>
      </c>
      <c r="D231" s="781" t="s">
        <v>1365</v>
      </c>
      <c r="E231" s="774" t="s">
        <v>1365</v>
      </c>
      <c r="F231" s="774" t="e">
        <v>#N/A</v>
      </c>
      <c r="G231" s="781" t="s">
        <v>614</v>
      </c>
      <c r="H231" s="782" t="s">
        <v>1073</v>
      </c>
      <c r="I231" s="783" t="s">
        <v>1074</v>
      </c>
      <c r="J231" s="783" t="e">
        <f>VLOOKUP(D231,[5]Sheet1!$D$1:$D$65536,1,0)</f>
        <v>#N/A</v>
      </c>
      <c r="K231" s="782" t="s">
        <v>28</v>
      </c>
      <c r="L231" s="775"/>
      <c r="M231" s="782"/>
      <c r="N231" s="781" t="s">
        <v>1482</v>
      </c>
      <c r="O231" s="774">
        <v>0.83499999999999996</v>
      </c>
      <c r="P231" s="774"/>
      <c r="Q231" s="774"/>
      <c r="R231" s="781">
        <f t="shared" si="18"/>
        <v>0.86422499999999991</v>
      </c>
      <c r="S231" s="774">
        <f t="shared" ref="S231:S252" si="21">R231-_xlfn.MINIFS(R:R,C:C,C231)</f>
        <v>0</v>
      </c>
      <c r="T231" s="781"/>
      <c r="U231" s="774" t="s">
        <v>1483</v>
      </c>
      <c r="V231" s="774">
        <v>5000</v>
      </c>
      <c r="W231" s="774">
        <v>39</v>
      </c>
      <c r="X231" s="777" t="s">
        <v>1444</v>
      </c>
      <c r="Y231" s="784" t="s">
        <v>1444</v>
      </c>
      <c r="Z231" s="803" t="s">
        <v>616</v>
      </c>
      <c r="AA231" s="753" t="s">
        <v>1538</v>
      </c>
      <c r="AB231" s="802" t="str">
        <f>VLOOKUP(D231,[6]删除物料!$C$3:$F$14,4,0)</f>
        <v>位号不变，主料删除</v>
      </c>
      <c r="AC231" s="753"/>
      <c r="AD231" s="753"/>
      <c r="AE231" s="753"/>
      <c r="AF231" s="753"/>
      <c r="AG231" s="753"/>
      <c r="AH231" s="753"/>
      <c r="AI231" s="753"/>
      <c r="AJ231" s="753"/>
      <c r="AK231" s="753"/>
      <c r="AL231" s="753"/>
      <c r="AM231" s="753"/>
      <c r="AN231" s="753"/>
      <c r="AO231" s="753"/>
      <c r="AP231" s="753"/>
      <c r="AQ231" s="753"/>
      <c r="AR231" s="753"/>
      <c r="AS231" s="753"/>
      <c r="AT231" s="753"/>
      <c r="AU231" s="753"/>
      <c r="AV231" s="753"/>
      <c r="AW231" s="753"/>
      <c r="AX231" s="753"/>
      <c r="AY231" s="753"/>
      <c r="AZ231" s="753"/>
      <c r="BA231" s="753"/>
      <c r="BB231" s="753"/>
    </row>
    <row r="232" spans="1:54" s="658" customFormat="1" ht="15.75" customHeight="1">
      <c r="A232" s="775">
        <v>2</v>
      </c>
      <c r="B232" s="774" t="s">
        <v>1366</v>
      </c>
      <c r="C232" s="774" t="s">
        <v>1367</v>
      </c>
      <c r="D232" s="787" t="s">
        <v>1407</v>
      </c>
      <c r="E232" s="774" t="s">
        <v>1366</v>
      </c>
      <c r="F232" s="774" t="e">
        <v>#N/A</v>
      </c>
      <c r="G232" s="774" t="s">
        <v>1368</v>
      </c>
      <c r="H232" s="775" t="s">
        <v>1073</v>
      </c>
      <c r="I232" s="776" t="s">
        <v>1074</v>
      </c>
      <c r="J232" s="776" t="str">
        <f>VLOOKUP(D232,[5]Sheet1!$D$1:$D$65536,1,0)</f>
        <v>TCAL9539RTWRQ1.A</v>
      </c>
      <c r="K232" s="775" t="s">
        <v>28</v>
      </c>
      <c r="L232" s="775">
        <v>1</v>
      </c>
      <c r="M232" s="775">
        <v>1</v>
      </c>
      <c r="N232" s="774" t="s">
        <v>1464</v>
      </c>
      <c r="O232" s="774">
        <v>0.17</v>
      </c>
      <c r="P232" s="774">
        <f>VLOOKUP(D232,'EEBOM Feb.2nd2026'!$D:$N,11,0)</f>
        <v>0.5</v>
      </c>
      <c r="Q232" s="774">
        <f t="shared" ref="Q232:Q237" si="22">O232-P232</f>
        <v>-0.32999999999999996</v>
      </c>
      <c r="R232" s="774">
        <f t="shared" si="18"/>
        <v>0.17595</v>
      </c>
      <c r="S232" s="774">
        <f t="shared" si="21"/>
        <v>0</v>
      </c>
      <c r="T232" s="774">
        <f t="shared" si="19"/>
        <v>0.17595</v>
      </c>
      <c r="U232" s="774" t="s">
        <v>1464</v>
      </c>
      <c r="V232" s="774">
        <v>5000</v>
      </c>
      <c r="W232" s="774">
        <v>6</v>
      </c>
      <c r="X232" s="777" t="s">
        <v>1481</v>
      </c>
      <c r="Y232" s="777" t="s">
        <v>1448</v>
      </c>
      <c r="Z232" s="801" t="s">
        <v>1369</v>
      </c>
      <c r="AA232" s="753"/>
      <c r="AB232" s="753"/>
      <c r="AC232" s="753"/>
      <c r="AD232" s="753"/>
      <c r="AE232" s="753"/>
      <c r="AF232" s="753"/>
      <c r="AG232" s="753"/>
      <c r="AH232" s="753"/>
      <c r="AI232" s="753"/>
      <c r="AJ232" s="753"/>
      <c r="AK232" s="753"/>
      <c r="AL232" s="753"/>
      <c r="AM232" s="753"/>
      <c r="AN232" s="753"/>
      <c r="AO232" s="753"/>
      <c r="AP232" s="753"/>
      <c r="AQ232" s="753"/>
      <c r="AR232" s="753"/>
      <c r="AS232" s="753"/>
      <c r="AT232" s="753"/>
      <c r="AU232" s="753"/>
      <c r="AV232" s="753"/>
      <c r="AW232" s="753"/>
      <c r="AX232" s="753"/>
      <c r="AY232" s="753"/>
      <c r="AZ232" s="753"/>
      <c r="BA232" s="753"/>
      <c r="BB232" s="753"/>
    </row>
    <row r="233" spans="1:54" s="658" customFormat="1" ht="15.75" customHeight="1">
      <c r="A233" s="775">
        <v>2</v>
      </c>
      <c r="B233" s="774" t="s">
        <v>500</v>
      </c>
      <c r="C233" s="774" t="s">
        <v>499</v>
      </c>
      <c r="D233" s="787" t="s">
        <v>1408</v>
      </c>
      <c r="E233" s="774" t="s">
        <v>500</v>
      </c>
      <c r="F233" s="774" t="s">
        <v>500</v>
      </c>
      <c r="G233" s="774" t="s">
        <v>501</v>
      </c>
      <c r="H233" s="775" t="s">
        <v>1073</v>
      </c>
      <c r="I233" s="776" t="s">
        <v>1074</v>
      </c>
      <c r="J233" s="776" t="str">
        <f>VLOOKUP(D233,[5]Sheet1!$D$1:$D$65536,1,0)</f>
        <v>LMR38025SQDRRRQ1</v>
      </c>
      <c r="K233" s="775" t="s">
        <v>28</v>
      </c>
      <c r="L233" s="775">
        <v>1</v>
      </c>
      <c r="M233" s="775">
        <v>1</v>
      </c>
      <c r="N233" s="774" t="s">
        <v>1464</v>
      </c>
      <c r="O233" s="774">
        <v>0.54</v>
      </c>
      <c r="P233" s="774">
        <f>VLOOKUP(D233,'EEBOM Feb.2nd2026'!$D:$N,11,0)</f>
        <v>0.55200000000000005</v>
      </c>
      <c r="Q233" s="774">
        <f t="shared" si="22"/>
        <v>-1.2000000000000011E-2</v>
      </c>
      <c r="R233" s="774">
        <f t="shared" si="18"/>
        <v>0.55889999999999995</v>
      </c>
      <c r="S233" s="774">
        <f t="shared" si="21"/>
        <v>0</v>
      </c>
      <c r="T233" s="774">
        <f t="shared" si="19"/>
        <v>0.55889999999999995</v>
      </c>
      <c r="U233" s="774" t="s">
        <v>1464</v>
      </c>
      <c r="V233" s="774">
        <v>3000</v>
      </c>
      <c r="W233" s="774">
        <v>12</v>
      </c>
      <c r="X233" s="777" t="s">
        <v>1481</v>
      </c>
      <c r="Y233" s="777" t="s">
        <v>1448</v>
      </c>
      <c r="Z233" s="801" t="s">
        <v>502</v>
      </c>
      <c r="AA233" s="753"/>
      <c r="AB233" s="753"/>
      <c r="AC233" s="753"/>
      <c r="AD233" s="753"/>
      <c r="AE233" s="753"/>
      <c r="AF233" s="753"/>
      <c r="AG233" s="753"/>
      <c r="AH233" s="753"/>
      <c r="AI233" s="753"/>
      <c r="AJ233" s="753"/>
      <c r="AK233" s="753"/>
      <c r="AL233" s="753"/>
      <c r="AM233" s="753"/>
      <c r="AN233" s="753"/>
      <c r="AO233" s="753"/>
      <c r="AP233" s="753"/>
      <c r="AQ233" s="753"/>
      <c r="AR233" s="753"/>
      <c r="AS233" s="753"/>
      <c r="AT233" s="753"/>
      <c r="AU233" s="753"/>
      <c r="AV233" s="753"/>
      <c r="AW233" s="753"/>
      <c r="AX233" s="753"/>
      <c r="AY233" s="753"/>
      <c r="AZ233" s="753"/>
      <c r="BA233" s="753"/>
      <c r="BB233" s="753"/>
    </row>
    <row r="234" spans="1:54" ht="15.75" customHeight="1">
      <c r="A234" s="775">
        <v>2</v>
      </c>
      <c r="B234" s="774" t="s">
        <v>1370</v>
      </c>
      <c r="C234" s="774" t="s">
        <v>1371</v>
      </c>
      <c r="D234" s="787" t="s">
        <v>1370</v>
      </c>
      <c r="E234" s="774" t="s">
        <v>1370</v>
      </c>
      <c r="F234" s="774" t="e">
        <v>#N/A</v>
      </c>
      <c r="G234" s="774" t="s">
        <v>1372</v>
      </c>
      <c r="H234" s="775" t="s">
        <v>1073</v>
      </c>
      <c r="I234" s="776" t="s">
        <v>1074</v>
      </c>
      <c r="J234" s="776" t="str">
        <f>VLOOKUP(D234,[5]Sheet1!$D$1:$D$65536,1,0)</f>
        <v>LP2951-50QDRM3Q1</v>
      </c>
      <c r="K234" s="775" t="s">
        <v>28</v>
      </c>
      <c r="L234" s="775">
        <v>2</v>
      </c>
      <c r="M234" s="775">
        <v>2</v>
      </c>
      <c r="N234" s="774" t="s">
        <v>1464</v>
      </c>
      <c r="O234" s="774">
        <v>0.11</v>
      </c>
      <c r="P234" s="774">
        <f>0.11*1.035</f>
        <v>0.11384999999999999</v>
      </c>
      <c r="Q234" s="774">
        <f t="shared" si="22"/>
        <v>-3.8499999999999923E-3</v>
      </c>
      <c r="R234" s="774">
        <f t="shared" si="18"/>
        <v>0.11384999999999999</v>
      </c>
      <c r="S234" s="774">
        <f t="shared" si="21"/>
        <v>0</v>
      </c>
      <c r="T234" s="774">
        <f t="shared" si="19"/>
        <v>0.22769999999999999</v>
      </c>
      <c r="U234" s="774" t="s">
        <v>1464</v>
      </c>
      <c r="V234" s="774">
        <v>3000</v>
      </c>
      <c r="W234" s="774">
        <v>18</v>
      </c>
      <c r="X234" s="777"/>
      <c r="Y234" s="777"/>
      <c r="Z234" s="801" t="s">
        <v>1373</v>
      </c>
    </row>
    <row r="235" spans="1:54" s="658" customFormat="1" ht="15.75" customHeight="1">
      <c r="A235" s="775">
        <v>2</v>
      </c>
      <c r="B235" s="774" t="s">
        <v>1374</v>
      </c>
      <c r="C235" s="774" t="s">
        <v>1371</v>
      </c>
      <c r="D235" s="774" t="s">
        <v>1374</v>
      </c>
      <c r="E235" s="774" t="s">
        <v>1374</v>
      </c>
      <c r="F235" s="774" t="e">
        <v>#N/A</v>
      </c>
      <c r="G235" s="774" t="s">
        <v>1372</v>
      </c>
      <c r="H235" s="775" t="s">
        <v>1073</v>
      </c>
      <c r="I235" s="776" t="s">
        <v>1074</v>
      </c>
      <c r="J235" s="776" t="str">
        <f>VLOOKUP(D235,[5]Sheet1!$D$1:$D$65536,1,0)</f>
        <v>NCV2951CDR2G</v>
      </c>
      <c r="K235" s="775" t="s">
        <v>28</v>
      </c>
      <c r="L235" s="775"/>
      <c r="M235" s="775"/>
      <c r="N235" s="774" t="s">
        <v>1153</v>
      </c>
      <c r="O235" s="774">
        <v>0.1236</v>
      </c>
      <c r="P235" s="774">
        <f>VLOOKUP(D235,'EEBOM Feb.2nd2026'!$D:$N,11,0)</f>
        <v>0.1236</v>
      </c>
      <c r="Q235" s="774">
        <f t="shared" si="22"/>
        <v>0</v>
      </c>
      <c r="R235" s="774">
        <f t="shared" si="18"/>
        <v>0.12792599999999998</v>
      </c>
      <c r="S235" s="774">
        <f t="shared" si="21"/>
        <v>1.4075999999999991E-2</v>
      </c>
      <c r="T235" s="774"/>
      <c r="U235" s="774" t="s">
        <v>1089</v>
      </c>
      <c r="V235" s="774">
        <v>18000</v>
      </c>
      <c r="W235" s="774">
        <v>49</v>
      </c>
      <c r="X235" s="777" t="s">
        <v>1485</v>
      </c>
      <c r="Y235" s="777" t="s">
        <v>1448</v>
      </c>
      <c r="Z235" s="801"/>
      <c r="AA235" s="753"/>
      <c r="AB235" s="753"/>
      <c r="AC235" s="753"/>
      <c r="AD235" s="753"/>
      <c r="AE235" s="753"/>
      <c r="AF235" s="753"/>
      <c r="AG235" s="753"/>
      <c r="AH235" s="753"/>
      <c r="AI235" s="753"/>
      <c r="AJ235" s="753"/>
      <c r="AK235" s="753"/>
      <c r="AL235" s="753"/>
      <c r="AM235" s="753"/>
      <c r="AN235" s="753"/>
      <c r="AO235" s="753"/>
      <c r="AP235" s="753"/>
      <c r="AQ235" s="753"/>
      <c r="AR235" s="753"/>
      <c r="AS235" s="753"/>
      <c r="AT235" s="753"/>
      <c r="AU235" s="753"/>
      <c r="AV235" s="753"/>
      <c r="AW235" s="753"/>
      <c r="AX235" s="753"/>
      <c r="AY235" s="753"/>
      <c r="AZ235" s="753"/>
      <c r="BA235" s="753"/>
      <c r="BB235" s="753"/>
    </row>
    <row r="236" spans="1:54" s="658" customFormat="1" ht="15.5" customHeight="1">
      <c r="A236" s="775">
        <v>2</v>
      </c>
      <c r="B236" s="774" t="s">
        <v>573</v>
      </c>
      <c r="C236" s="774" t="s">
        <v>572</v>
      </c>
      <c r="D236" s="787" t="s">
        <v>573</v>
      </c>
      <c r="E236" s="774" t="s">
        <v>573</v>
      </c>
      <c r="F236" s="774" t="s">
        <v>573</v>
      </c>
      <c r="G236" s="774" t="s">
        <v>1375</v>
      </c>
      <c r="H236" s="775" t="s">
        <v>1073</v>
      </c>
      <c r="I236" s="776" t="s">
        <v>1074</v>
      </c>
      <c r="J236" s="776" t="str">
        <f>VLOOKUP(D236,[5]Sheet1!$D$1:$D$65536,1,0)</f>
        <v>TPS1HTC30AQPWPRQ1</v>
      </c>
      <c r="K236" s="775" t="s">
        <v>28</v>
      </c>
      <c r="L236" s="775">
        <v>2</v>
      </c>
      <c r="M236" s="775">
        <v>2</v>
      </c>
      <c r="N236" s="774" t="s">
        <v>1464</v>
      </c>
      <c r="O236" s="774">
        <v>0.53</v>
      </c>
      <c r="P236" s="774">
        <f>VLOOKUP(D236,'EEBOM Feb.2nd2026'!$D:$N,11,0)</f>
        <v>0.53</v>
      </c>
      <c r="Q236" s="774">
        <f t="shared" si="22"/>
        <v>0</v>
      </c>
      <c r="R236" s="774">
        <f t="shared" si="18"/>
        <v>0.54854999999999998</v>
      </c>
      <c r="S236" s="774">
        <f t="shared" si="21"/>
        <v>0</v>
      </c>
      <c r="T236" s="774">
        <f t="shared" ref="T236:T237" si="23">R236*M236</f>
        <v>1.0971</v>
      </c>
      <c r="U236" s="774" t="s">
        <v>1464</v>
      </c>
      <c r="V236" s="774">
        <v>3000</v>
      </c>
      <c r="W236" s="774">
        <v>6</v>
      </c>
      <c r="X236" s="777" t="s">
        <v>1481</v>
      </c>
      <c r="Y236" s="777" t="s">
        <v>1448</v>
      </c>
      <c r="Z236" s="801" t="s">
        <v>1376</v>
      </c>
      <c r="AA236" s="753"/>
      <c r="AB236" s="753"/>
      <c r="AC236" s="753"/>
      <c r="AD236" s="753"/>
      <c r="AE236" s="753"/>
      <c r="AF236" s="753"/>
      <c r="AG236" s="753"/>
      <c r="AH236" s="753"/>
      <c r="AI236" s="753"/>
      <c r="AJ236" s="753"/>
      <c r="AK236" s="753"/>
      <c r="AL236" s="753"/>
      <c r="AM236" s="753"/>
      <c r="AN236" s="753"/>
      <c r="AO236" s="753"/>
      <c r="AP236" s="753"/>
      <c r="AQ236" s="753"/>
      <c r="AR236" s="753"/>
      <c r="AS236" s="753"/>
      <c r="AT236" s="753"/>
      <c r="AU236" s="753"/>
      <c r="AV236" s="753"/>
      <c r="AW236" s="753"/>
      <c r="AX236" s="753"/>
      <c r="AY236" s="753"/>
      <c r="AZ236" s="753"/>
      <c r="BA236" s="753"/>
      <c r="BB236" s="753"/>
    </row>
    <row r="237" spans="1:54" s="658" customFormat="1" ht="15.75" customHeight="1">
      <c r="A237" s="775">
        <v>2</v>
      </c>
      <c r="B237" s="774" t="s">
        <v>1377</v>
      </c>
      <c r="C237" s="774" t="s">
        <v>1378</v>
      </c>
      <c r="D237" s="787" t="s">
        <v>1409</v>
      </c>
      <c r="E237" s="774" t="s">
        <v>1377</v>
      </c>
      <c r="F237" s="774" t="e">
        <v>#N/A</v>
      </c>
      <c r="G237" s="774" t="s">
        <v>1379</v>
      </c>
      <c r="H237" s="775" t="s">
        <v>1073</v>
      </c>
      <c r="I237" s="776" t="s">
        <v>1074</v>
      </c>
      <c r="J237" s="776" t="str">
        <f>VLOOKUP(D237,[5]Sheet1!$D$1:$D$65536,1,0)</f>
        <v>LM2904BQDGKRQ1</v>
      </c>
      <c r="K237" s="775" t="s">
        <v>28</v>
      </c>
      <c r="L237" s="775">
        <v>1</v>
      </c>
      <c r="M237" s="775">
        <v>1</v>
      </c>
      <c r="N237" s="774" t="s">
        <v>1464</v>
      </c>
      <c r="O237" s="774">
        <v>5.3999999999999999E-2</v>
      </c>
      <c r="P237" s="774">
        <f>VLOOKUP(D237,'EEBOM Feb.2nd2026'!$D:$N,11,0)</f>
        <v>7.0000000000000007E-2</v>
      </c>
      <c r="Q237" s="774">
        <f t="shared" si="22"/>
        <v>-1.6000000000000007E-2</v>
      </c>
      <c r="R237" s="774">
        <f t="shared" si="18"/>
        <v>5.5889999999999995E-2</v>
      </c>
      <c r="S237" s="774">
        <f t="shared" si="21"/>
        <v>5.5889999999999995E-2</v>
      </c>
      <c r="T237" s="774">
        <f t="shared" si="23"/>
        <v>5.5889999999999995E-2</v>
      </c>
      <c r="U237" s="774" t="s">
        <v>1464</v>
      </c>
      <c r="V237" s="774">
        <v>2500</v>
      </c>
      <c r="W237" s="774">
        <v>12</v>
      </c>
      <c r="X237" s="777" t="s">
        <v>1481</v>
      </c>
      <c r="Y237" s="777" t="s">
        <v>1448</v>
      </c>
      <c r="Z237" s="801" t="s">
        <v>1380</v>
      </c>
      <c r="AA237" s="753"/>
      <c r="AB237" s="753"/>
      <c r="AC237" s="753"/>
      <c r="AD237" s="753"/>
      <c r="AE237" s="753"/>
      <c r="AF237" s="753"/>
      <c r="AG237" s="753"/>
      <c r="AH237" s="753"/>
      <c r="AI237" s="753"/>
      <c r="AJ237" s="753"/>
      <c r="AK237" s="753"/>
      <c r="AL237" s="753"/>
      <c r="AM237" s="753"/>
      <c r="AN237" s="753"/>
      <c r="AO237" s="753"/>
      <c r="AP237" s="753"/>
      <c r="AQ237" s="753"/>
      <c r="AR237" s="753"/>
      <c r="AS237" s="753"/>
      <c r="AT237" s="753"/>
      <c r="AU237" s="753"/>
      <c r="AV237" s="753"/>
      <c r="AW237" s="753"/>
      <c r="AX237" s="753"/>
      <c r="AY237" s="753"/>
      <c r="AZ237" s="753"/>
      <c r="BA237" s="753"/>
      <c r="BB237" s="753"/>
    </row>
    <row r="238" spans="1:54" ht="15.75" customHeight="1">
      <c r="A238" s="775">
        <v>2</v>
      </c>
      <c r="B238" s="774" t="s">
        <v>1381</v>
      </c>
      <c r="C238" s="774" t="s">
        <v>1378</v>
      </c>
      <c r="D238" s="779" t="s">
        <v>1410</v>
      </c>
      <c r="E238" s="774" t="s">
        <v>1381</v>
      </c>
      <c r="F238" s="774" t="e">
        <v>#N/A</v>
      </c>
      <c r="G238" s="774" t="s">
        <v>1379</v>
      </c>
      <c r="H238" s="775" t="s">
        <v>1073</v>
      </c>
      <c r="I238" s="776" t="s">
        <v>1074</v>
      </c>
      <c r="J238" s="776" t="str">
        <f>VLOOKUP(D238,[5]Sheet1!$D$1:$D$65536,1,0)</f>
        <v>LM2904BYST</v>
      </c>
      <c r="K238" s="775" t="s">
        <v>28</v>
      </c>
      <c r="L238" s="775"/>
      <c r="M238" s="775"/>
      <c r="N238" s="774" t="s">
        <v>1382</v>
      </c>
      <c r="O238" s="774"/>
      <c r="P238" s="774"/>
      <c r="Q238" s="774"/>
      <c r="R238" s="774">
        <f t="shared" si="18"/>
        <v>0</v>
      </c>
      <c r="S238" s="774">
        <f t="shared" si="21"/>
        <v>0</v>
      </c>
      <c r="T238" s="774"/>
      <c r="U238" s="774"/>
      <c r="V238" s="774"/>
      <c r="W238" s="774"/>
      <c r="X238" s="777"/>
      <c r="Y238" s="777"/>
      <c r="Z238" s="801"/>
    </row>
    <row r="239" spans="1:54" s="658" customFormat="1" ht="15.75" customHeight="1">
      <c r="A239" s="775">
        <v>2</v>
      </c>
      <c r="B239" s="774" t="s">
        <v>317</v>
      </c>
      <c r="C239" s="774" t="s">
        <v>312</v>
      </c>
      <c r="D239" s="787" t="s">
        <v>317</v>
      </c>
      <c r="E239" s="774" t="s">
        <v>317</v>
      </c>
      <c r="F239" s="774" t="s">
        <v>317</v>
      </c>
      <c r="G239" s="774" t="s">
        <v>314</v>
      </c>
      <c r="H239" s="775" t="s">
        <v>1073</v>
      </c>
      <c r="I239" s="776" t="s">
        <v>1074</v>
      </c>
      <c r="J239" s="776" t="str">
        <f>VLOOKUP(D239,[5]Sheet1!$D$1:$D$65536,1,0)</f>
        <v>SHT41A-BD1B-R3</v>
      </c>
      <c r="K239" s="775" t="s">
        <v>28</v>
      </c>
      <c r="L239" s="775">
        <v>1</v>
      </c>
      <c r="M239" s="775">
        <v>1</v>
      </c>
      <c r="N239" s="774" t="s">
        <v>315</v>
      </c>
      <c r="O239" s="774">
        <v>0.42</v>
      </c>
      <c r="P239" s="774">
        <f>VLOOKUP(D239,'EEBOM Feb.2nd2026'!$D:$N,11,0)</f>
        <v>0.42</v>
      </c>
      <c r="Q239" s="774">
        <f>O239-P239</f>
        <v>0</v>
      </c>
      <c r="R239" s="774">
        <f t="shared" si="18"/>
        <v>0.43469999999999998</v>
      </c>
      <c r="S239" s="774">
        <f t="shared" si="21"/>
        <v>0</v>
      </c>
      <c r="T239" s="774">
        <f>R239*M239</f>
        <v>0.43469999999999998</v>
      </c>
      <c r="U239" s="774" t="s">
        <v>1383</v>
      </c>
      <c r="V239" s="774">
        <v>10000</v>
      </c>
      <c r="W239" s="774">
        <v>8</v>
      </c>
      <c r="X239" s="777" t="s">
        <v>1486</v>
      </c>
      <c r="Y239" s="777" t="s">
        <v>1448</v>
      </c>
      <c r="Z239" s="801" t="s">
        <v>316</v>
      </c>
      <c r="AA239" s="753"/>
      <c r="AB239" s="753"/>
      <c r="AC239" s="753"/>
      <c r="AD239" s="753"/>
      <c r="AE239" s="753"/>
      <c r="AF239" s="753"/>
      <c r="AG239" s="753"/>
      <c r="AH239" s="753"/>
      <c r="AI239" s="753"/>
      <c r="AJ239" s="753"/>
      <c r="AK239" s="753"/>
      <c r="AL239" s="753"/>
      <c r="AM239" s="753"/>
      <c r="AN239" s="753"/>
      <c r="AO239" s="753"/>
      <c r="AP239" s="753"/>
      <c r="AQ239" s="753"/>
      <c r="AR239" s="753"/>
      <c r="AS239" s="753"/>
      <c r="AT239" s="753"/>
      <c r="AU239" s="753"/>
      <c r="AV239" s="753"/>
      <c r="AW239" s="753"/>
      <c r="AX239" s="753"/>
      <c r="AY239" s="753"/>
      <c r="AZ239" s="753"/>
      <c r="BA239" s="753"/>
      <c r="BB239" s="753"/>
    </row>
    <row r="240" spans="1:54" ht="15.75" customHeight="1">
      <c r="A240" s="775">
        <v>2</v>
      </c>
      <c r="B240" s="774" t="s">
        <v>313</v>
      </c>
      <c r="C240" s="774" t="s">
        <v>312</v>
      </c>
      <c r="D240" s="774" t="s">
        <v>313</v>
      </c>
      <c r="E240" s="774" t="s">
        <v>313</v>
      </c>
      <c r="F240" s="774" t="s">
        <v>313</v>
      </c>
      <c r="G240" s="774" t="s">
        <v>314</v>
      </c>
      <c r="H240" s="775" t="s">
        <v>1073</v>
      </c>
      <c r="I240" s="776" t="s">
        <v>1074</v>
      </c>
      <c r="J240" s="776" t="str">
        <f>VLOOKUP(D240,[5]Sheet1!$D$1:$D$65536,1,0)</f>
        <v>SHT41A-BD1B-R2</v>
      </c>
      <c r="K240" s="775" t="s">
        <v>28</v>
      </c>
      <c r="L240" s="775"/>
      <c r="M240" s="775"/>
      <c r="N240" s="774" t="s">
        <v>315</v>
      </c>
      <c r="O240" s="774">
        <v>0.42</v>
      </c>
      <c r="P240" s="774"/>
      <c r="Q240" s="774"/>
      <c r="R240" s="774">
        <f t="shared" si="18"/>
        <v>0.43469999999999998</v>
      </c>
      <c r="S240" s="774">
        <f t="shared" si="21"/>
        <v>0</v>
      </c>
      <c r="T240" s="774"/>
      <c r="U240" s="774" t="s">
        <v>1383</v>
      </c>
      <c r="V240" s="774"/>
      <c r="W240" s="774"/>
      <c r="X240" s="777"/>
      <c r="Y240" s="777"/>
      <c r="Z240" s="801"/>
    </row>
    <row r="241" spans="1:54" s="658" customFormat="1" ht="15.75" customHeight="1">
      <c r="A241" s="775">
        <v>2</v>
      </c>
      <c r="B241" s="774" t="s">
        <v>1384</v>
      </c>
      <c r="C241" s="774" t="s">
        <v>1385</v>
      </c>
      <c r="D241" s="787" t="s">
        <v>1384</v>
      </c>
      <c r="E241" s="774" t="s">
        <v>1384</v>
      </c>
      <c r="F241" s="774" t="e">
        <v>#N/A</v>
      </c>
      <c r="G241" s="774" t="s">
        <v>1386</v>
      </c>
      <c r="H241" s="775" t="s">
        <v>1073</v>
      </c>
      <c r="I241" s="776" t="s">
        <v>1074</v>
      </c>
      <c r="J241" s="776" t="str">
        <f>VLOOKUP(D241,[5]Sheet1!$D$1:$D$65536,1,0)</f>
        <v>OPT4003DNPRQ1</v>
      </c>
      <c r="K241" s="775" t="s">
        <v>28</v>
      </c>
      <c r="L241" s="775">
        <v>1</v>
      </c>
      <c r="M241" s="775">
        <v>1</v>
      </c>
      <c r="N241" s="774" t="s">
        <v>1464</v>
      </c>
      <c r="O241" s="774">
        <v>0.33</v>
      </c>
      <c r="P241" s="774">
        <f>VLOOKUP(D241,'EEBOM Feb.2nd2026'!$D:$N,11,0)</f>
        <v>0.36</v>
      </c>
      <c r="Q241" s="774">
        <f t="shared" ref="Q241:Q242" si="24">O241-P241</f>
        <v>-2.9999999999999971E-2</v>
      </c>
      <c r="R241" s="774">
        <f t="shared" si="18"/>
        <v>0.34154999999999996</v>
      </c>
      <c r="S241" s="774">
        <f t="shared" si="21"/>
        <v>0</v>
      </c>
      <c r="T241" s="774">
        <f t="shared" ref="T241:T242" si="25">R241*M241</f>
        <v>0.34154999999999996</v>
      </c>
      <c r="U241" s="774" t="s">
        <v>1464</v>
      </c>
      <c r="V241" s="774">
        <v>3000</v>
      </c>
      <c r="W241" s="774">
        <v>12</v>
      </c>
      <c r="X241" s="777" t="s">
        <v>1481</v>
      </c>
      <c r="Y241" s="777" t="s">
        <v>1448</v>
      </c>
      <c r="Z241" s="801" t="s">
        <v>579</v>
      </c>
      <c r="AA241" s="753"/>
      <c r="AB241" s="753"/>
      <c r="AC241" s="753"/>
      <c r="AD241" s="753"/>
      <c r="AE241" s="753"/>
      <c r="AF241" s="753"/>
      <c r="AG241" s="753"/>
      <c r="AH241" s="753"/>
      <c r="AI241" s="753"/>
      <c r="AJ241" s="753"/>
      <c r="AK241" s="753"/>
      <c r="AL241" s="753"/>
      <c r="AM241" s="753"/>
      <c r="AN241" s="753"/>
      <c r="AO241" s="753"/>
      <c r="AP241" s="753"/>
      <c r="AQ241" s="753"/>
      <c r="AR241" s="753"/>
      <c r="AS241" s="753"/>
      <c r="AT241" s="753"/>
      <c r="AU241" s="753"/>
      <c r="AV241" s="753"/>
      <c r="AW241" s="753"/>
      <c r="AX241" s="753"/>
      <c r="AY241" s="753"/>
      <c r="AZ241" s="753"/>
      <c r="BA241" s="753"/>
      <c r="BB241" s="753"/>
    </row>
    <row r="242" spans="1:54" s="658" customFormat="1" ht="15.75" customHeight="1">
      <c r="A242" s="775">
        <v>2</v>
      </c>
      <c r="B242" s="774" t="s">
        <v>591</v>
      </c>
      <c r="C242" s="774" t="s">
        <v>587</v>
      </c>
      <c r="D242" s="787" t="s">
        <v>591</v>
      </c>
      <c r="E242" s="774" t="s">
        <v>591</v>
      </c>
      <c r="F242" s="774" t="s">
        <v>591</v>
      </c>
      <c r="G242" s="774" t="s">
        <v>588</v>
      </c>
      <c r="H242" s="775" t="s">
        <v>1073</v>
      </c>
      <c r="I242" s="776" t="s">
        <v>1074</v>
      </c>
      <c r="J242" s="776" t="str">
        <f>VLOOKUP(D242,[5]Sheet1!$D$1:$D$65536,1,0)</f>
        <v>1C325000BE0A</v>
      </c>
      <c r="K242" s="775" t="s">
        <v>28</v>
      </c>
      <c r="L242" s="775">
        <v>1</v>
      </c>
      <c r="M242" s="775">
        <v>1</v>
      </c>
      <c r="N242" s="774" t="s">
        <v>592</v>
      </c>
      <c r="O242" s="774">
        <v>6.8000000000000005E-2</v>
      </c>
      <c r="P242" s="774">
        <f>VLOOKUP(D242,'EEBOM Feb.2nd2026'!$D:$N,11,0)</f>
        <v>6.8000000000000005E-2</v>
      </c>
      <c r="Q242" s="774">
        <f t="shared" si="24"/>
        <v>0</v>
      </c>
      <c r="R242" s="774">
        <f t="shared" si="18"/>
        <v>7.0379999999999998E-2</v>
      </c>
      <c r="S242" s="774">
        <f t="shared" si="21"/>
        <v>0</v>
      </c>
      <c r="T242" s="774">
        <f t="shared" si="25"/>
        <v>7.0379999999999998E-2</v>
      </c>
      <c r="U242" s="774" t="s">
        <v>592</v>
      </c>
      <c r="V242" s="774">
        <v>3000</v>
      </c>
      <c r="W242" s="774">
        <v>10</v>
      </c>
      <c r="X242" s="777" t="s">
        <v>1487</v>
      </c>
      <c r="Y242" s="777" t="s">
        <v>1448</v>
      </c>
      <c r="Z242" s="801" t="s">
        <v>590</v>
      </c>
      <c r="AA242" s="753"/>
      <c r="AB242" s="753"/>
      <c r="AC242" s="753"/>
      <c r="AD242" s="753"/>
      <c r="AE242" s="753"/>
      <c r="AF242" s="753"/>
      <c r="AG242" s="753"/>
      <c r="AH242" s="753"/>
      <c r="AI242" s="753"/>
      <c r="AJ242" s="753"/>
      <c r="AK242" s="753"/>
      <c r="AL242" s="753"/>
      <c r="AM242" s="753"/>
      <c r="AN242" s="753"/>
      <c r="AO242" s="753"/>
      <c r="AP242" s="753"/>
      <c r="AQ242" s="753"/>
      <c r="AR242" s="753"/>
      <c r="AS242" s="753"/>
      <c r="AT242" s="753"/>
      <c r="AU242" s="753"/>
      <c r="AV242" s="753"/>
      <c r="AW242" s="753"/>
      <c r="AX242" s="753"/>
      <c r="AY242" s="753"/>
      <c r="AZ242" s="753"/>
      <c r="BA242" s="753"/>
      <c r="BB242" s="753"/>
    </row>
    <row r="243" spans="1:54" ht="15.75" customHeight="1">
      <c r="A243" s="775">
        <v>2</v>
      </c>
      <c r="B243" s="774" t="s">
        <v>586</v>
      </c>
      <c r="C243" s="774" t="s">
        <v>587</v>
      </c>
      <c r="D243" s="774" t="s">
        <v>586</v>
      </c>
      <c r="E243" s="774" t="e">
        <v>#N/A</v>
      </c>
      <c r="F243" s="774" t="e">
        <v>#N/A</v>
      </c>
      <c r="G243" s="774" t="s">
        <v>588</v>
      </c>
      <c r="H243" s="775" t="s">
        <v>1073</v>
      </c>
      <c r="I243" s="776" t="s">
        <v>1074</v>
      </c>
      <c r="J243" s="776" t="str">
        <f>VLOOKUP(D243,[5]Sheet1!$D$1:$D$65536,1,0)</f>
        <v>AM25070307</v>
      </c>
      <c r="K243" s="775" t="s">
        <v>28</v>
      </c>
      <c r="L243" s="775"/>
      <c r="M243" s="775"/>
      <c r="N243" s="774" t="s">
        <v>589</v>
      </c>
      <c r="O243" s="774">
        <v>0.54</v>
      </c>
      <c r="P243" s="774"/>
      <c r="Q243" s="774"/>
      <c r="R243" s="774">
        <f t="shared" si="18"/>
        <v>0.55889999999999995</v>
      </c>
      <c r="S243" s="774">
        <f t="shared" si="21"/>
        <v>0.48851999999999995</v>
      </c>
      <c r="T243" s="774"/>
      <c r="U243" s="774" t="s">
        <v>1387</v>
      </c>
      <c r="V243" s="774"/>
      <c r="W243" s="774"/>
      <c r="X243" s="777"/>
      <c r="Y243" s="777"/>
      <c r="Z243" s="801"/>
    </row>
    <row r="244" spans="1:54" ht="15.75" customHeight="1">
      <c r="A244" s="775">
        <v>2</v>
      </c>
      <c r="B244" s="774" t="s">
        <v>593</v>
      </c>
      <c r="C244" s="774" t="s">
        <v>587</v>
      </c>
      <c r="D244" s="774" t="s">
        <v>593</v>
      </c>
      <c r="E244" s="774" t="e">
        <v>#N/A</v>
      </c>
      <c r="F244" s="774" t="e">
        <v>#N/A</v>
      </c>
      <c r="G244" s="774" t="s">
        <v>588</v>
      </c>
      <c r="H244" s="775" t="s">
        <v>1073</v>
      </c>
      <c r="I244" s="776" t="s">
        <v>1074</v>
      </c>
      <c r="J244" s="776" t="str">
        <f>VLOOKUP(D244,[5]Sheet1!$D$1:$D$65536,1,0)</f>
        <v>EXS00A-CS14701</v>
      </c>
      <c r="K244" s="775" t="s">
        <v>28</v>
      </c>
      <c r="L244" s="775"/>
      <c r="M244" s="775"/>
      <c r="N244" s="774" t="s">
        <v>594</v>
      </c>
      <c r="O244" s="774">
        <v>0.12</v>
      </c>
      <c r="P244" s="774"/>
      <c r="Q244" s="774"/>
      <c r="R244" s="774">
        <f t="shared" si="18"/>
        <v>0.12419999999999999</v>
      </c>
      <c r="S244" s="774">
        <f t="shared" si="21"/>
        <v>5.3819999999999993E-2</v>
      </c>
      <c r="T244" s="774"/>
      <c r="U244" s="774" t="s">
        <v>1388</v>
      </c>
      <c r="V244" s="774"/>
      <c r="W244" s="774"/>
      <c r="X244" s="777"/>
      <c r="Y244" s="777"/>
      <c r="Z244" s="801"/>
    </row>
    <row r="245" spans="1:54" ht="15.75" customHeight="1">
      <c r="A245" s="775">
        <v>2</v>
      </c>
      <c r="B245" s="774" t="s">
        <v>1540</v>
      </c>
      <c r="C245" s="774" t="s">
        <v>1539</v>
      </c>
      <c r="D245" s="774" t="s">
        <v>1540</v>
      </c>
      <c r="E245" s="774"/>
      <c r="F245" s="774"/>
      <c r="G245" s="774" t="s">
        <v>1543</v>
      </c>
      <c r="H245" s="775" t="s">
        <v>1073</v>
      </c>
      <c r="I245" s="776" t="s">
        <v>1074</v>
      </c>
      <c r="J245" s="776"/>
      <c r="K245" s="775" t="s">
        <v>28</v>
      </c>
      <c r="L245" s="780">
        <v>9</v>
      </c>
      <c r="M245" s="775">
        <v>9</v>
      </c>
      <c r="N245" s="774" t="s">
        <v>237</v>
      </c>
      <c r="O245" s="774">
        <v>0.54</v>
      </c>
      <c r="P245" s="774"/>
      <c r="Q245" s="774"/>
      <c r="R245" s="774">
        <f t="shared" ref="R245:R252" si="26">O245*1.035</f>
        <v>0.55889999999999995</v>
      </c>
      <c r="S245" s="774">
        <f t="shared" si="21"/>
        <v>0</v>
      </c>
      <c r="T245" s="779">
        <f>R245*M245</f>
        <v>5.0300999999999991</v>
      </c>
      <c r="U245" s="774"/>
      <c r="V245" s="774"/>
      <c r="W245" s="774"/>
      <c r="X245" s="777"/>
      <c r="Y245" s="777"/>
      <c r="Z245" s="797" t="s">
        <v>1123</v>
      </c>
      <c r="AA245" s="753" t="s">
        <v>1560</v>
      </c>
      <c r="AB245" s="802" t="s">
        <v>1551</v>
      </c>
    </row>
    <row r="246" spans="1:54" ht="15.75" customHeight="1">
      <c r="A246" s="775">
        <v>2</v>
      </c>
      <c r="B246" s="774" t="s">
        <v>1541</v>
      </c>
      <c r="C246" s="774" t="s">
        <v>1539</v>
      </c>
      <c r="D246" s="774" t="s">
        <v>1541</v>
      </c>
      <c r="E246" s="774"/>
      <c r="F246" s="774"/>
      <c r="G246" s="774" t="s">
        <v>1543</v>
      </c>
      <c r="H246" s="775" t="s">
        <v>1073</v>
      </c>
      <c r="I246" s="776" t="s">
        <v>1074</v>
      </c>
      <c r="J246" s="776"/>
      <c r="K246" s="775" t="s">
        <v>28</v>
      </c>
      <c r="L246" s="780"/>
      <c r="M246" s="775"/>
      <c r="N246" s="774" t="s">
        <v>275</v>
      </c>
      <c r="O246" s="774">
        <v>0.54</v>
      </c>
      <c r="P246" s="774"/>
      <c r="Q246" s="774"/>
      <c r="R246" s="774">
        <f t="shared" si="26"/>
        <v>0.55889999999999995</v>
      </c>
      <c r="S246" s="774">
        <f t="shared" si="21"/>
        <v>0</v>
      </c>
      <c r="T246" s="774"/>
      <c r="U246" s="774"/>
      <c r="V246" s="774"/>
      <c r="W246" s="774"/>
      <c r="X246" s="777"/>
      <c r="Y246" s="777"/>
      <c r="Z246" s="801"/>
      <c r="AA246" s="753" t="s">
        <v>1560</v>
      </c>
      <c r="AB246" s="802" t="s">
        <v>1559</v>
      </c>
    </row>
    <row r="247" spans="1:54" ht="15.75" customHeight="1">
      <c r="A247" s="775">
        <v>2</v>
      </c>
      <c r="B247" s="774" t="s">
        <v>1542</v>
      </c>
      <c r="C247" s="774" t="s">
        <v>1539</v>
      </c>
      <c r="D247" s="774" t="s">
        <v>1542</v>
      </c>
      <c r="E247" s="774"/>
      <c r="F247" s="774"/>
      <c r="G247" s="774" t="s">
        <v>1543</v>
      </c>
      <c r="H247" s="775" t="s">
        <v>1073</v>
      </c>
      <c r="I247" s="776" t="s">
        <v>1074</v>
      </c>
      <c r="J247" s="776"/>
      <c r="K247" s="775" t="s">
        <v>28</v>
      </c>
      <c r="L247" s="780"/>
      <c r="M247" s="775"/>
      <c r="N247" s="774" t="s">
        <v>526</v>
      </c>
      <c r="O247" s="774">
        <v>0.54</v>
      </c>
      <c r="P247" s="774"/>
      <c r="Q247" s="774"/>
      <c r="R247" s="774">
        <f t="shared" si="26"/>
        <v>0.55889999999999995</v>
      </c>
      <c r="S247" s="774">
        <f t="shared" si="21"/>
        <v>0</v>
      </c>
      <c r="T247" s="774"/>
      <c r="U247" s="774"/>
      <c r="V247" s="774"/>
      <c r="W247" s="774"/>
      <c r="X247" s="777"/>
      <c r="Y247" s="777"/>
      <c r="Z247" s="801"/>
      <c r="AA247" s="753" t="s">
        <v>1560</v>
      </c>
      <c r="AB247" s="802" t="s">
        <v>1559</v>
      </c>
    </row>
    <row r="248" spans="1:54" ht="15.5" customHeight="1">
      <c r="A248" s="775">
        <v>2</v>
      </c>
      <c r="B248" s="774" t="s">
        <v>1544</v>
      </c>
      <c r="C248" s="774" t="s">
        <v>1545</v>
      </c>
      <c r="D248" s="774" t="s">
        <v>1544</v>
      </c>
      <c r="E248" s="774"/>
      <c r="F248" s="774"/>
      <c r="G248" s="774" t="s">
        <v>489</v>
      </c>
      <c r="H248" s="775" t="s">
        <v>1073</v>
      </c>
      <c r="I248" s="776" t="s">
        <v>1074</v>
      </c>
      <c r="J248" s="794"/>
      <c r="K248" s="775" t="s">
        <v>28</v>
      </c>
      <c r="L248" s="780">
        <v>2</v>
      </c>
      <c r="M248" s="775"/>
      <c r="N248" s="774" t="s">
        <v>275</v>
      </c>
      <c r="O248" s="779">
        <f>VLOOKUP(D248,[7]Sheet3!$C$2:$G$13,5,0)</f>
        <v>7.1999999999999995E-2</v>
      </c>
      <c r="P248" s="774"/>
      <c r="Q248" s="774"/>
      <c r="R248" s="774">
        <f t="shared" si="26"/>
        <v>7.4519999999999989E-2</v>
      </c>
      <c r="S248" s="774">
        <f t="shared" si="21"/>
        <v>0</v>
      </c>
      <c r="T248" s="774"/>
      <c r="U248" s="774"/>
      <c r="V248" s="774"/>
      <c r="W248" s="774"/>
      <c r="X248" s="777"/>
      <c r="Y248" s="777"/>
      <c r="Z248" s="795" t="s">
        <v>1128</v>
      </c>
      <c r="AA248" s="753" t="s">
        <v>1560</v>
      </c>
      <c r="AB248" s="802" t="s">
        <v>1551</v>
      </c>
    </row>
    <row r="249" spans="1:54" ht="15.75" customHeight="1">
      <c r="A249" s="775">
        <v>2</v>
      </c>
      <c r="B249" s="774" t="s">
        <v>1546</v>
      </c>
      <c r="C249" s="774" t="s">
        <v>1545</v>
      </c>
      <c r="D249" s="774" t="s">
        <v>1546</v>
      </c>
      <c r="E249" s="774"/>
      <c r="F249" s="774"/>
      <c r="G249" s="774" t="s">
        <v>489</v>
      </c>
      <c r="H249" s="775" t="s">
        <v>1073</v>
      </c>
      <c r="I249" s="776" t="s">
        <v>1074</v>
      </c>
      <c r="J249" s="776"/>
      <c r="K249" s="775" t="s">
        <v>28</v>
      </c>
      <c r="L249" s="780"/>
      <c r="M249" s="775">
        <v>2</v>
      </c>
      <c r="N249" s="774" t="s">
        <v>526</v>
      </c>
      <c r="O249" s="774">
        <v>0.54</v>
      </c>
      <c r="P249" s="774"/>
      <c r="Q249" s="774"/>
      <c r="R249" s="774">
        <f t="shared" si="26"/>
        <v>0.55889999999999995</v>
      </c>
      <c r="S249" s="774">
        <f t="shared" si="21"/>
        <v>0.48437999999999998</v>
      </c>
      <c r="T249" s="779">
        <f>R249*M249</f>
        <v>1.1177999999999999</v>
      </c>
      <c r="U249" s="774"/>
      <c r="V249" s="774"/>
      <c r="W249" s="774"/>
      <c r="X249" s="777"/>
      <c r="Y249" s="777"/>
      <c r="Z249" s="801"/>
      <c r="AA249" s="753" t="s">
        <v>1560</v>
      </c>
      <c r="AB249" s="802" t="s">
        <v>1559</v>
      </c>
    </row>
    <row r="250" spans="1:54" ht="15.75" customHeight="1">
      <c r="A250" s="775">
        <v>2</v>
      </c>
      <c r="B250" s="774" t="s">
        <v>1547</v>
      </c>
      <c r="C250" s="774" t="s">
        <v>1545</v>
      </c>
      <c r="D250" s="774" t="s">
        <v>1547</v>
      </c>
      <c r="E250" s="774"/>
      <c r="F250" s="774"/>
      <c r="G250" s="774" t="s">
        <v>489</v>
      </c>
      <c r="H250" s="775" t="s">
        <v>1073</v>
      </c>
      <c r="I250" s="776" t="s">
        <v>1074</v>
      </c>
      <c r="J250" s="776"/>
      <c r="K250" s="775" t="s">
        <v>28</v>
      </c>
      <c r="L250" s="780"/>
      <c r="M250" s="775"/>
      <c r="N250" s="774" t="s">
        <v>526</v>
      </c>
      <c r="O250" s="774">
        <v>0.54</v>
      </c>
      <c r="P250" s="774"/>
      <c r="Q250" s="774"/>
      <c r="R250" s="774">
        <f t="shared" si="26"/>
        <v>0.55889999999999995</v>
      </c>
      <c r="S250" s="774">
        <f t="shared" si="21"/>
        <v>0.48437999999999998</v>
      </c>
      <c r="T250" s="774"/>
      <c r="U250" s="774"/>
      <c r="V250" s="774"/>
      <c r="W250" s="774"/>
      <c r="X250" s="777"/>
      <c r="Y250" s="777"/>
      <c r="Z250" s="801"/>
      <c r="AA250" s="753" t="s">
        <v>1560</v>
      </c>
      <c r="AB250" s="802" t="s">
        <v>1559</v>
      </c>
    </row>
    <row r="251" spans="1:54" ht="15.75" customHeight="1">
      <c r="A251" s="775">
        <v>2</v>
      </c>
      <c r="B251" s="774" t="s">
        <v>1548</v>
      </c>
      <c r="C251" s="774" t="s">
        <v>1545</v>
      </c>
      <c r="D251" s="774" t="s">
        <v>1548</v>
      </c>
      <c r="E251" s="774"/>
      <c r="F251" s="774"/>
      <c r="G251" s="774" t="s">
        <v>489</v>
      </c>
      <c r="H251" s="775" t="s">
        <v>1073</v>
      </c>
      <c r="I251" s="776" t="s">
        <v>1074</v>
      </c>
      <c r="J251" s="776"/>
      <c r="K251" s="775" t="s">
        <v>28</v>
      </c>
      <c r="L251" s="780"/>
      <c r="M251" s="775"/>
      <c r="N251" s="774" t="s">
        <v>554</v>
      </c>
      <c r="O251" s="774">
        <v>0.54</v>
      </c>
      <c r="P251" s="774"/>
      <c r="Q251" s="774"/>
      <c r="R251" s="774">
        <f t="shared" si="26"/>
        <v>0.55889999999999995</v>
      </c>
      <c r="S251" s="774">
        <f t="shared" si="21"/>
        <v>0.48437999999999998</v>
      </c>
      <c r="T251" s="774"/>
      <c r="U251" s="774"/>
      <c r="V251" s="774"/>
      <c r="W251" s="774"/>
      <c r="X251" s="777"/>
      <c r="Y251" s="777"/>
      <c r="Z251" s="801"/>
      <c r="AA251" s="753" t="s">
        <v>1560</v>
      </c>
      <c r="AB251" s="802" t="s">
        <v>1559</v>
      </c>
    </row>
    <row r="252" spans="1:54" ht="15.75" customHeight="1">
      <c r="A252" s="775">
        <v>2</v>
      </c>
      <c r="B252" s="774" t="s">
        <v>1552</v>
      </c>
      <c r="C252" s="774" t="s">
        <v>1553</v>
      </c>
      <c r="D252" s="774" t="s">
        <v>1552</v>
      </c>
      <c r="E252" s="774"/>
      <c r="F252" s="774"/>
      <c r="G252" s="795" t="s">
        <v>1554</v>
      </c>
      <c r="H252" s="775" t="s">
        <v>1073</v>
      </c>
      <c r="I252" s="776" t="s">
        <v>1074</v>
      </c>
      <c r="J252" s="776"/>
      <c r="K252" s="775" t="s">
        <v>28</v>
      </c>
      <c r="L252" s="780">
        <v>1</v>
      </c>
      <c r="M252" s="775">
        <v>1</v>
      </c>
      <c r="N252" s="796" t="s">
        <v>1153</v>
      </c>
      <c r="O252" s="774">
        <v>0.54</v>
      </c>
      <c r="P252" s="774"/>
      <c r="Q252" s="774"/>
      <c r="R252" s="774">
        <f t="shared" si="26"/>
        <v>0.55889999999999995</v>
      </c>
      <c r="S252" s="774">
        <f t="shared" si="21"/>
        <v>0</v>
      </c>
      <c r="T252" s="779">
        <f>R252*M252</f>
        <v>0.55889999999999995</v>
      </c>
      <c r="U252" s="774"/>
      <c r="V252" s="774"/>
      <c r="W252" s="774"/>
      <c r="X252" s="777"/>
      <c r="Y252" s="777"/>
      <c r="Z252" s="801" t="s">
        <v>1555</v>
      </c>
      <c r="AA252" s="753" t="s">
        <v>1560</v>
      </c>
      <c r="AB252" s="802" t="s">
        <v>1551</v>
      </c>
    </row>
    <row r="253" spans="1:54">
      <c r="A253" s="790"/>
      <c r="B253" s="790"/>
      <c r="C253" s="790"/>
      <c r="D253" s="790"/>
      <c r="E253" s="790"/>
      <c r="F253" s="790"/>
      <c r="G253" s="790"/>
      <c r="H253" s="790"/>
      <c r="I253" s="790"/>
      <c r="J253" s="790"/>
      <c r="K253" s="790"/>
      <c r="L253" s="790"/>
      <c r="M253" s="790"/>
      <c r="N253" s="790"/>
      <c r="O253" s="797"/>
      <c r="P253" s="797"/>
      <c r="Q253" s="797"/>
      <c r="R253" s="809" t="s">
        <v>1566</v>
      </c>
      <c r="S253" s="797"/>
      <c r="T253" s="809">
        <f>SUM(T3:T252)</f>
        <v>15.749534970000001</v>
      </c>
      <c r="U253" s="790"/>
      <c r="V253" s="798"/>
      <c r="W253" s="799"/>
      <c r="X253" s="790"/>
      <c r="Y253" s="790"/>
      <c r="Z253" s="790"/>
    </row>
    <row r="254" spans="1:54">
      <c r="O254" s="761"/>
      <c r="P254" s="761"/>
      <c r="Q254" s="761"/>
      <c r="R254" s="761"/>
      <c r="S254" s="761"/>
      <c r="T254" s="761"/>
    </row>
    <row r="255" spans="1:54">
      <c r="O255" s="761"/>
      <c r="P255" s="761"/>
      <c r="Q255" s="761"/>
      <c r="R255" s="761"/>
      <c r="S255" s="761"/>
      <c r="T255" s="761"/>
    </row>
    <row r="256" spans="1:54">
      <c r="O256" s="761"/>
      <c r="P256" s="761"/>
      <c r="Q256" s="761"/>
      <c r="R256" s="761"/>
      <c r="S256" s="761"/>
      <c r="T256" s="761"/>
    </row>
    <row r="257" spans="15:20">
      <c r="O257" s="761"/>
      <c r="P257" s="761"/>
      <c r="Q257" s="761"/>
      <c r="R257" s="761"/>
      <c r="S257" s="761"/>
      <c r="T257" s="761"/>
    </row>
    <row r="258" spans="15:20">
      <c r="O258" s="761"/>
      <c r="P258" s="761"/>
      <c r="Q258" s="761"/>
      <c r="R258" s="761"/>
      <c r="S258" s="761"/>
      <c r="T258" s="761"/>
    </row>
    <row r="259" spans="15:20">
      <c r="O259" s="761"/>
      <c r="P259" s="761"/>
      <c r="Q259" s="761"/>
      <c r="R259" s="761"/>
      <c r="S259" s="761"/>
      <c r="T259" s="761"/>
    </row>
    <row r="260" spans="15:20">
      <c r="O260" s="761"/>
      <c r="P260" s="761"/>
      <c r="Q260" s="761"/>
      <c r="R260" s="761"/>
      <c r="S260" s="761"/>
      <c r="T260" s="761"/>
    </row>
    <row r="261" spans="15:20">
      <c r="O261" s="761"/>
      <c r="P261" s="761"/>
      <c r="Q261" s="761"/>
      <c r="R261" s="761"/>
      <c r="S261" s="761"/>
      <c r="T261" s="761"/>
    </row>
    <row r="262" spans="15:20">
      <c r="O262" s="761"/>
      <c r="P262" s="761"/>
      <c r="Q262" s="761"/>
      <c r="R262" s="761"/>
      <c r="S262" s="761"/>
      <c r="T262" s="761"/>
    </row>
    <row r="263" spans="15:20">
      <c r="O263" s="761"/>
      <c r="P263" s="761"/>
      <c r="Q263" s="761"/>
      <c r="R263" s="761"/>
      <c r="S263" s="761"/>
      <c r="T263" s="761"/>
    </row>
    <row r="264" spans="15:20">
      <c r="O264" s="761"/>
      <c r="P264" s="761"/>
      <c r="Q264" s="761"/>
      <c r="R264" s="761"/>
      <c r="S264" s="761"/>
      <c r="T264" s="761"/>
    </row>
    <row r="265" spans="15:20">
      <c r="O265" s="761"/>
      <c r="P265" s="761"/>
      <c r="Q265" s="761"/>
      <c r="R265" s="761"/>
      <c r="S265" s="761"/>
      <c r="T265" s="761"/>
    </row>
    <row r="266" spans="15:20">
      <c r="O266" s="761"/>
      <c r="P266" s="761"/>
      <c r="Q266" s="761"/>
      <c r="R266" s="761"/>
      <c r="S266" s="761"/>
      <c r="T266" s="761"/>
    </row>
    <row r="267" spans="15:20">
      <c r="O267" s="761"/>
      <c r="P267" s="761"/>
      <c r="Q267" s="761"/>
      <c r="R267" s="761"/>
      <c r="S267" s="761"/>
      <c r="T267" s="761"/>
    </row>
    <row r="268" spans="15:20">
      <c r="O268" s="761"/>
      <c r="P268" s="761"/>
      <c r="Q268" s="761"/>
      <c r="R268" s="761"/>
      <c r="S268" s="761"/>
      <c r="T268" s="761"/>
    </row>
    <row r="269" spans="15:20">
      <c r="O269" s="761"/>
      <c r="P269" s="761"/>
      <c r="Q269" s="761"/>
      <c r="R269" s="761"/>
      <c r="S269" s="761"/>
      <c r="T269" s="761"/>
    </row>
    <row r="270" spans="15:20">
      <c r="O270" s="761"/>
      <c r="P270" s="761"/>
      <c r="Q270" s="761"/>
      <c r="R270" s="761"/>
      <c r="S270" s="761"/>
      <c r="T270" s="761"/>
    </row>
    <row r="271" spans="15:20">
      <c r="O271" s="761"/>
      <c r="P271" s="761"/>
      <c r="Q271" s="761"/>
      <c r="R271" s="761"/>
      <c r="S271" s="761"/>
      <c r="T271" s="761"/>
    </row>
    <row r="272" spans="15:20">
      <c r="O272" s="761"/>
      <c r="P272" s="761"/>
      <c r="Q272" s="761"/>
      <c r="R272" s="761"/>
      <c r="S272" s="761"/>
      <c r="T272" s="761"/>
    </row>
    <row r="273" spans="15:20">
      <c r="O273" s="761"/>
      <c r="P273" s="761"/>
      <c r="Q273" s="761"/>
      <c r="R273" s="761"/>
      <c r="S273" s="761"/>
      <c r="T273" s="761"/>
    </row>
    <row r="274" spans="15:20">
      <c r="O274" s="761"/>
      <c r="P274" s="761"/>
      <c r="Q274" s="761"/>
      <c r="R274" s="761"/>
      <c r="S274" s="761"/>
      <c r="T274" s="761"/>
    </row>
    <row r="275" spans="15:20">
      <c r="O275" s="761"/>
      <c r="P275" s="761"/>
      <c r="Q275" s="761"/>
      <c r="R275" s="761"/>
      <c r="S275" s="761"/>
      <c r="T275" s="761"/>
    </row>
    <row r="276" spans="15:20">
      <c r="O276" s="761"/>
      <c r="P276" s="761"/>
      <c r="Q276" s="761"/>
      <c r="R276" s="761"/>
      <c r="S276" s="761"/>
      <c r="T276" s="761"/>
    </row>
    <row r="277" spans="15:20">
      <c r="O277" s="761"/>
      <c r="P277" s="761"/>
      <c r="Q277" s="761"/>
      <c r="R277" s="761"/>
      <c r="S277" s="761"/>
      <c r="T277" s="761"/>
    </row>
    <row r="278" spans="15:20">
      <c r="O278" s="761"/>
      <c r="P278" s="761"/>
      <c r="Q278" s="761"/>
      <c r="R278" s="761"/>
      <c r="S278" s="761"/>
      <c r="T278" s="761"/>
    </row>
    <row r="279" spans="15:20">
      <c r="O279" s="761"/>
      <c r="P279" s="761"/>
      <c r="Q279" s="761"/>
      <c r="R279" s="761"/>
      <c r="S279" s="761"/>
      <c r="T279" s="761"/>
    </row>
    <row r="280" spans="15:20">
      <c r="O280" s="761"/>
      <c r="P280" s="761"/>
      <c r="Q280" s="761"/>
      <c r="R280" s="761"/>
      <c r="S280" s="761"/>
      <c r="T280" s="761"/>
    </row>
    <row r="281" spans="15:20">
      <c r="O281" s="761"/>
      <c r="P281" s="761"/>
      <c r="Q281" s="761"/>
      <c r="R281" s="761"/>
      <c r="S281" s="761"/>
      <c r="T281" s="761"/>
    </row>
    <row r="282" spans="15:20">
      <c r="O282" s="761"/>
      <c r="P282" s="761"/>
      <c r="Q282" s="761"/>
      <c r="R282" s="761"/>
      <c r="S282" s="761"/>
      <c r="T282" s="761"/>
    </row>
    <row r="283" spans="15:20">
      <c r="O283" s="761"/>
      <c r="P283" s="761"/>
      <c r="Q283" s="761"/>
      <c r="R283" s="761"/>
      <c r="S283" s="761"/>
      <c r="T283" s="761"/>
    </row>
    <row r="284" spans="15:20">
      <c r="O284" s="761"/>
      <c r="P284" s="761"/>
      <c r="Q284" s="761"/>
      <c r="R284" s="761"/>
      <c r="S284" s="761"/>
      <c r="T284" s="761"/>
    </row>
    <row r="285" spans="15:20">
      <c r="O285" s="761"/>
      <c r="P285" s="761"/>
      <c r="Q285" s="761"/>
      <c r="R285" s="761"/>
      <c r="S285" s="761"/>
      <c r="T285" s="761"/>
    </row>
    <row r="286" spans="15:20">
      <c r="O286" s="761"/>
      <c r="P286" s="761"/>
      <c r="Q286" s="761"/>
      <c r="R286" s="761"/>
      <c r="S286" s="761"/>
      <c r="T286" s="761"/>
    </row>
    <row r="287" spans="15:20">
      <c r="O287" s="761"/>
      <c r="P287" s="761"/>
      <c r="Q287" s="761"/>
      <c r="R287" s="761"/>
      <c r="S287" s="761"/>
      <c r="T287" s="761"/>
    </row>
    <row r="288" spans="15:20">
      <c r="O288" s="761"/>
      <c r="P288" s="761"/>
      <c r="Q288" s="761"/>
      <c r="R288" s="761"/>
      <c r="S288" s="761"/>
      <c r="T288" s="761"/>
    </row>
    <row r="289" spans="15:20">
      <c r="O289" s="761"/>
      <c r="P289" s="761"/>
      <c r="Q289" s="761"/>
      <c r="R289" s="761"/>
      <c r="S289" s="761"/>
      <c r="T289" s="761"/>
    </row>
    <row r="290" spans="15:20">
      <c r="O290" s="761"/>
      <c r="P290" s="761"/>
      <c r="Q290" s="761"/>
      <c r="R290" s="761"/>
      <c r="S290" s="761"/>
      <c r="T290" s="761"/>
    </row>
    <row r="291" spans="15:20">
      <c r="O291" s="761"/>
      <c r="P291" s="761"/>
      <c r="Q291" s="761"/>
      <c r="R291" s="761"/>
      <c r="S291" s="761"/>
      <c r="T291" s="761"/>
    </row>
    <row r="292" spans="15:20">
      <c r="O292" s="761"/>
      <c r="P292" s="761"/>
      <c r="Q292" s="761"/>
      <c r="R292" s="761"/>
      <c r="S292" s="761"/>
      <c r="T292" s="761"/>
    </row>
    <row r="293" spans="15:20">
      <c r="O293" s="761"/>
      <c r="P293" s="761"/>
      <c r="Q293" s="761"/>
      <c r="R293" s="761"/>
      <c r="S293" s="761"/>
      <c r="T293" s="761"/>
    </row>
    <row r="294" spans="15:20">
      <c r="O294" s="761"/>
      <c r="P294" s="761"/>
      <c r="Q294" s="761"/>
      <c r="R294" s="761"/>
      <c r="S294" s="761"/>
      <c r="T294" s="761"/>
    </row>
    <row r="295" spans="15:20">
      <c r="O295" s="761"/>
      <c r="P295" s="761"/>
      <c r="Q295" s="761"/>
      <c r="R295" s="761"/>
      <c r="S295" s="761"/>
      <c r="T295" s="761"/>
    </row>
    <row r="296" spans="15:20">
      <c r="O296" s="761"/>
      <c r="P296" s="761"/>
      <c r="Q296" s="761"/>
      <c r="R296" s="761"/>
      <c r="S296" s="761"/>
      <c r="T296" s="761"/>
    </row>
    <row r="297" spans="15:20">
      <c r="O297" s="761"/>
      <c r="P297" s="761"/>
      <c r="Q297" s="761"/>
      <c r="R297" s="761"/>
      <c r="S297" s="761"/>
      <c r="T297" s="761"/>
    </row>
    <row r="298" spans="15:20">
      <c r="O298" s="761"/>
      <c r="P298" s="761"/>
      <c r="Q298" s="761"/>
      <c r="R298" s="761"/>
      <c r="S298" s="761"/>
      <c r="T298" s="761"/>
    </row>
    <row r="299" spans="15:20">
      <c r="O299" s="761"/>
      <c r="P299" s="761"/>
      <c r="Q299" s="761"/>
      <c r="R299" s="761"/>
      <c r="S299" s="761"/>
      <c r="T299" s="761"/>
    </row>
    <row r="300" spans="15:20">
      <c r="O300" s="761"/>
      <c r="P300" s="761"/>
      <c r="Q300" s="761"/>
      <c r="R300" s="761"/>
      <c r="S300" s="761"/>
      <c r="T300" s="761"/>
    </row>
    <row r="301" spans="15:20">
      <c r="O301" s="761"/>
      <c r="P301" s="761"/>
      <c r="Q301" s="761"/>
      <c r="R301" s="761"/>
      <c r="S301" s="761"/>
      <c r="T301" s="761"/>
    </row>
    <row r="302" spans="15:20">
      <c r="O302" s="761"/>
      <c r="P302" s="761"/>
      <c r="Q302" s="761"/>
      <c r="R302" s="761"/>
      <c r="S302" s="761"/>
      <c r="T302" s="761"/>
    </row>
    <row r="303" spans="15:20">
      <c r="O303" s="761"/>
      <c r="P303" s="761"/>
      <c r="Q303" s="761"/>
      <c r="R303" s="761"/>
      <c r="S303" s="761"/>
      <c r="T303" s="761"/>
    </row>
    <row r="304" spans="15:20">
      <c r="O304" s="761"/>
      <c r="P304" s="761"/>
      <c r="Q304" s="761"/>
      <c r="R304" s="761"/>
      <c r="S304" s="761"/>
      <c r="T304" s="761"/>
    </row>
    <row r="305" spans="15:20">
      <c r="O305" s="761"/>
      <c r="P305" s="761"/>
      <c r="Q305" s="761"/>
      <c r="R305" s="761"/>
      <c r="S305" s="761"/>
      <c r="T305" s="761"/>
    </row>
    <row r="306" spans="15:20">
      <c r="O306" s="761"/>
      <c r="P306" s="761"/>
      <c r="Q306" s="761"/>
      <c r="R306" s="761"/>
      <c r="S306" s="761"/>
      <c r="T306" s="761"/>
    </row>
    <row r="307" spans="15:20">
      <c r="O307" s="761"/>
      <c r="P307" s="761"/>
      <c r="Q307" s="761"/>
      <c r="R307" s="761"/>
      <c r="S307" s="761"/>
      <c r="T307" s="761"/>
    </row>
    <row r="308" spans="15:20">
      <c r="O308" s="761"/>
      <c r="P308" s="761"/>
      <c r="Q308" s="761"/>
      <c r="R308" s="761"/>
      <c r="S308" s="761"/>
      <c r="T308" s="761"/>
    </row>
    <row r="309" spans="15:20">
      <c r="O309" s="761"/>
      <c r="P309" s="761"/>
      <c r="Q309" s="761"/>
      <c r="R309" s="761"/>
      <c r="S309" s="761"/>
      <c r="T309" s="761"/>
    </row>
    <row r="310" spans="15:20">
      <c r="O310" s="761"/>
      <c r="P310" s="761"/>
      <c r="Q310" s="761"/>
      <c r="R310" s="761"/>
      <c r="S310" s="761"/>
      <c r="T310" s="761"/>
    </row>
    <row r="311" spans="15:20">
      <c r="O311" s="761"/>
      <c r="P311" s="761"/>
      <c r="Q311" s="761"/>
      <c r="R311" s="761"/>
      <c r="S311" s="761"/>
      <c r="T311" s="761"/>
    </row>
    <row r="312" spans="15:20">
      <c r="O312" s="761"/>
      <c r="P312" s="761"/>
      <c r="Q312" s="761"/>
      <c r="R312" s="761"/>
      <c r="S312" s="761"/>
      <c r="T312" s="761"/>
    </row>
    <row r="313" spans="15:20">
      <c r="O313" s="761"/>
      <c r="P313" s="761"/>
      <c r="Q313" s="761"/>
      <c r="R313" s="761"/>
      <c r="S313" s="761"/>
      <c r="T313" s="761"/>
    </row>
    <row r="314" spans="15:20">
      <c r="O314" s="761"/>
      <c r="P314" s="761"/>
      <c r="Q314" s="761"/>
      <c r="R314" s="761"/>
      <c r="S314" s="761"/>
      <c r="T314" s="761"/>
    </row>
    <row r="315" spans="15:20">
      <c r="O315" s="761"/>
      <c r="P315" s="761"/>
      <c r="Q315" s="761"/>
      <c r="R315" s="761"/>
      <c r="S315" s="761"/>
      <c r="T315" s="761"/>
    </row>
    <row r="316" spans="15:20">
      <c r="O316" s="761"/>
      <c r="P316" s="761"/>
      <c r="Q316" s="761"/>
      <c r="R316" s="761"/>
      <c r="S316" s="761"/>
      <c r="T316" s="761"/>
    </row>
    <row r="317" spans="15:20">
      <c r="O317" s="761"/>
      <c r="P317" s="761"/>
      <c r="Q317" s="761"/>
      <c r="R317" s="761"/>
      <c r="S317" s="761"/>
      <c r="T317" s="761"/>
    </row>
    <row r="318" spans="15:20">
      <c r="O318" s="761"/>
      <c r="P318" s="761"/>
      <c r="Q318" s="761"/>
      <c r="R318" s="761"/>
      <c r="S318" s="761"/>
      <c r="T318" s="761"/>
    </row>
    <row r="319" spans="15:20">
      <c r="O319" s="761"/>
      <c r="P319" s="761"/>
      <c r="Q319" s="761"/>
      <c r="R319" s="761"/>
      <c r="S319" s="761"/>
      <c r="T319" s="761"/>
    </row>
    <row r="320" spans="15:20">
      <c r="O320" s="761"/>
      <c r="P320" s="761"/>
      <c r="Q320" s="761"/>
      <c r="R320" s="761"/>
      <c r="S320" s="761"/>
      <c r="T320" s="761"/>
    </row>
    <row r="321" spans="15:20">
      <c r="O321" s="761"/>
      <c r="P321" s="761"/>
      <c r="Q321" s="761"/>
      <c r="R321" s="761"/>
      <c r="S321" s="761"/>
      <c r="T321" s="761"/>
    </row>
    <row r="322" spans="15:20">
      <c r="O322" s="761"/>
      <c r="P322" s="761"/>
      <c r="Q322" s="761"/>
      <c r="R322" s="761"/>
      <c r="S322" s="761"/>
      <c r="T322" s="761"/>
    </row>
    <row r="323" spans="15:20">
      <c r="O323" s="761"/>
      <c r="P323" s="761"/>
      <c r="Q323" s="761"/>
      <c r="R323" s="761"/>
      <c r="S323" s="761"/>
      <c r="T323" s="761"/>
    </row>
    <row r="324" spans="15:20">
      <c r="O324" s="761"/>
      <c r="P324" s="761"/>
      <c r="Q324" s="761"/>
      <c r="R324" s="761"/>
      <c r="S324" s="761"/>
      <c r="T324" s="761"/>
    </row>
    <row r="325" spans="15:20">
      <c r="O325" s="761"/>
      <c r="P325" s="761"/>
      <c r="Q325" s="761"/>
      <c r="R325" s="761"/>
      <c r="S325" s="761"/>
      <c r="T325" s="761"/>
    </row>
    <row r="326" spans="15:20">
      <c r="O326" s="761"/>
      <c r="P326" s="761"/>
      <c r="Q326" s="761"/>
      <c r="R326" s="761"/>
      <c r="S326" s="761"/>
      <c r="T326" s="761"/>
    </row>
    <row r="327" spans="15:20">
      <c r="O327" s="761"/>
      <c r="P327" s="761"/>
      <c r="Q327" s="761"/>
      <c r="R327" s="761"/>
      <c r="S327" s="761"/>
      <c r="T327" s="761"/>
    </row>
    <row r="328" spans="15:20">
      <c r="O328" s="761"/>
      <c r="P328" s="761"/>
      <c r="Q328" s="761"/>
      <c r="R328" s="761"/>
      <c r="S328" s="761"/>
      <c r="T328" s="761"/>
    </row>
    <row r="329" spans="15:20">
      <c r="O329" s="761"/>
      <c r="P329" s="761"/>
      <c r="Q329" s="761"/>
      <c r="R329" s="761"/>
      <c r="S329" s="761"/>
      <c r="T329" s="761"/>
    </row>
    <row r="330" spans="15:20">
      <c r="O330" s="761"/>
      <c r="P330" s="761"/>
      <c r="Q330" s="761"/>
      <c r="R330" s="761"/>
      <c r="S330" s="761"/>
      <c r="T330" s="761"/>
    </row>
    <row r="331" spans="15:20">
      <c r="O331" s="761"/>
      <c r="P331" s="761"/>
      <c r="Q331" s="761"/>
      <c r="R331" s="761"/>
      <c r="S331" s="761"/>
      <c r="T331" s="761"/>
    </row>
    <row r="332" spans="15:20">
      <c r="O332" s="761"/>
      <c r="P332" s="761"/>
      <c r="Q332" s="761"/>
      <c r="R332" s="761"/>
      <c r="S332" s="761"/>
      <c r="T332" s="761"/>
    </row>
    <row r="333" spans="15:20">
      <c r="O333" s="761"/>
      <c r="P333" s="761"/>
      <c r="Q333" s="761"/>
      <c r="R333" s="761"/>
      <c r="S333" s="761"/>
      <c r="T333" s="761"/>
    </row>
    <row r="334" spans="15:20">
      <c r="O334" s="761"/>
      <c r="P334" s="761"/>
      <c r="Q334" s="761"/>
      <c r="R334" s="761"/>
      <c r="S334" s="761"/>
      <c r="T334" s="761"/>
    </row>
    <row r="335" spans="15:20">
      <c r="O335" s="761"/>
      <c r="P335" s="761"/>
      <c r="Q335" s="761"/>
      <c r="R335" s="761"/>
      <c r="S335" s="761"/>
      <c r="T335" s="761"/>
    </row>
    <row r="336" spans="15:20">
      <c r="O336" s="761"/>
      <c r="P336" s="761"/>
      <c r="Q336" s="761"/>
      <c r="R336" s="761"/>
      <c r="S336" s="761"/>
      <c r="T336" s="761"/>
    </row>
    <row r="337" spans="15:20">
      <c r="O337" s="761"/>
      <c r="P337" s="761"/>
      <c r="Q337" s="761"/>
      <c r="R337" s="761"/>
      <c r="S337" s="761"/>
      <c r="T337" s="761"/>
    </row>
    <row r="338" spans="15:20">
      <c r="O338" s="761"/>
      <c r="P338" s="761"/>
      <c r="Q338" s="761"/>
      <c r="R338" s="761"/>
      <c r="S338" s="761"/>
      <c r="T338" s="761"/>
    </row>
    <row r="339" spans="15:20">
      <c r="O339" s="761"/>
      <c r="P339" s="761"/>
      <c r="Q339" s="761"/>
      <c r="R339" s="761"/>
      <c r="S339" s="761"/>
      <c r="T339" s="761"/>
    </row>
    <row r="340" spans="15:20">
      <c r="O340" s="761"/>
      <c r="P340" s="761"/>
      <c r="Q340" s="761"/>
      <c r="R340" s="761"/>
      <c r="S340" s="761"/>
      <c r="T340" s="761"/>
    </row>
    <row r="341" spans="15:20">
      <c r="O341" s="761"/>
      <c r="P341" s="761"/>
      <c r="Q341" s="761"/>
      <c r="R341" s="761"/>
      <c r="S341" s="761"/>
      <c r="T341" s="761"/>
    </row>
    <row r="342" spans="15:20">
      <c r="O342" s="761"/>
      <c r="P342" s="761"/>
      <c r="Q342" s="761"/>
      <c r="R342" s="761"/>
      <c r="S342" s="761"/>
      <c r="T342" s="761"/>
    </row>
    <row r="343" spans="15:20">
      <c r="O343" s="761"/>
      <c r="P343" s="761"/>
      <c r="Q343" s="761"/>
      <c r="R343" s="761"/>
      <c r="S343" s="761"/>
      <c r="T343" s="761"/>
    </row>
    <row r="344" spans="15:20">
      <c r="O344" s="761"/>
      <c r="P344" s="761"/>
      <c r="Q344" s="761"/>
      <c r="R344" s="761"/>
      <c r="S344" s="761"/>
      <c r="T344" s="761"/>
    </row>
    <row r="345" spans="15:20">
      <c r="O345" s="761"/>
      <c r="P345" s="761"/>
      <c r="Q345" s="761"/>
      <c r="R345" s="761"/>
      <c r="S345" s="761"/>
      <c r="T345" s="761"/>
    </row>
    <row r="346" spans="15:20">
      <c r="O346" s="761"/>
      <c r="P346" s="761"/>
      <c r="Q346" s="761"/>
      <c r="R346" s="761"/>
      <c r="S346" s="761"/>
      <c r="T346" s="761"/>
    </row>
    <row r="347" spans="15:20">
      <c r="O347" s="761"/>
      <c r="P347" s="761"/>
      <c r="Q347" s="761"/>
      <c r="R347" s="761"/>
      <c r="S347" s="761"/>
      <c r="T347" s="761"/>
    </row>
    <row r="348" spans="15:20">
      <c r="O348" s="761"/>
      <c r="P348" s="761"/>
      <c r="Q348" s="761"/>
      <c r="R348" s="761"/>
      <c r="S348" s="761"/>
      <c r="T348" s="761"/>
    </row>
    <row r="349" spans="15:20">
      <c r="O349" s="761"/>
      <c r="P349" s="761"/>
      <c r="Q349" s="761"/>
      <c r="R349" s="761"/>
      <c r="S349" s="761"/>
      <c r="T349" s="761"/>
    </row>
    <row r="350" spans="15:20">
      <c r="O350" s="761"/>
      <c r="P350" s="761"/>
      <c r="Q350" s="761"/>
      <c r="R350" s="761"/>
      <c r="S350" s="761"/>
      <c r="T350" s="761"/>
    </row>
    <row r="351" spans="15:20">
      <c r="O351" s="761"/>
      <c r="P351" s="761"/>
      <c r="Q351" s="761"/>
      <c r="R351" s="761"/>
      <c r="S351" s="761"/>
      <c r="T351" s="761"/>
    </row>
    <row r="352" spans="15:20">
      <c r="O352" s="761"/>
      <c r="P352" s="761"/>
      <c r="Q352" s="761"/>
      <c r="R352" s="761"/>
      <c r="S352" s="761"/>
      <c r="T352" s="761"/>
    </row>
    <row r="353" spans="15:20">
      <c r="O353" s="761"/>
      <c r="P353" s="761"/>
      <c r="Q353" s="761"/>
      <c r="R353" s="761"/>
      <c r="S353" s="761"/>
      <c r="T353" s="761"/>
    </row>
    <row r="354" spans="15:20">
      <c r="O354" s="761"/>
      <c r="P354" s="761"/>
      <c r="Q354" s="761"/>
      <c r="R354" s="761"/>
      <c r="S354" s="761"/>
      <c r="T354" s="761"/>
    </row>
    <row r="355" spans="15:20">
      <c r="O355" s="761"/>
      <c r="P355" s="761"/>
      <c r="Q355" s="761"/>
      <c r="R355" s="761"/>
      <c r="S355" s="761"/>
      <c r="T355" s="761"/>
    </row>
    <row r="356" spans="15:20">
      <c r="O356" s="761"/>
      <c r="P356" s="761"/>
      <c r="Q356" s="761"/>
      <c r="R356" s="761"/>
      <c r="S356" s="761"/>
      <c r="T356" s="761"/>
    </row>
    <row r="357" spans="15:20">
      <c r="O357" s="761"/>
      <c r="P357" s="761"/>
      <c r="Q357" s="761"/>
      <c r="R357" s="761"/>
      <c r="S357" s="761"/>
      <c r="T357" s="761"/>
    </row>
    <row r="358" spans="15:20">
      <c r="O358" s="761"/>
      <c r="P358" s="761"/>
      <c r="Q358" s="761"/>
      <c r="R358" s="761"/>
      <c r="S358" s="761"/>
      <c r="T358" s="761"/>
    </row>
    <row r="359" spans="15:20">
      <c r="O359" s="761"/>
      <c r="P359" s="761"/>
      <c r="Q359" s="761"/>
      <c r="R359" s="761"/>
      <c r="S359" s="761"/>
      <c r="T359" s="761"/>
    </row>
    <row r="360" spans="15:20">
      <c r="O360" s="761"/>
      <c r="P360" s="761"/>
      <c r="Q360" s="761"/>
      <c r="R360" s="761"/>
      <c r="S360" s="761"/>
      <c r="T360" s="761"/>
    </row>
    <row r="361" spans="15:20">
      <c r="O361" s="761"/>
      <c r="P361" s="761"/>
      <c r="Q361" s="761"/>
      <c r="R361" s="761"/>
      <c r="S361" s="761"/>
      <c r="T361" s="761"/>
    </row>
    <row r="362" spans="15:20">
      <c r="O362" s="761"/>
      <c r="P362" s="761"/>
      <c r="Q362" s="761"/>
      <c r="R362" s="761"/>
      <c r="S362" s="761"/>
      <c r="T362" s="761"/>
    </row>
    <row r="363" spans="15:20">
      <c r="O363" s="761"/>
      <c r="P363" s="761"/>
      <c r="Q363" s="761"/>
      <c r="R363" s="761"/>
      <c r="S363" s="761"/>
      <c r="T363" s="761"/>
    </row>
    <row r="364" spans="15:20">
      <c r="O364" s="761"/>
      <c r="P364" s="761"/>
      <c r="Q364" s="761"/>
      <c r="R364" s="761"/>
      <c r="S364" s="761"/>
      <c r="T364" s="761"/>
    </row>
    <row r="365" spans="15:20">
      <c r="O365" s="761"/>
      <c r="P365" s="761"/>
      <c r="Q365" s="761"/>
      <c r="R365" s="761"/>
      <c r="S365" s="761"/>
      <c r="T365" s="761"/>
    </row>
    <row r="366" spans="15:20">
      <c r="O366" s="761"/>
      <c r="P366" s="761"/>
      <c r="Q366" s="761"/>
      <c r="R366" s="761"/>
      <c r="S366" s="761"/>
      <c r="T366" s="761"/>
    </row>
    <row r="367" spans="15:20">
      <c r="O367" s="761"/>
      <c r="P367" s="761"/>
      <c r="Q367" s="761"/>
      <c r="R367" s="761"/>
      <c r="S367" s="761"/>
      <c r="T367" s="761"/>
    </row>
    <row r="368" spans="15:20">
      <c r="O368" s="761"/>
      <c r="P368" s="761"/>
      <c r="Q368" s="761"/>
      <c r="R368" s="761"/>
      <c r="S368" s="761"/>
      <c r="T368" s="761"/>
    </row>
    <row r="369" spans="15:20">
      <c r="O369" s="761"/>
      <c r="P369" s="761"/>
      <c r="Q369" s="761"/>
      <c r="R369" s="761"/>
      <c r="S369" s="761"/>
      <c r="T369" s="761"/>
    </row>
    <row r="370" spans="15:20">
      <c r="O370" s="761"/>
      <c r="P370" s="761"/>
      <c r="Q370" s="761"/>
      <c r="R370" s="761"/>
      <c r="S370" s="761"/>
      <c r="T370" s="761"/>
    </row>
    <row r="371" spans="15:20">
      <c r="O371" s="761"/>
      <c r="P371" s="761"/>
      <c r="Q371" s="761"/>
      <c r="R371" s="761"/>
      <c r="S371" s="761"/>
      <c r="T371" s="761"/>
    </row>
    <row r="372" spans="15:20">
      <c r="O372" s="761"/>
      <c r="P372" s="761"/>
      <c r="Q372" s="761"/>
      <c r="R372" s="761"/>
      <c r="S372" s="761"/>
      <c r="T372" s="761"/>
    </row>
    <row r="373" spans="15:20">
      <c r="O373" s="761"/>
      <c r="P373" s="761"/>
      <c r="Q373" s="761"/>
      <c r="R373" s="761"/>
      <c r="S373" s="761"/>
      <c r="T373" s="761"/>
    </row>
    <row r="374" spans="15:20">
      <c r="O374" s="761"/>
      <c r="P374" s="761"/>
      <c r="Q374" s="761"/>
      <c r="R374" s="761"/>
      <c r="S374" s="761"/>
      <c r="T374" s="761"/>
    </row>
    <row r="375" spans="15:20">
      <c r="O375" s="761"/>
      <c r="P375" s="761"/>
      <c r="Q375" s="761"/>
      <c r="R375" s="761"/>
      <c r="S375" s="761"/>
      <c r="T375" s="761"/>
    </row>
    <row r="376" spans="15:20">
      <c r="O376" s="761"/>
      <c r="P376" s="761"/>
      <c r="Q376" s="761"/>
      <c r="R376" s="761"/>
      <c r="S376" s="761"/>
      <c r="T376" s="761"/>
    </row>
    <row r="377" spans="15:20">
      <c r="O377" s="761"/>
      <c r="P377" s="761"/>
      <c r="Q377" s="761"/>
      <c r="R377" s="761"/>
      <c r="S377" s="761"/>
      <c r="T377" s="761"/>
    </row>
    <row r="378" spans="15:20">
      <c r="O378" s="761"/>
      <c r="P378" s="761"/>
      <c r="Q378" s="761"/>
      <c r="R378" s="761"/>
      <c r="S378" s="761"/>
      <c r="T378" s="761"/>
    </row>
    <row r="379" spans="15:20">
      <c r="O379" s="761"/>
      <c r="P379" s="761"/>
      <c r="Q379" s="761"/>
      <c r="R379" s="761"/>
      <c r="S379" s="761"/>
      <c r="T379" s="761"/>
    </row>
    <row r="380" spans="15:20">
      <c r="O380" s="761"/>
      <c r="P380" s="761"/>
      <c r="Q380" s="761"/>
      <c r="R380" s="761"/>
      <c r="S380" s="761"/>
      <c r="T380" s="761"/>
    </row>
    <row r="381" spans="15:20">
      <c r="O381" s="761"/>
      <c r="P381" s="761"/>
      <c r="Q381" s="761"/>
      <c r="R381" s="761"/>
      <c r="S381" s="761"/>
      <c r="T381" s="761"/>
    </row>
    <row r="382" spans="15:20">
      <c r="O382" s="761"/>
      <c r="P382" s="761"/>
      <c r="Q382" s="761"/>
      <c r="R382" s="761"/>
      <c r="S382" s="761"/>
      <c r="T382" s="761"/>
    </row>
    <row r="383" spans="15:20">
      <c r="O383" s="761"/>
      <c r="P383" s="761"/>
      <c r="Q383" s="761"/>
      <c r="R383" s="761"/>
      <c r="S383" s="761"/>
      <c r="T383" s="761"/>
    </row>
    <row r="384" spans="15:20">
      <c r="O384" s="761"/>
      <c r="P384" s="761"/>
      <c r="Q384" s="761"/>
      <c r="R384" s="761"/>
      <c r="S384" s="761"/>
      <c r="T384" s="761"/>
    </row>
    <row r="385" spans="15:20">
      <c r="O385" s="761"/>
      <c r="P385" s="761"/>
      <c r="Q385" s="761"/>
      <c r="R385" s="761"/>
      <c r="S385" s="761"/>
      <c r="T385" s="761"/>
    </row>
    <row r="386" spans="15:20">
      <c r="O386" s="761"/>
      <c r="P386" s="761"/>
      <c r="Q386" s="761"/>
      <c r="R386" s="761"/>
      <c r="S386" s="761"/>
      <c r="T386" s="761"/>
    </row>
    <row r="387" spans="15:20">
      <c r="O387" s="761"/>
      <c r="P387" s="761"/>
      <c r="Q387" s="761"/>
      <c r="R387" s="761"/>
      <c r="S387" s="761"/>
      <c r="T387" s="761"/>
    </row>
    <row r="388" spans="15:20">
      <c r="O388" s="761"/>
      <c r="P388" s="761"/>
      <c r="Q388" s="761"/>
      <c r="R388" s="761"/>
      <c r="S388" s="761"/>
      <c r="T388" s="761"/>
    </row>
    <row r="389" spans="15:20">
      <c r="O389" s="761"/>
      <c r="P389" s="761"/>
      <c r="Q389" s="761"/>
      <c r="R389" s="761"/>
      <c r="S389" s="761"/>
      <c r="T389" s="761"/>
    </row>
    <row r="390" spans="15:20">
      <c r="O390" s="761"/>
      <c r="P390" s="761"/>
      <c r="Q390" s="761"/>
      <c r="R390" s="761"/>
      <c r="S390" s="761"/>
      <c r="T390" s="761"/>
    </row>
    <row r="391" spans="15:20">
      <c r="O391" s="761"/>
      <c r="P391" s="761"/>
      <c r="Q391" s="761"/>
      <c r="R391" s="761"/>
      <c r="S391" s="761"/>
      <c r="T391" s="761"/>
    </row>
    <row r="392" spans="15:20">
      <c r="O392" s="761"/>
      <c r="P392" s="761"/>
      <c r="Q392" s="761"/>
      <c r="R392" s="761"/>
      <c r="S392" s="761"/>
      <c r="T392" s="761"/>
    </row>
    <row r="393" spans="15:20">
      <c r="O393" s="761"/>
      <c r="P393" s="761"/>
      <c r="Q393" s="761"/>
      <c r="R393" s="761"/>
      <c r="S393" s="761"/>
      <c r="T393" s="761"/>
    </row>
    <row r="394" spans="15:20">
      <c r="O394" s="761"/>
      <c r="P394" s="761"/>
      <c r="Q394" s="761"/>
      <c r="R394" s="761"/>
      <c r="S394" s="761"/>
      <c r="T394" s="761"/>
    </row>
    <row r="395" spans="15:20">
      <c r="O395" s="761"/>
      <c r="P395" s="761"/>
      <c r="Q395" s="761"/>
      <c r="R395" s="761"/>
      <c r="S395" s="761"/>
      <c r="T395" s="761"/>
    </row>
    <row r="396" spans="15:20">
      <c r="O396" s="761"/>
      <c r="P396" s="761"/>
      <c r="Q396" s="761"/>
      <c r="R396" s="761"/>
      <c r="S396" s="761"/>
      <c r="T396" s="761"/>
    </row>
    <row r="397" spans="15:20">
      <c r="O397" s="761"/>
      <c r="P397" s="761"/>
      <c r="Q397" s="761"/>
      <c r="R397" s="761"/>
      <c r="S397" s="761"/>
      <c r="T397" s="761"/>
    </row>
    <row r="398" spans="15:20">
      <c r="O398" s="761"/>
      <c r="P398" s="761"/>
      <c r="Q398" s="761"/>
      <c r="R398" s="761"/>
      <c r="S398" s="761"/>
      <c r="T398" s="761"/>
    </row>
    <row r="399" spans="15:20">
      <c r="O399" s="761"/>
      <c r="P399" s="761"/>
      <c r="Q399" s="761"/>
      <c r="R399" s="761"/>
      <c r="S399" s="761"/>
      <c r="T399" s="761"/>
    </row>
    <row r="400" spans="15:20">
      <c r="O400" s="761"/>
      <c r="P400" s="761"/>
      <c r="Q400" s="761"/>
      <c r="R400" s="761"/>
      <c r="S400" s="761"/>
      <c r="T400" s="761"/>
    </row>
    <row r="401" spans="15:20">
      <c r="O401" s="761"/>
      <c r="P401" s="761"/>
      <c r="Q401" s="761"/>
      <c r="R401" s="761"/>
      <c r="S401" s="761"/>
      <c r="T401" s="761"/>
    </row>
    <row r="402" spans="15:20">
      <c r="O402" s="761"/>
      <c r="P402" s="761"/>
      <c r="Q402" s="761"/>
      <c r="R402" s="761"/>
      <c r="S402" s="761"/>
      <c r="T402" s="761"/>
    </row>
    <row r="403" spans="15:20">
      <c r="O403" s="761"/>
      <c r="P403" s="761"/>
      <c r="Q403" s="761"/>
      <c r="R403" s="761"/>
      <c r="S403" s="761"/>
      <c r="T403" s="761"/>
    </row>
    <row r="404" spans="15:20">
      <c r="O404" s="761"/>
      <c r="P404" s="761"/>
      <c r="Q404" s="761"/>
      <c r="R404" s="761"/>
      <c r="S404" s="761"/>
      <c r="T404" s="761"/>
    </row>
    <row r="405" spans="15:20">
      <c r="O405" s="761"/>
      <c r="P405" s="761"/>
      <c r="Q405" s="761"/>
      <c r="R405" s="761"/>
      <c r="S405" s="761"/>
      <c r="T405" s="761"/>
    </row>
    <row r="406" spans="15:20">
      <c r="O406" s="761"/>
      <c r="P406" s="761"/>
      <c r="Q406" s="761"/>
      <c r="R406" s="761"/>
      <c r="S406" s="761"/>
      <c r="T406" s="761"/>
    </row>
    <row r="407" spans="15:20">
      <c r="O407" s="761"/>
      <c r="P407" s="761"/>
      <c r="Q407" s="761"/>
      <c r="R407" s="761"/>
      <c r="S407" s="761"/>
      <c r="T407" s="761"/>
    </row>
    <row r="408" spans="15:20">
      <c r="O408" s="761"/>
      <c r="P408" s="761"/>
      <c r="Q408" s="761"/>
      <c r="R408" s="761"/>
      <c r="S408" s="761"/>
      <c r="T408" s="761"/>
    </row>
    <row r="409" spans="15:20">
      <c r="O409" s="761"/>
      <c r="P409" s="761"/>
      <c r="Q409" s="761"/>
      <c r="R409" s="761"/>
      <c r="S409" s="761"/>
      <c r="T409" s="761"/>
    </row>
    <row r="410" spans="15:20">
      <c r="O410" s="761"/>
      <c r="P410" s="761"/>
      <c r="Q410" s="761"/>
      <c r="R410" s="761"/>
      <c r="S410" s="761"/>
      <c r="T410" s="761"/>
    </row>
    <row r="411" spans="15:20">
      <c r="O411" s="761"/>
      <c r="P411" s="761"/>
      <c r="Q411" s="761"/>
      <c r="R411" s="761"/>
      <c r="S411" s="761"/>
      <c r="T411" s="761"/>
    </row>
    <row r="412" spans="15:20">
      <c r="O412" s="761"/>
      <c r="P412" s="761"/>
      <c r="Q412" s="761"/>
      <c r="R412" s="761"/>
      <c r="S412" s="761"/>
      <c r="T412" s="761"/>
    </row>
    <row r="413" spans="15:20">
      <c r="O413" s="761"/>
      <c r="P413" s="761"/>
      <c r="Q413" s="761"/>
      <c r="R413" s="761"/>
      <c r="S413" s="761"/>
      <c r="T413" s="761"/>
    </row>
    <row r="414" spans="15:20">
      <c r="O414" s="761"/>
      <c r="P414" s="761"/>
      <c r="Q414" s="761"/>
      <c r="R414" s="761"/>
      <c r="S414" s="761"/>
      <c r="T414" s="761"/>
    </row>
    <row r="415" spans="15:20">
      <c r="O415" s="761"/>
      <c r="P415" s="761"/>
      <c r="Q415" s="761"/>
      <c r="R415" s="761"/>
      <c r="S415" s="761"/>
      <c r="T415" s="761"/>
    </row>
    <row r="416" spans="15:20">
      <c r="O416" s="761"/>
      <c r="P416" s="761"/>
      <c r="Q416" s="761"/>
      <c r="R416" s="761"/>
      <c r="S416" s="761"/>
      <c r="T416" s="761"/>
    </row>
    <row r="417" spans="15:20">
      <c r="O417" s="761"/>
      <c r="P417" s="761"/>
      <c r="Q417" s="761"/>
      <c r="R417" s="761"/>
      <c r="S417" s="761"/>
      <c r="T417" s="761"/>
    </row>
    <row r="418" spans="15:20">
      <c r="O418" s="761"/>
      <c r="P418" s="761"/>
      <c r="Q418" s="761"/>
      <c r="R418" s="761"/>
      <c r="S418" s="761"/>
      <c r="T418" s="761"/>
    </row>
    <row r="419" spans="15:20">
      <c r="O419" s="761"/>
      <c r="P419" s="761"/>
      <c r="Q419" s="761"/>
      <c r="R419" s="761"/>
      <c r="S419" s="761"/>
      <c r="T419" s="761"/>
    </row>
    <row r="420" spans="15:20">
      <c r="O420" s="761"/>
      <c r="P420" s="761"/>
      <c r="Q420" s="761"/>
      <c r="R420" s="761"/>
      <c r="S420" s="761"/>
      <c r="T420" s="761"/>
    </row>
    <row r="421" spans="15:20">
      <c r="O421" s="761"/>
      <c r="P421" s="761"/>
      <c r="Q421" s="761"/>
      <c r="R421" s="761"/>
      <c r="S421" s="761"/>
      <c r="T421" s="761"/>
    </row>
    <row r="422" spans="15:20">
      <c r="O422" s="761"/>
      <c r="P422" s="761"/>
      <c r="Q422" s="761"/>
      <c r="R422" s="761"/>
      <c r="S422" s="761"/>
      <c r="T422" s="761"/>
    </row>
    <row r="423" spans="15:20">
      <c r="O423" s="761"/>
      <c r="P423" s="761"/>
      <c r="Q423" s="761"/>
      <c r="R423" s="761"/>
      <c r="S423" s="761"/>
      <c r="T423" s="761"/>
    </row>
    <row r="424" spans="15:20">
      <c r="O424" s="761"/>
      <c r="P424" s="761"/>
      <c r="Q424" s="761"/>
      <c r="R424" s="761"/>
      <c r="S424" s="761"/>
      <c r="T424" s="761"/>
    </row>
    <row r="425" spans="15:20">
      <c r="O425" s="761"/>
      <c r="P425" s="761"/>
      <c r="Q425" s="761"/>
      <c r="R425" s="761"/>
      <c r="S425" s="761"/>
      <c r="T425" s="761"/>
    </row>
    <row r="426" spans="15:20">
      <c r="O426" s="761"/>
      <c r="P426" s="761"/>
      <c r="Q426" s="761"/>
      <c r="R426" s="761"/>
      <c r="S426" s="761"/>
      <c r="T426" s="761"/>
    </row>
    <row r="427" spans="15:20">
      <c r="O427" s="761"/>
      <c r="P427" s="761"/>
      <c r="Q427" s="761"/>
      <c r="R427" s="761"/>
      <c r="S427" s="761"/>
      <c r="T427" s="761"/>
    </row>
    <row r="428" spans="15:20">
      <c r="O428" s="761"/>
      <c r="P428" s="761"/>
      <c r="Q428" s="761"/>
      <c r="R428" s="761"/>
      <c r="S428" s="761"/>
      <c r="T428" s="761"/>
    </row>
    <row r="429" spans="15:20">
      <c r="O429" s="761"/>
      <c r="P429" s="761"/>
      <c r="Q429" s="761"/>
      <c r="R429" s="761"/>
      <c r="S429" s="761"/>
      <c r="T429" s="761"/>
    </row>
    <row r="430" spans="15:20">
      <c r="O430" s="761"/>
      <c r="P430" s="761"/>
      <c r="Q430" s="761"/>
      <c r="R430" s="761"/>
      <c r="S430" s="761"/>
      <c r="T430" s="761"/>
    </row>
    <row r="431" spans="15:20">
      <c r="O431" s="761"/>
      <c r="P431" s="761"/>
      <c r="Q431" s="761"/>
      <c r="R431" s="761"/>
      <c r="S431" s="761"/>
      <c r="T431" s="761"/>
    </row>
    <row r="432" spans="15:20">
      <c r="O432" s="761"/>
      <c r="P432" s="761"/>
      <c r="Q432" s="761"/>
      <c r="R432" s="761"/>
      <c r="S432" s="761"/>
      <c r="T432" s="761"/>
    </row>
    <row r="433" spans="15:20">
      <c r="O433" s="761"/>
      <c r="P433" s="761"/>
      <c r="Q433" s="761"/>
      <c r="R433" s="761"/>
      <c r="S433" s="761"/>
      <c r="T433" s="761"/>
    </row>
    <row r="434" spans="15:20">
      <c r="O434" s="761"/>
      <c r="P434" s="761"/>
      <c r="Q434" s="761"/>
      <c r="R434" s="761"/>
      <c r="S434" s="761"/>
      <c r="T434" s="761"/>
    </row>
    <row r="435" spans="15:20">
      <c r="O435" s="761"/>
      <c r="P435" s="761"/>
      <c r="Q435" s="761"/>
      <c r="R435" s="761"/>
      <c r="S435" s="761"/>
      <c r="T435" s="761"/>
    </row>
    <row r="436" spans="15:20">
      <c r="O436" s="761"/>
      <c r="P436" s="761"/>
      <c r="Q436" s="761"/>
      <c r="R436" s="761"/>
      <c r="S436" s="761"/>
      <c r="T436" s="761"/>
    </row>
    <row r="437" spans="15:20">
      <c r="O437" s="761"/>
      <c r="P437" s="761"/>
      <c r="Q437" s="761"/>
      <c r="R437" s="761"/>
      <c r="S437" s="761"/>
      <c r="T437" s="761"/>
    </row>
    <row r="438" spans="15:20">
      <c r="O438" s="761"/>
      <c r="P438" s="761"/>
      <c r="Q438" s="761"/>
      <c r="R438" s="761"/>
      <c r="S438" s="761"/>
      <c r="T438" s="761"/>
    </row>
    <row r="439" spans="15:20">
      <c r="O439" s="761"/>
      <c r="P439" s="761"/>
      <c r="Q439" s="761"/>
      <c r="R439" s="761"/>
      <c r="S439" s="761"/>
      <c r="T439" s="761"/>
    </row>
    <row r="440" spans="15:20">
      <c r="O440" s="761"/>
      <c r="P440" s="761"/>
      <c r="Q440" s="761"/>
      <c r="R440" s="761"/>
      <c r="S440" s="761"/>
      <c r="T440" s="761"/>
    </row>
    <row r="441" spans="15:20">
      <c r="O441" s="761"/>
      <c r="P441" s="761"/>
      <c r="Q441" s="761"/>
      <c r="R441" s="761"/>
      <c r="S441" s="761"/>
      <c r="T441" s="761"/>
    </row>
    <row r="442" spans="15:20">
      <c r="O442" s="761"/>
      <c r="P442" s="761"/>
      <c r="Q442" s="761"/>
      <c r="R442" s="761"/>
      <c r="S442" s="761"/>
      <c r="T442" s="761"/>
    </row>
    <row r="443" spans="15:20">
      <c r="O443" s="761"/>
      <c r="P443" s="761"/>
      <c r="Q443" s="761"/>
      <c r="R443" s="761"/>
      <c r="S443" s="761"/>
      <c r="T443" s="761"/>
    </row>
    <row r="444" spans="15:20">
      <c r="O444" s="761"/>
      <c r="P444" s="761"/>
      <c r="Q444" s="761"/>
      <c r="R444" s="761"/>
      <c r="S444" s="761"/>
      <c r="T444" s="761"/>
    </row>
    <row r="445" spans="15:20">
      <c r="O445" s="761"/>
      <c r="P445" s="761"/>
      <c r="Q445" s="761"/>
      <c r="R445" s="761"/>
      <c r="S445" s="761"/>
      <c r="T445" s="761"/>
    </row>
    <row r="446" spans="15:20">
      <c r="O446" s="761"/>
      <c r="P446" s="761"/>
      <c r="Q446" s="761"/>
      <c r="R446" s="761"/>
      <c r="S446" s="761"/>
      <c r="T446" s="761"/>
    </row>
    <row r="447" spans="15:20">
      <c r="O447" s="761"/>
      <c r="P447" s="761"/>
      <c r="Q447" s="761"/>
      <c r="R447" s="761"/>
      <c r="S447" s="761"/>
      <c r="T447" s="761"/>
    </row>
    <row r="448" spans="15:20">
      <c r="O448" s="761"/>
      <c r="P448" s="761"/>
      <c r="Q448" s="761"/>
      <c r="R448" s="761"/>
      <c r="S448" s="761"/>
      <c r="T448" s="761"/>
    </row>
    <row r="449" spans="15:20">
      <c r="O449" s="761"/>
      <c r="P449" s="761"/>
      <c r="Q449" s="761"/>
      <c r="R449" s="761"/>
      <c r="S449" s="761"/>
      <c r="T449" s="761"/>
    </row>
    <row r="450" spans="15:20">
      <c r="O450" s="761"/>
      <c r="P450" s="761"/>
      <c r="Q450" s="761"/>
      <c r="R450" s="761"/>
      <c r="S450" s="761"/>
      <c r="T450" s="761"/>
    </row>
    <row r="451" spans="15:20">
      <c r="O451" s="761"/>
      <c r="P451" s="761"/>
      <c r="Q451" s="761"/>
      <c r="R451" s="761"/>
      <c r="S451" s="761"/>
      <c r="T451" s="761"/>
    </row>
    <row r="452" spans="15:20">
      <c r="O452" s="761"/>
      <c r="P452" s="761"/>
      <c r="Q452" s="761"/>
      <c r="R452" s="761"/>
      <c r="S452" s="761"/>
      <c r="T452" s="761"/>
    </row>
    <row r="453" spans="15:20">
      <c r="O453" s="761"/>
      <c r="P453" s="761"/>
      <c r="Q453" s="761"/>
      <c r="R453" s="761"/>
      <c r="S453" s="761"/>
      <c r="T453" s="761"/>
    </row>
    <row r="454" spans="15:20">
      <c r="O454" s="761"/>
      <c r="P454" s="761"/>
      <c r="Q454" s="761"/>
      <c r="R454" s="761"/>
      <c r="S454" s="761"/>
      <c r="T454" s="761"/>
    </row>
    <row r="455" spans="15:20">
      <c r="O455" s="761"/>
      <c r="P455" s="761"/>
      <c r="Q455" s="761"/>
      <c r="R455" s="761"/>
      <c r="S455" s="761"/>
      <c r="T455" s="761"/>
    </row>
    <row r="456" spans="15:20">
      <c r="O456" s="761"/>
      <c r="P456" s="761"/>
      <c r="Q456" s="761"/>
      <c r="R456" s="761"/>
      <c r="S456" s="761"/>
      <c r="T456" s="761"/>
    </row>
    <row r="457" spans="15:20">
      <c r="O457" s="761"/>
      <c r="P457" s="761"/>
      <c r="Q457" s="761"/>
      <c r="R457" s="761"/>
      <c r="S457" s="761"/>
      <c r="T457" s="761"/>
    </row>
    <row r="458" spans="15:20">
      <c r="O458" s="761"/>
      <c r="P458" s="761"/>
      <c r="Q458" s="761"/>
      <c r="R458" s="761"/>
      <c r="S458" s="761"/>
      <c r="T458" s="761"/>
    </row>
    <row r="459" spans="15:20">
      <c r="O459" s="761"/>
      <c r="P459" s="761"/>
      <c r="Q459" s="761"/>
      <c r="R459" s="761"/>
      <c r="S459" s="761"/>
      <c r="T459" s="761"/>
    </row>
    <row r="460" spans="15:20">
      <c r="O460" s="761"/>
      <c r="P460" s="761"/>
      <c r="Q460" s="761"/>
      <c r="R460" s="761"/>
      <c r="S460" s="761"/>
      <c r="T460" s="761"/>
    </row>
    <row r="461" spans="15:20">
      <c r="O461" s="761"/>
      <c r="P461" s="761"/>
      <c r="Q461" s="761"/>
      <c r="R461" s="761"/>
      <c r="S461" s="761"/>
      <c r="T461" s="761"/>
    </row>
    <row r="462" spans="15:20">
      <c r="O462" s="761"/>
      <c r="P462" s="761"/>
      <c r="Q462" s="761"/>
      <c r="R462" s="761"/>
      <c r="S462" s="761"/>
      <c r="T462" s="761"/>
    </row>
    <row r="463" spans="15:20">
      <c r="O463" s="761"/>
      <c r="P463" s="761"/>
      <c r="Q463" s="761"/>
      <c r="R463" s="761"/>
      <c r="S463" s="761"/>
      <c r="T463" s="761"/>
    </row>
    <row r="464" spans="15:20">
      <c r="O464" s="761"/>
      <c r="P464" s="761"/>
      <c r="Q464" s="761"/>
      <c r="R464" s="761"/>
      <c r="S464" s="761"/>
      <c r="T464" s="761"/>
    </row>
    <row r="465" spans="15:20">
      <c r="O465" s="761"/>
      <c r="P465" s="761"/>
      <c r="Q465" s="761"/>
      <c r="R465" s="761"/>
      <c r="S465" s="761"/>
      <c r="T465" s="761"/>
    </row>
    <row r="466" spans="15:20">
      <c r="O466" s="761"/>
      <c r="P466" s="761"/>
      <c r="Q466" s="761"/>
      <c r="R466" s="761"/>
      <c r="S466" s="761"/>
      <c r="T466" s="761"/>
    </row>
    <row r="467" spans="15:20">
      <c r="O467" s="761"/>
      <c r="P467" s="761"/>
      <c r="Q467" s="761"/>
      <c r="R467" s="761"/>
      <c r="S467" s="761"/>
      <c r="T467" s="761"/>
    </row>
    <row r="468" spans="15:20">
      <c r="O468" s="761"/>
      <c r="P468" s="761"/>
      <c r="Q468" s="761"/>
      <c r="R468" s="761"/>
      <c r="S468" s="761"/>
      <c r="T468" s="761"/>
    </row>
    <row r="469" spans="15:20">
      <c r="O469" s="761"/>
      <c r="P469" s="761"/>
      <c r="Q469" s="761"/>
      <c r="R469" s="761"/>
      <c r="S469" s="761"/>
      <c r="T469" s="761"/>
    </row>
    <row r="470" spans="15:20">
      <c r="O470" s="761"/>
      <c r="P470" s="761"/>
      <c r="Q470" s="761"/>
      <c r="R470" s="761"/>
      <c r="S470" s="761"/>
      <c r="T470" s="761"/>
    </row>
    <row r="471" spans="15:20">
      <c r="O471" s="761"/>
      <c r="P471" s="761"/>
      <c r="Q471" s="761"/>
      <c r="R471" s="761"/>
      <c r="S471" s="761"/>
      <c r="T471" s="761"/>
    </row>
    <row r="472" spans="15:20">
      <c r="O472" s="761"/>
      <c r="P472" s="761"/>
      <c r="Q472" s="761"/>
      <c r="R472" s="761"/>
      <c r="S472" s="761"/>
      <c r="T472" s="761"/>
    </row>
    <row r="473" spans="15:20">
      <c r="O473" s="761"/>
      <c r="P473" s="761"/>
      <c r="Q473" s="761"/>
      <c r="R473" s="761"/>
      <c r="S473" s="761"/>
      <c r="T473" s="761"/>
    </row>
    <row r="474" spans="15:20">
      <c r="O474" s="761"/>
      <c r="P474" s="761"/>
      <c r="Q474" s="761"/>
      <c r="R474" s="761"/>
      <c r="S474" s="761"/>
      <c r="T474" s="761"/>
    </row>
    <row r="475" spans="15:20">
      <c r="O475" s="761"/>
      <c r="P475" s="761"/>
      <c r="Q475" s="761"/>
      <c r="R475" s="761"/>
      <c r="S475" s="761"/>
      <c r="T475" s="761"/>
    </row>
    <row r="476" spans="15:20">
      <c r="O476" s="761"/>
      <c r="P476" s="761"/>
      <c r="Q476" s="761"/>
      <c r="R476" s="761"/>
      <c r="S476" s="761"/>
      <c r="T476" s="761"/>
    </row>
    <row r="477" spans="15:20">
      <c r="O477" s="761"/>
      <c r="P477" s="761"/>
      <c r="Q477" s="761"/>
      <c r="R477" s="761"/>
      <c r="S477" s="761"/>
      <c r="T477" s="761"/>
    </row>
    <row r="478" spans="15:20">
      <c r="O478" s="761"/>
      <c r="P478" s="761"/>
      <c r="Q478" s="761"/>
      <c r="R478" s="761"/>
      <c r="S478" s="761"/>
      <c r="T478" s="761"/>
    </row>
    <row r="479" spans="15:20">
      <c r="O479" s="761"/>
      <c r="P479" s="761"/>
      <c r="Q479" s="761"/>
      <c r="R479" s="761"/>
      <c r="S479" s="761"/>
      <c r="T479" s="761"/>
    </row>
    <row r="480" spans="15:20">
      <c r="O480" s="761"/>
      <c r="P480" s="761"/>
      <c r="Q480" s="761"/>
      <c r="R480" s="761"/>
      <c r="S480" s="761"/>
      <c r="T480" s="761"/>
    </row>
    <row r="481" spans="15:20">
      <c r="O481" s="761"/>
      <c r="P481" s="761"/>
      <c r="Q481" s="761"/>
      <c r="R481" s="761"/>
      <c r="S481" s="761"/>
      <c r="T481" s="761"/>
    </row>
    <row r="482" spans="15:20">
      <c r="O482" s="761"/>
      <c r="P482" s="761"/>
      <c r="Q482" s="761"/>
      <c r="R482" s="761"/>
      <c r="S482" s="761"/>
      <c r="T482" s="761"/>
    </row>
    <row r="483" spans="15:20">
      <c r="O483" s="761"/>
      <c r="P483" s="761"/>
      <c r="Q483" s="761"/>
      <c r="R483" s="761"/>
      <c r="S483" s="761"/>
      <c r="T483" s="761"/>
    </row>
    <row r="484" spans="15:20">
      <c r="O484" s="761"/>
      <c r="P484" s="761"/>
      <c r="Q484" s="761"/>
      <c r="R484" s="761"/>
      <c r="S484" s="761"/>
      <c r="T484" s="761"/>
    </row>
    <row r="485" spans="15:20">
      <c r="O485" s="761"/>
      <c r="P485" s="761"/>
      <c r="Q485" s="761"/>
      <c r="R485" s="761"/>
      <c r="S485" s="761"/>
      <c r="T485" s="761"/>
    </row>
    <row r="486" spans="15:20">
      <c r="O486" s="761"/>
      <c r="P486" s="761"/>
      <c r="Q486" s="761"/>
      <c r="R486" s="761"/>
      <c r="S486" s="761"/>
      <c r="T486" s="761"/>
    </row>
    <row r="487" spans="15:20">
      <c r="O487" s="761"/>
      <c r="P487" s="761"/>
      <c r="Q487" s="761"/>
      <c r="R487" s="761"/>
      <c r="S487" s="761"/>
      <c r="T487" s="761"/>
    </row>
    <row r="488" spans="15:20">
      <c r="O488" s="761"/>
      <c r="P488" s="761"/>
      <c r="Q488" s="761"/>
      <c r="R488" s="761"/>
      <c r="S488" s="761"/>
      <c r="T488" s="761"/>
    </row>
    <row r="489" spans="15:20">
      <c r="O489" s="761"/>
      <c r="P489" s="761"/>
      <c r="Q489" s="761"/>
      <c r="R489" s="761"/>
      <c r="S489" s="761"/>
      <c r="T489" s="761"/>
    </row>
    <row r="490" spans="15:20">
      <c r="O490" s="761"/>
      <c r="P490" s="761"/>
      <c r="Q490" s="761"/>
      <c r="R490" s="761"/>
      <c r="S490" s="761"/>
      <c r="T490" s="761"/>
    </row>
    <row r="491" spans="15:20">
      <c r="O491" s="761"/>
      <c r="P491" s="761"/>
      <c r="Q491" s="761"/>
      <c r="R491" s="761"/>
      <c r="S491" s="761"/>
      <c r="T491" s="761"/>
    </row>
    <row r="492" spans="15:20">
      <c r="O492" s="761"/>
      <c r="P492" s="761"/>
      <c r="Q492" s="761"/>
      <c r="R492" s="761"/>
      <c r="S492" s="761"/>
      <c r="T492" s="761"/>
    </row>
    <row r="493" spans="15:20">
      <c r="O493" s="761"/>
      <c r="P493" s="761"/>
      <c r="Q493" s="761"/>
      <c r="R493" s="761"/>
      <c r="S493" s="761"/>
      <c r="T493" s="761"/>
    </row>
    <row r="494" spans="15:20">
      <c r="O494" s="761"/>
      <c r="P494" s="761"/>
      <c r="Q494" s="761"/>
      <c r="R494" s="761"/>
      <c r="S494" s="761"/>
      <c r="T494" s="761"/>
    </row>
    <row r="495" spans="15:20">
      <c r="O495" s="761"/>
      <c r="P495" s="761"/>
      <c r="Q495" s="761"/>
      <c r="R495" s="761"/>
      <c r="S495" s="761"/>
      <c r="T495" s="761"/>
    </row>
    <row r="496" spans="15:20">
      <c r="O496" s="761"/>
      <c r="P496" s="761"/>
      <c r="Q496" s="761"/>
      <c r="R496" s="761"/>
      <c r="S496" s="761"/>
      <c r="T496" s="761"/>
    </row>
    <row r="497" spans="15:20">
      <c r="O497" s="761"/>
      <c r="P497" s="761"/>
      <c r="Q497" s="761"/>
      <c r="R497" s="761"/>
      <c r="S497" s="761"/>
      <c r="T497" s="761"/>
    </row>
    <row r="498" spans="15:20">
      <c r="O498" s="761"/>
      <c r="P498" s="761"/>
      <c r="Q498" s="761"/>
      <c r="R498" s="761"/>
      <c r="S498" s="761"/>
      <c r="T498" s="761"/>
    </row>
    <row r="499" spans="15:20">
      <c r="O499" s="761"/>
      <c r="P499" s="761"/>
      <c r="Q499" s="761"/>
      <c r="R499" s="761"/>
      <c r="S499" s="761"/>
      <c r="T499" s="761"/>
    </row>
    <row r="500" spans="15:20">
      <c r="O500" s="761"/>
      <c r="P500" s="761"/>
      <c r="Q500" s="761"/>
      <c r="R500" s="761"/>
      <c r="S500" s="761"/>
      <c r="T500" s="761"/>
    </row>
    <row r="501" spans="15:20">
      <c r="O501" s="761"/>
      <c r="P501" s="761"/>
      <c r="Q501" s="761"/>
      <c r="R501" s="761"/>
      <c r="S501" s="761"/>
      <c r="T501" s="761"/>
    </row>
    <row r="502" spans="15:20">
      <c r="O502" s="761"/>
      <c r="P502" s="761"/>
      <c r="Q502" s="761"/>
      <c r="R502" s="761"/>
      <c r="S502" s="761"/>
      <c r="T502" s="761"/>
    </row>
    <row r="503" spans="15:20">
      <c r="O503" s="761"/>
      <c r="P503" s="761"/>
      <c r="Q503" s="761"/>
      <c r="R503" s="761"/>
      <c r="S503" s="761"/>
      <c r="T503" s="761"/>
    </row>
    <row r="504" spans="15:20">
      <c r="O504" s="761"/>
      <c r="P504" s="761"/>
      <c r="Q504" s="761"/>
      <c r="R504" s="761"/>
      <c r="S504" s="761"/>
      <c r="T504" s="761"/>
    </row>
    <row r="505" spans="15:20">
      <c r="O505" s="761"/>
      <c r="P505" s="761"/>
      <c r="Q505" s="761"/>
      <c r="R505" s="761"/>
      <c r="S505" s="761"/>
      <c r="T505" s="761"/>
    </row>
    <row r="506" spans="15:20">
      <c r="O506" s="761"/>
      <c r="P506" s="761"/>
      <c r="Q506" s="761"/>
      <c r="R506" s="761"/>
      <c r="S506" s="761"/>
      <c r="T506" s="761"/>
    </row>
    <row r="507" spans="15:20">
      <c r="O507" s="761"/>
      <c r="P507" s="761"/>
      <c r="Q507" s="761"/>
      <c r="R507" s="761"/>
      <c r="S507" s="761"/>
      <c r="T507" s="761"/>
    </row>
    <row r="508" spans="15:20">
      <c r="O508" s="761"/>
      <c r="P508" s="761"/>
      <c r="Q508" s="761"/>
      <c r="R508" s="761"/>
      <c r="S508" s="761"/>
      <c r="T508" s="761"/>
    </row>
    <row r="509" spans="15:20">
      <c r="O509" s="761"/>
      <c r="P509" s="761"/>
      <c r="Q509" s="761"/>
      <c r="R509" s="761"/>
      <c r="S509" s="761"/>
      <c r="T509" s="761"/>
    </row>
    <row r="510" spans="15:20">
      <c r="O510" s="761"/>
      <c r="P510" s="761"/>
      <c r="Q510" s="761"/>
      <c r="R510" s="761"/>
      <c r="S510" s="761"/>
      <c r="T510" s="761"/>
    </row>
    <row r="511" spans="15:20">
      <c r="O511" s="761"/>
      <c r="P511" s="761"/>
      <c r="Q511" s="761"/>
      <c r="R511" s="761"/>
      <c r="S511" s="761"/>
      <c r="T511" s="761"/>
    </row>
    <row r="512" spans="15:20">
      <c r="O512" s="761"/>
      <c r="P512" s="761"/>
      <c r="Q512" s="761"/>
      <c r="R512" s="761"/>
      <c r="S512" s="761"/>
      <c r="T512" s="761"/>
    </row>
    <row r="513" spans="15:20">
      <c r="O513" s="761"/>
      <c r="P513" s="761"/>
      <c r="Q513" s="761"/>
      <c r="R513" s="761"/>
      <c r="S513" s="761"/>
      <c r="T513" s="761"/>
    </row>
    <row r="514" spans="15:20">
      <c r="O514" s="761"/>
      <c r="P514" s="761"/>
      <c r="Q514" s="761"/>
      <c r="R514" s="761"/>
      <c r="S514" s="761"/>
      <c r="T514" s="761"/>
    </row>
    <row r="515" spans="15:20">
      <c r="O515" s="761"/>
      <c r="P515" s="761"/>
      <c r="Q515" s="761"/>
      <c r="R515" s="761"/>
      <c r="S515" s="761"/>
      <c r="T515" s="761"/>
    </row>
    <row r="516" spans="15:20">
      <c r="O516" s="761"/>
      <c r="P516" s="761"/>
      <c r="Q516" s="761"/>
      <c r="R516" s="761"/>
      <c r="S516" s="761"/>
      <c r="T516" s="761"/>
    </row>
    <row r="517" spans="15:20">
      <c r="O517" s="761"/>
      <c r="P517" s="761"/>
      <c r="Q517" s="761"/>
      <c r="R517" s="761"/>
      <c r="S517" s="761"/>
      <c r="T517" s="761"/>
    </row>
    <row r="518" spans="15:20">
      <c r="O518" s="761"/>
      <c r="P518" s="761"/>
      <c r="Q518" s="761"/>
      <c r="R518" s="761"/>
      <c r="S518" s="761"/>
      <c r="T518" s="761"/>
    </row>
    <row r="519" spans="15:20">
      <c r="O519" s="761"/>
      <c r="P519" s="761"/>
      <c r="Q519" s="761"/>
      <c r="R519" s="761"/>
      <c r="S519" s="761"/>
      <c r="T519" s="761"/>
    </row>
    <row r="520" spans="15:20">
      <c r="O520" s="761"/>
      <c r="P520" s="761"/>
      <c r="Q520" s="761"/>
      <c r="R520" s="761"/>
      <c r="S520" s="761"/>
      <c r="T520" s="761"/>
    </row>
    <row r="521" spans="15:20">
      <c r="O521" s="761"/>
      <c r="P521" s="761"/>
      <c r="Q521" s="761"/>
      <c r="R521" s="761"/>
      <c r="S521" s="761"/>
      <c r="T521" s="761"/>
    </row>
    <row r="522" spans="15:20">
      <c r="O522" s="761"/>
      <c r="P522" s="761"/>
      <c r="Q522" s="761"/>
      <c r="R522" s="761"/>
      <c r="S522" s="761"/>
      <c r="T522" s="761"/>
    </row>
    <row r="523" spans="15:20">
      <c r="O523" s="761"/>
      <c r="P523" s="761"/>
      <c r="Q523" s="761"/>
      <c r="R523" s="761"/>
      <c r="S523" s="761"/>
      <c r="T523" s="761"/>
    </row>
    <row r="524" spans="15:20">
      <c r="O524" s="761"/>
      <c r="P524" s="761"/>
      <c r="Q524" s="761"/>
      <c r="R524" s="761"/>
      <c r="S524" s="761"/>
      <c r="T524" s="761"/>
    </row>
    <row r="525" spans="15:20">
      <c r="O525" s="761"/>
      <c r="P525" s="761"/>
      <c r="Q525" s="761"/>
      <c r="R525" s="761"/>
      <c r="S525" s="761"/>
      <c r="T525" s="761"/>
    </row>
    <row r="526" spans="15:20">
      <c r="O526" s="761"/>
      <c r="P526" s="761"/>
      <c r="Q526" s="761"/>
      <c r="R526" s="761"/>
      <c r="S526" s="761"/>
      <c r="T526" s="761"/>
    </row>
    <row r="527" spans="15:20">
      <c r="O527" s="761"/>
      <c r="P527" s="761"/>
      <c r="Q527" s="761"/>
      <c r="R527" s="761"/>
      <c r="S527" s="761"/>
      <c r="T527" s="761"/>
    </row>
    <row r="528" spans="15:20">
      <c r="O528" s="761"/>
      <c r="P528" s="761"/>
      <c r="Q528" s="761"/>
      <c r="R528" s="761"/>
      <c r="S528" s="761"/>
      <c r="T528" s="761"/>
    </row>
    <row r="529" spans="15:20">
      <c r="O529" s="761"/>
      <c r="P529" s="761"/>
      <c r="Q529" s="761"/>
      <c r="R529" s="761"/>
      <c r="S529" s="761"/>
      <c r="T529" s="761"/>
    </row>
    <row r="530" spans="15:20">
      <c r="O530" s="761"/>
      <c r="P530" s="761"/>
      <c r="Q530" s="761"/>
      <c r="R530" s="761"/>
      <c r="S530" s="761"/>
      <c r="T530" s="761"/>
    </row>
    <row r="531" spans="15:20">
      <c r="O531" s="761"/>
      <c r="P531" s="761"/>
      <c r="Q531" s="761"/>
      <c r="R531" s="761"/>
      <c r="S531" s="761"/>
      <c r="T531" s="761"/>
    </row>
    <row r="532" spans="15:20">
      <c r="O532" s="761"/>
      <c r="P532" s="761"/>
      <c r="Q532" s="761"/>
      <c r="R532" s="761"/>
      <c r="S532" s="761"/>
      <c r="T532" s="761"/>
    </row>
    <row r="533" spans="15:20">
      <c r="O533" s="761"/>
      <c r="P533" s="761"/>
      <c r="Q533" s="761"/>
      <c r="R533" s="761"/>
      <c r="S533" s="761"/>
      <c r="T533" s="761"/>
    </row>
    <row r="534" spans="15:20">
      <c r="O534" s="761"/>
      <c r="P534" s="761"/>
      <c r="Q534" s="761"/>
      <c r="R534" s="761"/>
      <c r="S534" s="761"/>
      <c r="T534" s="761"/>
    </row>
    <row r="535" spans="15:20">
      <c r="O535" s="761"/>
      <c r="P535" s="761"/>
      <c r="Q535" s="761"/>
      <c r="R535" s="761"/>
      <c r="S535" s="761"/>
      <c r="T535" s="761"/>
    </row>
    <row r="536" spans="15:20">
      <c r="O536" s="761"/>
      <c r="P536" s="761"/>
      <c r="Q536" s="761"/>
      <c r="R536" s="761"/>
      <c r="S536" s="761"/>
      <c r="T536" s="761"/>
    </row>
    <row r="537" spans="15:20">
      <c r="O537" s="761"/>
      <c r="P537" s="761"/>
      <c r="Q537" s="761"/>
      <c r="R537" s="761"/>
      <c r="S537" s="761"/>
      <c r="T537" s="761"/>
    </row>
  </sheetData>
  <autoFilter ref="A2:AC253" xr:uid="{8E9380A8-3C83-46D7-AA37-91E1272C63FA}"/>
  <phoneticPr fontId="3" type="noConversion"/>
  <conditionalFormatting sqref="C1:C2 C4:C1048576">
    <cfRule type="duplicateValues" dxfId="50" priority="5"/>
  </conditionalFormatting>
  <conditionalFormatting sqref="C3">
    <cfRule type="duplicateValues" dxfId="49" priority="1"/>
    <cfRule type="duplicateValues" dxfId="48" priority="2"/>
  </conditionalFormatting>
  <conditionalFormatting sqref="C79">
    <cfRule type="duplicateValues" dxfId="47" priority="8"/>
  </conditionalFormatting>
  <conditionalFormatting sqref="C170">
    <cfRule type="duplicateValues" dxfId="46" priority="6"/>
  </conditionalFormatting>
  <conditionalFormatting sqref="C171:C1048576 C2 C80:C169 C4:C78">
    <cfRule type="duplicateValues" dxfId="45" priority="10"/>
  </conditionalFormatting>
  <conditionalFormatting sqref="E3:E99 E101:E162 E164:E180 E182:E230 E232:E249 D234 E251:E252">
    <cfRule type="expression" priority="4" stopIfTrue="1">
      <formula>D2&lt;&gt;#REF!</formula>
    </cfRule>
  </conditionalFormatting>
  <conditionalFormatting sqref="E100 E163 E181 E231">
    <cfRule type="expression" priority="13" stopIfTrue="1">
      <formula>E98&lt;&gt;#REF!</formula>
    </cfRule>
  </conditionalFormatting>
  <conditionalFormatting sqref="E250">
    <cfRule type="expression" priority="12" stopIfTrue="1">
      <formula>E244&lt;&gt;#REF!</formula>
    </cfRule>
  </conditionalFormatting>
  <conditionalFormatting sqref="F3">
    <cfRule type="duplicateValues" dxfId="44" priority="3" stopIfTrue="1"/>
  </conditionalFormatting>
  <conditionalFormatting sqref="F4:F44 F47:F78 F80:F169 F171:F252">
    <cfRule type="duplicateValues" dxfId="43" priority="14" stopIfTrue="1"/>
  </conditionalFormatting>
  <conditionalFormatting sqref="F45:F46">
    <cfRule type="duplicateValues" dxfId="42" priority="11" stopIfTrue="1"/>
  </conditionalFormatting>
  <conditionalFormatting sqref="F79">
    <cfRule type="duplicateValues" dxfId="41" priority="9" stopIfTrue="1"/>
  </conditionalFormatting>
  <conditionalFormatting sqref="F170">
    <cfRule type="duplicateValues" dxfId="40" priority="7" stopIfTrue="1"/>
  </conditionalFormatting>
  <dataValidations count="1">
    <dataValidation type="list" allowBlank="1" showInputMessage="1" showErrorMessage="1" sqref="K3:K252" xr:uid="{B986C85D-B46E-46FB-9C7D-3C9857863D34}">
      <formula1>"G,KG,M,ML,MM,PCS,PLT,RL,SET,T"</formula1>
    </dataValidation>
  </dataValidation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EE9DB-EE12-4516-BF01-D9E18EACBD7F}">
  <sheetPr>
    <tabColor rgb="FFFFC2C1"/>
  </sheetPr>
  <dimension ref="A1:AO1001"/>
  <sheetViews>
    <sheetView topLeftCell="A31" zoomScale="74" zoomScaleNormal="55" workbookViewId="0">
      <selection activeCell="E20" sqref="E20"/>
    </sheetView>
  </sheetViews>
  <sheetFormatPr defaultColWidth="12.54296875" defaultRowHeight="12.5"/>
  <cols>
    <col min="1" max="1" width="1.90625" style="298" customWidth="1"/>
    <col min="2" max="2" width="8.81640625" style="303" customWidth="1"/>
    <col min="3" max="3" width="8.08984375" style="303" customWidth="1"/>
    <col min="4" max="4" width="35.26953125" style="299" customWidth="1"/>
    <col min="5" max="5" width="54.1796875" style="398" customWidth="1"/>
    <col min="6" max="7" width="26.54296875" style="303" customWidth="1"/>
    <col min="8" max="8" width="21.81640625" style="303" customWidth="1"/>
    <col min="9" max="9" width="31.453125" style="303" customWidth="1"/>
    <col min="10" max="10" width="31.7265625" style="303" customWidth="1"/>
    <col min="11" max="11" width="30" style="303" customWidth="1"/>
    <col min="12" max="12" width="25.54296875" style="303" customWidth="1"/>
    <col min="13" max="13" width="27.6328125" style="303" customWidth="1"/>
    <col min="14" max="14" width="14.90625" style="303" customWidth="1"/>
    <col min="15" max="15" width="43" style="303" customWidth="1"/>
    <col min="16" max="16" width="22" style="303" customWidth="1"/>
    <col min="17" max="17" width="42.36328125" style="298" customWidth="1"/>
    <col min="18" max="18" width="24.1796875" style="298" bestFit="1" customWidth="1"/>
    <col min="19" max="19" width="34.26953125" style="298" customWidth="1"/>
    <col min="20" max="20" width="6.453125" style="298" customWidth="1"/>
    <col min="21" max="21" width="2.90625" style="298" customWidth="1"/>
    <col min="22" max="22" width="35.90625" style="303" customWidth="1"/>
    <col min="23" max="23" width="33.08984375" style="303" bestFit="1" customWidth="1"/>
    <col min="24" max="24" width="5.90625" style="305" customWidth="1"/>
    <col min="25" max="25" width="12.54296875" style="306"/>
    <col min="26" max="31" width="12.54296875" style="303"/>
    <col min="32" max="33" width="1.36328125" style="303" customWidth="1"/>
    <col min="34" max="38" width="12.54296875" style="303"/>
    <col min="39" max="39" width="12.54296875" style="298"/>
    <col min="40" max="41" width="8.6328125" style="298" bestFit="1" customWidth="1"/>
    <col min="42" max="16384" width="12.54296875" style="298"/>
  </cols>
  <sheetData>
    <row r="1" spans="1:41">
      <c r="B1" s="298"/>
      <c r="C1" s="298"/>
      <c r="E1" s="300"/>
      <c r="F1" s="298"/>
      <c r="G1" s="301"/>
      <c r="H1" s="301"/>
      <c r="I1" s="298"/>
      <c r="J1" s="302"/>
      <c r="K1" s="298"/>
      <c r="M1" s="304"/>
      <c r="N1" s="298"/>
      <c r="O1" s="298"/>
      <c r="P1" s="298"/>
      <c r="V1" s="298"/>
      <c r="W1" s="298"/>
    </row>
    <row r="2" spans="1:41" ht="6" customHeight="1">
      <c r="B2" s="298"/>
      <c r="C2" s="298"/>
      <c r="D2" s="307"/>
      <c r="E2" s="308"/>
      <c r="F2" s="309"/>
      <c r="G2" s="309"/>
      <c r="H2" s="309"/>
      <c r="I2" s="309"/>
      <c r="J2" s="309"/>
      <c r="K2" s="310"/>
      <c r="L2" s="311"/>
      <c r="M2" s="311"/>
      <c r="N2" s="311"/>
      <c r="O2" s="312"/>
      <c r="P2" s="298"/>
      <c r="V2" s="298"/>
      <c r="W2" s="298"/>
    </row>
    <row r="3" spans="1:41" ht="28" customHeight="1">
      <c r="B3" s="298"/>
      <c r="C3" s="301"/>
      <c r="D3" s="301"/>
      <c r="E3" s="942" t="s">
        <v>634</v>
      </c>
      <c r="F3" s="942"/>
      <c r="G3" s="581"/>
      <c r="H3" s="942" t="s">
        <v>635</v>
      </c>
      <c r="I3" s="942"/>
      <c r="J3" s="942"/>
      <c r="K3" s="942"/>
      <c r="L3" s="314"/>
      <c r="M3" s="942" t="s">
        <v>636</v>
      </c>
      <c r="N3" s="942"/>
      <c r="O3" s="942"/>
      <c r="P3" s="943"/>
      <c r="V3" s="298"/>
      <c r="W3" s="298"/>
    </row>
    <row r="4" spans="1:41" ht="16.5" customHeight="1">
      <c r="B4" s="298"/>
      <c r="C4" s="298"/>
      <c r="D4" s="298"/>
      <c r="E4" s="315" t="s">
        <v>637</v>
      </c>
      <c r="F4" s="316" t="s">
        <v>638</v>
      </c>
      <c r="G4" s="298"/>
      <c r="H4" s="317" t="s">
        <v>639</v>
      </c>
      <c r="I4" s="318" t="s">
        <v>6</v>
      </c>
      <c r="J4" s="317" t="s">
        <v>640</v>
      </c>
      <c r="K4" s="318" t="s">
        <v>641</v>
      </c>
      <c r="L4" s="298"/>
      <c r="M4" s="319" t="s">
        <v>642</v>
      </c>
      <c r="N4" s="320">
        <v>1.5</v>
      </c>
      <c r="O4" s="319" t="s">
        <v>643</v>
      </c>
      <c r="P4" s="321"/>
      <c r="R4" s="322" t="s">
        <v>644</v>
      </c>
      <c r="S4" s="323">
        <v>0.85</v>
      </c>
      <c r="U4" s="300"/>
      <c r="V4" s="298"/>
      <c r="W4" s="298"/>
      <c r="X4" s="324"/>
      <c r="Z4" s="325"/>
      <c r="AA4" s="325"/>
      <c r="AB4" s="325"/>
      <c r="AC4" s="325"/>
      <c r="AD4" s="325"/>
      <c r="AE4" s="325"/>
      <c r="AH4" s="944"/>
      <c r="AI4" s="945"/>
      <c r="AJ4" s="945"/>
      <c r="AK4" s="945"/>
      <c r="AL4" s="945"/>
    </row>
    <row r="5" spans="1:41" ht="16.5" customHeight="1">
      <c r="B5" s="326"/>
      <c r="C5" s="326"/>
      <c r="D5" s="327" t="s">
        <v>645</v>
      </c>
      <c r="E5" s="315" t="s">
        <v>646</v>
      </c>
      <c r="F5" s="316" t="s">
        <v>647</v>
      </c>
      <c r="G5" s="298"/>
      <c r="H5" s="328" t="s">
        <v>648</v>
      </c>
      <c r="I5" s="318" t="s">
        <v>649</v>
      </c>
      <c r="J5" s="329" t="s">
        <v>650</v>
      </c>
      <c r="K5" s="330">
        <v>272</v>
      </c>
      <c r="L5" s="298"/>
      <c r="M5" s="319" t="s">
        <v>651</v>
      </c>
      <c r="N5" s="330">
        <v>0</v>
      </c>
      <c r="O5" s="319" t="s">
        <v>652</v>
      </c>
      <c r="P5" s="331"/>
      <c r="R5" s="322" t="s">
        <v>653</v>
      </c>
      <c r="S5" s="332">
        <f>IFERROR(($F$7*$F$8*3600/$I$9)*S4,"")</f>
        <v>328.95</v>
      </c>
      <c r="U5" s="300"/>
      <c r="V5" s="298"/>
      <c r="W5" s="298"/>
      <c r="X5" s="324"/>
      <c r="Y5" s="950"/>
      <c r="Z5" s="951"/>
      <c r="AA5" s="325"/>
      <c r="AB5" s="325"/>
      <c r="AC5" s="325"/>
      <c r="AD5" s="325"/>
      <c r="AE5" s="325"/>
      <c r="AH5" s="946"/>
      <c r="AI5" s="947"/>
      <c r="AJ5" s="947"/>
      <c r="AK5" s="947"/>
      <c r="AL5" s="947"/>
    </row>
    <row r="6" spans="1:41" ht="16.5" customHeight="1">
      <c r="B6" s="300"/>
      <c r="C6" s="300"/>
      <c r="D6" s="333" t="s">
        <v>654</v>
      </c>
      <c r="E6" s="315" t="s">
        <v>655</v>
      </c>
      <c r="F6" s="316" t="s">
        <v>1581</v>
      </c>
      <c r="G6" s="298"/>
      <c r="H6" s="329" t="s">
        <v>657</v>
      </c>
      <c r="I6" s="334">
        <v>6</v>
      </c>
      <c r="J6" s="329" t="s">
        <v>658</v>
      </c>
      <c r="K6" s="330">
        <v>56</v>
      </c>
      <c r="L6" s="298"/>
      <c r="M6" s="319" t="s">
        <v>659</v>
      </c>
      <c r="N6" s="330">
        <v>0</v>
      </c>
      <c r="O6" s="319" t="s">
        <v>660</v>
      </c>
      <c r="P6" s="331"/>
      <c r="R6" s="335" t="s">
        <v>661</v>
      </c>
      <c r="S6" s="336">
        <f>MAX([11]Summary!D3:D28)</f>
        <v>0</v>
      </c>
      <c r="U6" s="300"/>
      <c r="V6" s="298"/>
      <c r="W6" s="298"/>
      <c r="X6" s="324"/>
      <c r="Y6" s="337"/>
      <c r="Z6" s="325"/>
      <c r="AA6" s="325"/>
      <c r="AB6" s="325"/>
      <c r="AC6" s="325"/>
      <c r="AD6" s="325"/>
      <c r="AE6" s="325"/>
      <c r="AH6" s="946"/>
      <c r="AI6" s="947"/>
      <c r="AJ6" s="947"/>
      <c r="AK6" s="947"/>
      <c r="AL6" s="947"/>
    </row>
    <row r="7" spans="1:41" ht="16.5" customHeight="1">
      <c r="B7" s="300"/>
      <c r="C7" s="300"/>
      <c r="D7" s="338" t="s">
        <v>662</v>
      </c>
      <c r="E7" s="315" t="s">
        <v>663</v>
      </c>
      <c r="F7" s="316">
        <v>5</v>
      </c>
      <c r="G7" s="298"/>
      <c r="H7" s="328" t="s">
        <v>664</v>
      </c>
      <c r="I7" s="334" t="s">
        <v>1415</v>
      </c>
      <c r="J7" s="322" t="s">
        <v>666</v>
      </c>
      <c r="K7" s="330" t="s">
        <v>1416</v>
      </c>
      <c r="L7" s="298"/>
      <c r="M7" s="319" t="s">
        <v>668</v>
      </c>
      <c r="N7" s="330">
        <v>0</v>
      </c>
      <c r="O7" s="319" t="s">
        <v>669</v>
      </c>
      <c r="P7" s="331"/>
      <c r="R7" s="339" t="s">
        <v>670</v>
      </c>
      <c r="S7" s="340">
        <f ca="1">TODAY()+(MAX($H$13:$H$9998))*7</f>
        <v>46294</v>
      </c>
      <c r="U7" s="300"/>
      <c r="V7" s="298"/>
      <c r="W7" s="298"/>
      <c r="X7" s="324"/>
      <c r="Y7" s="337"/>
      <c r="Z7" s="325"/>
      <c r="AA7" s="325"/>
      <c r="AB7" s="325"/>
      <c r="AC7" s="325"/>
      <c r="AD7" s="325"/>
      <c r="AE7" s="325"/>
      <c r="AH7" s="948"/>
      <c r="AI7" s="949"/>
      <c r="AJ7" s="949"/>
      <c r="AK7" s="949"/>
      <c r="AL7" s="949"/>
    </row>
    <row r="8" spans="1:41" ht="16.5" customHeight="1">
      <c r="B8" s="300"/>
      <c r="C8" s="300"/>
      <c r="D8" s="341" t="s">
        <v>671</v>
      </c>
      <c r="E8" s="315" t="s">
        <v>672</v>
      </c>
      <c r="F8" s="316">
        <v>21.5</v>
      </c>
      <c r="G8" s="298"/>
      <c r="H8" s="328" t="s">
        <v>673</v>
      </c>
      <c r="I8" s="334" t="s">
        <v>1417</v>
      </c>
      <c r="J8" s="322" t="s">
        <v>666</v>
      </c>
      <c r="K8" s="330" t="s">
        <v>1418</v>
      </c>
      <c r="L8" s="298"/>
      <c r="M8" s="339"/>
      <c r="N8" s="342"/>
      <c r="O8" s="298"/>
      <c r="P8" s="343"/>
      <c r="Q8" s="344"/>
      <c r="S8" s="300"/>
      <c r="T8" s="300"/>
      <c r="U8" s="300"/>
      <c r="V8" s="298"/>
      <c r="W8" s="298"/>
      <c r="X8" s="324"/>
      <c r="Y8" s="337"/>
      <c r="Z8" s="325"/>
      <c r="AA8" s="325"/>
      <c r="AB8" s="325"/>
      <c r="AC8" s="325"/>
      <c r="AD8" s="325"/>
      <c r="AE8" s="325"/>
      <c r="AH8" s="582"/>
      <c r="AI8" s="583"/>
      <c r="AJ8" s="583"/>
      <c r="AK8" s="583"/>
      <c r="AL8" s="583"/>
    </row>
    <row r="9" spans="1:41" ht="15" customHeight="1">
      <c r="B9" s="298"/>
      <c r="C9" s="298"/>
      <c r="D9" s="298"/>
      <c r="E9" s="315" t="s">
        <v>675</v>
      </c>
      <c r="F9" s="316">
        <v>9.5</v>
      </c>
      <c r="G9" s="298"/>
      <c r="H9" s="319" t="s">
        <v>676</v>
      </c>
      <c r="I9" s="347">
        <v>1000</v>
      </c>
      <c r="J9" s="322" t="s">
        <v>677</v>
      </c>
      <c r="K9" s="348">
        <v>540</v>
      </c>
      <c r="L9" s="298"/>
      <c r="M9" s="298"/>
      <c r="N9" s="298"/>
      <c r="O9" s="298"/>
      <c r="P9" s="301"/>
      <c r="U9" s="349"/>
      <c r="V9" s="298"/>
      <c r="W9" s="298"/>
    </row>
    <row r="10" spans="1:41" ht="15" customHeight="1">
      <c r="B10" s="312"/>
      <c r="C10" s="312"/>
      <c r="D10" s="312"/>
      <c r="E10" s="298"/>
      <c r="F10" s="298"/>
      <c r="G10" s="298"/>
      <c r="H10" s="298"/>
      <c r="I10" s="298"/>
      <c r="J10" s="298"/>
      <c r="K10" s="298"/>
      <c r="L10" s="298"/>
      <c r="M10" s="298"/>
      <c r="N10" s="298"/>
      <c r="O10" s="312"/>
      <c r="P10" s="312"/>
      <c r="Q10" s="301"/>
      <c r="S10" s="350"/>
      <c r="U10" s="349"/>
      <c r="V10" s="298"/>
      <c r="W10" s="298"/>
    </row>
    <row r="11" spans="1:41" ht="18" customHeight="1">
      <c r="B11" s="312"/>
      <c r="C11" s="312"/>
      <c r="D11" s="307"/>
      <c r="E11" s="351"/>
      <c r="F11" s="352"/>
      <c r="G11" s="352"/>
      <c r="H11" s="312"/>
      <c r="I11" s="352"/>
      <c r="J11" s="312"/>
      <c r="K11" s="352"/>
      <c r="L11" s="312"/>
      <c r="M11" s="312"/>
      <c r="N11" s="309"/>
      <c r="O11" s="353" t="s">
        <v>678</v>
      </c>
      <c r="P11" s="354">
        <f>SUM($P$13:$P$999)</f>
        <v>0.16801253989968082</v>
      </c>
      <c r="Q11" s="355"/>
      <c r="R11" s="356">
        <f>SUM(R13:R212)</f>
        <v>61</v>
      </c>
      <c r="S11" s="357">
        <f>SUM(S13:S212)</f>
        <v>4410995</v>
      </c>
      <c r="T11" s="358">
        <f>SUM(T13:T212)</f>
        <v>12.7</v>
      </c>
      <c r="V11" s="298"/>
      <c r="W11" s="298"/>
    </row>
    <row r="12" spans="1:41" ht="57" customHeight="1">
      <c r="A12" s="301"/>
      <c r="B12" s="359" t="s">
        <v>679</v>
      </c>
      <c r="C12" s="360" t="s">
        <v>680</v>
      </c>
      <c r="D12" s="359" t="s">
        <v>681</v>
      </c>
      <c r="E12" s="359" t="s">
        <v>682</v>
      </c>
      <c r="F12" s="360" t="s">
        <v>683</v>
      </c>
      <c r="G12" s="360" t="s">
        <v>684</v>
      </c>
      <c r="H12" s="359" t="s">
        <v>685</v>
      </c>
      <c r="I12" s="359" t="s">
        <v>686</v>
      </c>
      <c r="J12" s="361" t="s">
        <v>687</v>
      </c>
      <c r="K12" s="362" t="s">
        <v>688</v>
      </c>
      <c r="L12" s="359" t="s">
        <v>689</v>
      </c>
      <c r="M12" s="359" t="s">
        <v>690</v>
      </c>
      <c r="N12" s="359" t="s">
        <v>691</v>
      </c>
      <c r="O12" s="363" t="s">
        <v>692</v>
      </c>
      <c r="P12" s="364" t="s">
        <v>678</v>
      </c>
      <c r="Q12" s="365" t="s">
        <v>693</v>
      </c>
      <c r="R12" s="365" t="s">
        <v>694</v>
      </c>
      <c r="S12" s="366" t="s">
        <v>695</v>
      </c>
      <c r="T12" s="365" t="s">
        <v>696</v>
      </c>
      <c r="U12" s="367"/>
      <c r="V12" s="368" t="s">
        <v>1419</v>
      </c>
      <c r="W12" s="368" t="s">
        <v>1420</v>
      </c>
      <c r="X12" s="369"/>
    </row>
    <row r="13" spans="1:41" ht="16.5" customHeight="1">
      <c r="A13" s="301"/>
      <c r="B13" s="370">
        <v>1</v>
      </c>
      <c r="C13" s="371">
        <v>1</v>
      </c>
      <c r="D13" s="372" t="str">
        <f>IFERROR(INDEX('[11]Equipment List'!$B$2:$B$2008,MATCH(E13,'[11]Equipment List'!$A$2:$A$2008,0)),"")</f>
        <v>Transport Loader/Unloader</v>
      </c>
      <c r="E13" s="373" t="s">
        <v>697</v>
      </c>
      <c r="F13" s="374" t="s">
        <v>698</v>
      </c>
      <c r="G13" s="375" t="s">
        <v>699</v>
      </c>
      <c r="H13" s="376">
        <v>0</v>
      </c>
      <c r="I13" s="377" t="s">
        <v>700</v>
      </c>
      <c r="J13" s="378" t="s">
        <v>701</v>
      </c>
      <c r="K13" s="379">
        <v>8190</v>
      </c>
      <c r="L13" s="370">
        <v>0.5</v>
      </c>
      <c r="M13" s="380">
        <f t="array" ref="M13">IF(L13="","",(MAX(IF(AN$15:AN$144=B13,AO$15:AO$144))/60))</f>
        <v>8.3333333333333329E-2</v>
      </c>
      <c r="N13" s="370">
        <v>0</v>
      </c>
      <c r="O13" s="370" t="s">
        <v>201</v>
      </c>
      <c r="P13" s="381">
        <f t="shared" ref="P13:P73" si="0">IFERROR((((K13/5/250/$F$8)+(N13*$F$9))/$S$4)*(M13/60),"")</f>
        <v>4.9794801641586857E-4</v>
      </c>
      <c r="Q13" s="382" t="str">
        <f t="array" ref="Q13">IFERROR(INDEX($D$13:$D$1000,MATCH(0,COUNTIF($Q$12:Q12,$D$13:$D$1000&amp;"")+IF($D$13:$D$1000="",1,0),0)),"")</f>
        <v>Transport Loader/Unloader</v>
      </c>
      <c r="R13" s="356">
        <f t="shared" ref="R13:R76" si="1">IF(Q13="","",COUNTIF($D$13:$D$1000,$Q13))</f>
        <v>7</v>
      </c>
      <c r="S13" s="383">
        <f>IF($Q13="","",SUMIF($D$13:$D$1000,$Q13,K$13:K$1000))</f>
        <v>57330</v>
      </c>
      <c r="T13" s="384">
        <f t="shared" ref="T13:T76" si="2">IF($Q13="","",SUMIF($D$13:$D$1000,$Q13,N$13:N$1000))</f>
        <v>3.8</v>
      </c>
      <c r="U13" s="349"/>
      <c r="V13" s="385"/>
      <c r="W13" s="385"/>
      <c r="X13" s="386" t="s">
        <v>702</v>
      </c>
    </row>
    <row r="14" spans="1:41" ht="16.5" customHeight="1">
      <c r="A14" s="301"/>
      <c r="B14" s="387">
        <v>1</v>
      </c>
      <c r="C14" s="371">
        <v>2</v>
      </c>
      <c r="D14" s="372" t="str">
        <f>IFERROR(INDEX('[11]Equipment List'!$B$2:$B$2008,MATCH(E14,'[11]Equipment List'!$A$2:$A$2008,0)),"")</f>
        <v>Transport Destacker</v>
      </c>
      <c r="E14" s="388" t="s">
        <v>703</v>
      </c>
      <c r="F14" s="374" t="s">
        <v>698</v>
      </c>
      <c r="G14" s="375" t="s">
        <v>699</v>
      </c>
      <c r="H14" s="376">
        <v>0</v>
      </c>
      <c r="I14" s="377" t="s">
        <v>700</v>
      </c>
      <c r="J14" s="378" t="s">
        <v>704</v>
      </c>
      <c r="K14" s="379">
        <v>6500</v>
      </c>
      <c r="L14" s="370">
        <v>0.5</v>
      </c>
      <c r="M14" s="380">
        <f t="array" ref="M14">IF(L14="","",(MAX(IF(AN$15:AN$144=B14,AO$15:AO$144))/60))</f>
        <v>8.3333333333333329E-2</v>
      </c>
      <c r="N14" s="387">
        <v>0.6</v>
      </c>
      <c r="O14" s="387" t="s">
        <v>705</v>
      </c>
      <c r="P14" s="381">
        <f t="shared" si="0"/>
        <v>9.7089223286213697E-3</v>
      </c>
      <c r="Q14" s="382" t="str">
        <f t="array" ref="Q14">IFERROR(INDEX($D$13:$D$1000,MATCH(0,COUNTIF($Q$12:Q13,$D$13:$D$1000&amp;"")+IF($D$13:$D$1000="",1,0),0)),"")</f>
        <v>Transport Destacker</v>
      </c>
      <c r="R14" s="356">
        <f t="shared" si="1"/>
        <v>2</v>
      </c>
      <c r="S14" s="383">
        <f t="shared" ref="S14:S77" si="3">IF($Q14="","",SUMIF($D$13:$D$1000,$Q14,K$13:K$1000))</f>
        <v>13000</v>
      </c>
      <c r="T14" s="384">
        <f t="shared" si="2"/>
        <v>0.6</v>
      </c>
      <c r="U14" s="349"/>
      <c r="V14" s="385"/>
      <c r="W14" s="385"/>
      <c r="X14" s="386" t="s">
        <v>698</v>
      </c>
    </row>
    <row r="15" spans="1:41" ht="16.5" customHeight="1">
      <c r="A15" s="301"/>
      <c r="B15" s="370">
        <v>1</v>
      </c>
      <c r="C15" s="371">
        <v>3</v>
      </c>
      <c r="D15" s="372" t="str">
        <f>IFERROR(INDEX('[11]Equipment List'!$B$2:$B$2008,MATCH(E15,'[11]Equipment List'!$A$2:$A$2008,0)),"")</f>
        <v>Transport Conveyor</v>
      </c>
      <c r="E15" s="388" t="s">
        <v>706</v>
      </c>
      <c r="F15" s="374" t="s">
        <v>698</v>
      </c>
      <c r="G15" s="375" t="s">
        <v>699</v>
      </c>
      <c r="H15" s="376">
        <v>0</v>
      </c>
      <c r="I15" s="377" t="s">
        <v>700</v>
      </c>
      <c r="J15" s="378" t="s">
        <v>707</v>
      </c>
      <c r="K15" s="379">
        <v>3818</v>
      </c>
      <c r="L15" s="370">
        <v>0.5</v>
      </c>
      <c r="M15" s="380">
        <f t="array" ref="M15">IF(L15="","",(MAX(IF(AN$15:AN$144=B15,AO$15:AO$144))/60))</f>
        <v>8.3333333333333329E-2</v>
      </c>
      <c r="N15" s="387">
        <v>0</v>
      </c>
      <c r="O15" s="387"/>
      <c r="P15" s="381">
        <f t="shared" si="0"/>
        <v>2.321325429396565E-4</v>
      </c>
      <c r="Q15" s="382" t="str">
        <f t="array" ref="Q15">IFERROR(INDEX($D$13:$D$1000,MATCH(0,COUNTIF($Q$12:Q14,$D$13:$D$1000&amp;"")+IF($D$13:$D$1000="",1,0),0)),"")</f>
        <v>Transport Conveyor</v>
      </c>
      <c r="R15" s="356">
        <f t="shared" si="1"/>
        <v>12</v>
      </c>
      <c r="S15" s="383">
        <f t="shared" si="3"/>
        <v>46920</v>
      </c>
      <c r="T15" s="384">
        <f t="shared" si="2"/>
        <v>0</v>
      </c>
      <c r="U15" s="349"/>
      <c r="V15" s="385"/>
      <c r="W15" s="385"/>
      <c r="X15" s="386" t="s">
        <v>708</v>
      </c>
      <c r="AN15" s="298">
        <f t="array" ref="AN15">_xlfn.UNIQUE($B$13:$B$9998,FALSE,FALSE)</f>
        <v>1</v>
      </c>
      <c r="AO15" s="298">
        <f t="array" ref="AO15">MAX(IF($B$13:$B$1753=AN15,$L$13:$L$1753))</f>
        <v>5</v>
      </c>
    </row>
    <row r="16" spans="1:41" ht="16.5" customHeight="1">
      <c r="A16" s="301"/>
      <c r="B16" s="387">
        <v>1</v>
      </c>
      <c r="C16" s="371">
        <v>4</v>
      </c>
      <c r="D16" s="372" t="str">
        <f>IFERROR(INDEX('[11]Equipment List'!$B$2:$B$2008,MATCH(E16,'[11]Equipment List'!$A$2:$A$2008,0)),"")</f>
        <v>Labeling</v>
      </c>
      <c r="E16" s="388" t="s">
        <v>709</v>
      </c>
      <c r="F16" s="374" t="s">
        <v>702</v>
      </c>
      <c r="G16" s="375" t="s">
        <v>699</v>
      </c>
      <c r="H16" s="376">
        <v>0</v>
      </c>
      <c r="I16" s="377" t="s">
        <v>710</v>
      </c>
      <c r="J16" s="378" t="s">
        <v>711</v>
      </c>
      <c r="K16" s="379">
        <v>76181</v>
      </c>
      <c r="L16" s="387">
        <v>4</v>
      </c>
      <c r="M16" s="380">
        <f>IF(L16="","",(MAX(IF(AN$15:AN$144=B16,AO$15:AO$144))/60))</f>
        <v>0</v>
      </c>
      <c r="N16" s="387">
        <v>0</v>
      </c>
      <c r="O16" s="387"/>
      <c r="P16" s="381">
        <f t="shared" si="0"/>
        <v>0</v>
      </c>
      <c r="Q16" s="382" t="str">
        <f t="array" ref="Q16">IFERROR(INDEX($D$13:$D$1000,MATCH(0,COUNTIF($Q$12:Q15,$D$13:$D$1000&amp;"")+IF($D$13:$D$1000="",1,0),0)),"")</f>
        <v>Labeling</v>
      </c>
      <c r="R16" s="356">
        <f t="shared" si="1"/>
        <v>2</v>
      </c>
      <c r="S16" s="383">
        <f t="shared" si="3"/>
        <v>152362</v>
      </c>
      <c r="T16" s="384">
        <f t="shared" si="2"/>
        <v>0</v>
      </c>
      <c r="U16" s="349"/>
      <c r="V16" s="385"/>
      <c r="W16" s="385"/>
      <c r="X16" s="386" t="s">
        <v>712</v>
      </c>
      <c r="AO16" s="298">
        <f t="array" ref="AO16">MAX(IF($B$13:$B$1753=AN16,$L$13:$L$1753))</f>
        <v>0</v>
      </c>
    </row>
    <row r="17" spans="1:41" ht="16.5" customHeight="1">
      <c r="A17" s="301"/>
      <c r="B17" s="370">
        <v>1</v>
      </c>
      <c r="C17" s="371">
        <v>5</v>
      </c>
      <c r="D17" s="372" t="str">
        <f>IFERROR(INDEX('[11]Equipment List'!$B$2:$B$2008,MATCH(E17,'[11]Equipment List'!$A$2:$A$2008,0)),"")</f>
        <v>Transport Conveyor</v>
      </c>
      <c r="E17" s="388" t="s">
        <v>713</v>
      </c>
      <c r="F17" s="374" t="s">
        <v>698</v>
      </c>
      <c r="G17" s="375" t="s">
        <v>699</v>
      </c>
      <c r="H17" s="376">
        <v>0</v>
      </c>
      <c r="I17" s="377" t="s">
        <v>700</v>
      </c>
      <c r="J17" s="378" t="s">
        <v>707</v>
      </c>
      <c r="K17" s="379">
        <v>3818</v>
      </c>
      <c r="L17" s="387">
        <v>0.5</v>
      </c>
      <c r="M17" s="380">
        <f t="array" ref="M17">IF(L17="","",(MAX(IF(AN$15:AN$144=B17,AO$15:AO$144))/60))</f>
        <v>8.3333333333333329E-2</v>
      </c>
      <c r="N17" s="387">
        <v>0</v>
      </c>
      <c r="O17" s="387"/>
      <c r="P17" s="381">
        <f t="shared" si="0"/>
        <v>2.321325429396565E-4</v>
      </c>
      <c r="Q17" s="382" t="str">
        <f t="array" ref="Q17">IFERROR(INDEX($D$13:$D$1000,MATCH(0,COUNTIF($Q$12:Q16,$D$13:$D$1000&amp;"")+IF($D$13:$D$1000="",1,0),0)),"")</f>
        <v>Solder Paste Printing</v>
      </c>
      <c r="R17" s="356">
        <f t="shared" si="1"/>
        <v>2</v>
      </c>
      <c r="S17" s="383">
        <f t="shared" si="3"/>
        <v>220000</v>
      </c>
      <c r="T17" s="384">
        <f t="shared" si="2"/>
        <v>1.3</v>
      </c>
      <c r="U17" s="349"/>
      <c r="V17" s="385"/>
      <c r="W17" s="385"/>
      <c r="X17" s="386" t="s">
        <v>714</v>
      </c>
      <c r="AO17" s="298">
        <f t="array" ref="AO17">MAX(IF($B$13:$B$1753=AN17,$L$13:$L$1753))</f>
        <v>0</v>
      </c>
    </row>
    <row r="18" spans="1:41" ht="16.5" customHeight="1">
      <c r="A18" s="301"/>
      <c r="B18" s="387">
        <v>1</v>
      </c>
      <c r="C18" s="371">
        <v>6</v>
      </c>
      <c r="D18" s="372" t="str">
        <f>IFERROR(INDEX('[11]Equipment List'!$B$2:$B$2008,MATCH(E18,'[11]Equipment List'!$A$2:$A$2008,0)),"")</f>
        <v>Solder Paste Printing</v>
      </c>
      <c r="E18" s="388" t="s">
        <v>715</v>
      </c>
      <c r="F18" s="374" t="s">
        <v>698</v>
      </c>
      <c r="G18" s="375" t="s">
        <v>699</v>
      </c>
      <c r="H18" s="376">
        <v>0</v>
      </c>
      <c r="I18" s="377" t="s">
        <v>289</v>
      </c>
      <c r="J18" s="378" t="s">
        <v>716</v>
      </c>
      <c r="K18" s="379">
        <v>110000</v>
      </c>
      <c r="L18" s="387">
        <v>5</v>
      </c>
      <c r="M18" s="380">
        <f t="array" ref="M18">IF(L18="","",(MAX(IF(AN$15:AN$144=B18,AO$15:AO$144))/60))</f>
        <v>8.3333333333333329E-2</v>
      </c>
      <c r="N18" s="387">
        <v>0.8</v>
      </c>
      <c r="O18" s="387"/>
      <c r="P18" s="381">
        <f t="shared" si="0"/>
        <v>1.9106247150022803E-2</v>
      </c>
      <c r="Q18" s="382" t="str">
        <f t="array" ref="Q18">IFERROR(INDEX($D$13:$D$1000,MATCH(0,COUNTIF($Q$12:Q17,$D$13:$D$1000&amp;"")+IF($D$13:$D$1000="",1,0),0)),"")</f>
        <v>Transport Shuttle</v>
      </c>
      <c r="R18" s="356">
        <f t="shared" si="1"/>
        <v>8</v>
      </c>
      <c r="S18" s="383">
        <f t="shared" si="3"/>
        <v>38864</v>
      </c>
      <c r="T18" s="384">
        <f t="shared" si="2"/>
        <v>0</v>
      </c>
      <c r="U18" s="349"/>
      <c r="V18" s="385"/>
      <c r="W18" s="385"/>
      <c r="X18" s="386" t="s">
        <v>717</v>
      </c>
      <c r="AO18" s="298">
        <f t="array" ref="AO18">MAX(IF($B$13:$B$1753=AN18,$L$13:$L$1753))</f>
        <v>0</v>
      </c>
    </row>
    <row r="19" spans="1:41" ht="16.5" customHeight="1">
      <c r="A19" s="301"/>
      <c r="B19" s="370">
        <v>1</v>
      </c>
      <c r="C19" s="371">
        <v>7</v>
      </c>
      <c r="D19" s="372" t="str">
        <f>IFERROR(INDEX('[11]Equipment List'!$B$2:$B$2008,MATCH(E19,'[11]Equipment List'!$A$2:$A$2008,0)),"")</f>
        <v>Transport Conveyor</v>
      </c>
      <c r="E19" s="388" t="s">
        <v>718</v>
      </c>
      <c r="F19" s="374" t="s">
        <v>698</v>
      </c>
      <c r="G19" s="375" t="s">
        <v>699</v>
      </c>
      <c r="H19" s="376">
        <v>0</v>
      </c>
      <c r="I19" s="377" t="s">
        <v>700</v>
      </c>
      <c r="J19" s="378" t="s">
        <v>707</v>
      </c>
      <c r="K19" s="379">
        <v>3818</v>
      </c>
      <c r="L19" s="387">
        <v>0.5</v>
      </c>
      <c r="M19" s="380">
        <f t="array" ref="M19">IF(L19="","",(MAX(IF(AN$15:AN$144=B19,AO$15:AO$144))/60))</f>
        <v>8.3333333333333329E-2</v>
      </c>
      <c r="N19" s="387">
        <v>0</v>
      </c>
      <c r="O19" s="387"/>
      <c r="P19" s="381">
        <f t="shared" si="0"/>
        <v>2.321325429396565E-4</v>
      </c>
      <c r="Q19" s="382" t="str">
        <f t="array" ref="Q19">IFERROR(INDEX($D$13:$D$1000,MATCH(0,COUNTIF($Q$12:Q18,$D$13:$D$1000&amp;"")+IF($D$13:$D$1000="",1,0),0)),"")</f>
        <v>Automatic Solder Paste Inspection</v>
      </c>
      <c r="R19" s="356">
        <f t="shared" si="1"/>
        <v>2</v>
      </c>
      <c r="S19" s="383">
        <f t="shared" si="3"/>
        <v>198380</v>
      </c>
      <c r="T19" s="384">
        <f t="shared" si="2"/>
        <v>0</v>
      </c>
      <c r="U19" s="349"/>
      <c r="V19" s="385"/>
      <c r="W19" s="385"/>
      <c r="X19" s="386" t="s">
        <v>719</v>
      </c>
      <c r="AO19" s="298">
        <f t="array" ref="AO19">MAX(IF($B$13:$B$1753=AN19,$L$13:$L$1753))</f>
        <v>0</v>
      </c>
    </row>
    <row r="20" spans="1:41" ht="16.5" customHeight="1">
      <c r="A20" s="301"/>
      <c r="B20" s="387">
        <v>1</v>
      </c>
      <c r="C20" s="371">
        <v>8</v>
      </c>
      <c r="D20" s="372" t="str">
        <f>IFERROR(INDEX('[11]Equipment List'!$B$2:$B$2008,MATCH(E20,'[11]Equipment List'!$A$2:$A$2008,0)),"")</f>
        <v>Transport Shuttle</v>
      </c>
      <c r="E20" s="388" t="s">
        <v>720</v>
      </c>
      <c r="F20" s="374" t="s">
        <v>698</v>
      </c>
      <c r="G20" s="375" t="s">
        <v>699</v>
      </c>
      <c r="H20" s="376">
        <v>0</v>
      </c>
      <c r="I20" s="377" t="s">
        <v>721</v>
      </c>
      <c r="J20" s="378" t="s">
        <v>722</v>
      </c>
      <c r="K20" s="379">
        <v>4858</v>
      </c>
      <c r="L20" s="387">
        <v>0.5</v>
      </c>
      <c r="M20" s="380">
        <f t="array" ref="M20">IF(L20="","",(MAX(IF(AN$15:AN$144=B20,AO$15:AO$144))/60))</f>
        <v>8.3333333333333329E-2</v>
      </c>
      <c r="N20" s="387">
        <v>0</v>
      </c>
      <c r="O20" s="387"/>
      <c r="P20" s="381">
        <f t="shared" si="0"/>
        <v>2.953640370877033E-4</v>
      </c>
      <c r="Q20" s="382" t="str">
        <f t="array" ref="Q20">IFERROR(INDEX($D$13:$D$1000,MATCH(0,COUNTIF($Q$12:Q19,$D$13:$D$1000&amp;"")+IF($D$13:$D$1000="",1,0),0)),"")</f>
        <v>Transport reject</v>
      </c>
      <c r="R20" s="356">
        <f t="shared" si="1"/>
        <v>5</v>
      </c>
      <c r="S20" s="383">
        <f t="shared" si="3"/>
        <v>40476</v>
      </c>
      <c r="T20" s="384">
        <f t="shared" si="2"/>
        <v>0</v>
      </c>
      <c r="U20" s="349"/>
      <c r="V20" s="385"/>
      <c r="W20" s="385"/>
      <c r="X20" s="386" t="s">
        <v>723</v>
      </c>
      <c r="AO20" s="298">
        <f t="array" ref="AO20">MAX(IF($B$13:$B$1753=AN20,$L$13:$L$1753))</f>
        <v>0</v>
      </c>
    </row>
    <row r="21" spans="1:41" ht="16.5" customHeight="1">
      <c r="A21" s="301"/>
      <c r="B21" s="370">
        <v>1</v>
      </c>
      <c r="C21" s="371">
        <v>9</v>
      </c>
      <c r="D21" s="372" t="str">
        <f>IFERROR(INDEX('[11]Equipment List'!$B$2:$B$2008,MATCH(E21,'[11]Equipment List'!$A$2:$A$2008,0)),"")</f>
        <v>Automatic Solder Paste Inspection</v>
      </c>
      <c r="E21" s="388" t="s">
        <v>724</v>
      </c>
      <c r="F21" s="374" t="s">
        <v>698</v>
      </c>
      <c r="G21" s="375" t="s">
        <v>699</v>
      </c>
      <c r="H21" s="376">
        <v>0</v>
      </c>
      <c r="I21" s="377" t="s">
        <v>725</v>
      </c>
      <c r="J21" s="378" t="s">
        <v>726</v>
      </c>
      <c r="K21" s="379">
        <v>99190</v>
      </c>
      <c r="L21" s="387">
        <v>5</v>
      </c>
      <c r="M21" s="380">
        <f t="array" ref="M21">IF(L21="","",(MAX(IF(AN$15:AN$144=B21,AO$15:AO$144))/60))</f>
        <v>8.3333333333333329E-2</v>
      </c>
      <c r="N21" s="387">
        <v>0</v>
      </c>
      <c r="O21" s="387" t="s">
        <v>727</v>
      </c>
      <c r="P21" s="381">
        <f t="shared" si="0"/>
        <v>6.030703754369965E-3</v>
      </c>
      <c r="Q21" s="382" t="str">
        <f t="array" ref="Q21">IFERROR(INDEX($D$13:$D$1000,MATCH(0,COUNTIF($Q$12:Q20,$D$13:$D$1000&amp;"")+IF($D$13:$D$1000="",1,0),0)),"")</f>
        <v>Automatic Placement --- SMT</v>
      </c>
      <c r="R21" s="356">
        <f t="shared" si="1"/>
        <v>8</v>
      </c>
      <c r="S21" s="383">
        <f t="shared" si="3"/>
        <v>1622672</v>
      </c>
      <c r="T21" s="384">
        <f t="shared" si="2"/>
        <v>5</v>
      </c>
      <c r="U21" s="349"/>
      <c r="V21" s="385"/>
      <c r="W21" s="385"/>
      <c r="X21" s="386" t="s">
        <v>211</v>
      </c>
      <c r="AO21" s="298">
        <f t="array" ref="AO21">MAX(IF($B$13:$B$1753=AN21,$L$13:$L$1753))</f>
        <v>0</v>
      </c>
    </row>
    <row r="22" spans="1:41" ht="16.5" customHeight="1">
      <c r="A22" s="301"/>
      <c r="B22" s="387">
        <v>1</v>
      </c>
      <c r="C22" s="371">
        <v>10</v>
      </c>
      <c r="D22" s="372" t="str">
        <f>IFERROR(INDEX('[11]Equipment List'!$B$2:$B$2008,MATCH(E22,'[11]Equipment List'!$A$2:$A$2008,0)),"")</f>
        <v>Transport reject</v>
      </c>
      <c r="E22" s="388" t="s">
        <v>728</v>
      </c>
      <c r="F22" s="374" t="s">
        <v>698</v>
      </c>
      <c r="G22" s="375" t="s">
        <v>699</v>
      </c>
      <c r="H22" s="376">
        <v>0</v>
      </c>
      <c r="I22" s="377" t="s">
        <v>729</v>
      </c>
      <c r="J22" s="378" t="s">
        <v>730</v>
      </c>
      <c r="K22" s="379">
        <v>8190</v>
      </c>
      <c r="L22" s="387">
        <v>0.5</v>
      </c>
      <c r="M22" s="380">
        <f t="array" ref="M22">IF(L22="","",(MAX(IF(AN$15:AN$144=B22,AO$15:AO$144))/60))</f>
        <v>8.3333333333333329E-2</v>
      </c>
      <c r="N22" s="387">
        <v>0</v>
      </c>
      <c r="O22" s="387"/>
      <c r="P22" s="381">
        <f t="shared" si="0"/>
        <v>4.9794801641586857E-4</v>
      </c>
      <c r="Q22" s="382" t="str">
        <f t="array" ref="Q22">IFERROR(INDEX($D$13:$D$1000,MATCH(0,COUNTIF($Q$12:Q21,$D$13:$D$1000&amp;"")+IF($D$13:$D$1000="",1,0),0)),"")</f>
        <v>SMT Reflow Vacuum</v>
      </c>
      <c r="R22" s="356">
        <f t="shared" si="1"/>
        <v>2</v>
      </c>
      <c r="S22" s="383">
        <f t="shared" si="3"/>
        <v>590000</v>
      </c>
      <c r="T22" s="384">
        <f t="shared" si="2"/>
        <v>0</v>
      </c>
      <c r="U22" s="349"/>
      <c r="V22" s="385"/>
      <c r="W22" s="385"/>
      <c r="X22" s="386" t="s">
        <v>731</v>
      </c>
      <c r="AO22" s="298">
        <f t="array" ref="AO22">MAX(IF($B$13:$B$1753=AN22,$L$13:$L$1753))</f>
        <v>0</v>
      </c>
    </row>
    <row r="23" spans="1:41" ht="15.75" customHeight="1">
      <c r="A23" s="301"/>
      <c r="B23" s="370">
        <v>1</v>
      </c>
      <c r="C23" s="371">
        <v>11</v>
      </c>
      <c r="D23" s="372" t="str">
        <f>IFERROR(INDEX('[11]Equipment List'!$B$2:$B$2008,MATCH(E23,'[11]Equipment List'!$A$2:$A$2008,0)),"")</f>
        <v>Automatic Placement --- SMT</v>
      </c>
      <c r="E23" s="388" t="s">
        <v>732</v>
      </c>
      <c r="F23" s="374" t="s">
        <v>698</v>
      </c>
      <c r="G23" s="375" t="s">
        <v>699</v>
      </c>
      <c r="H23" s="376">
        <v>0</v>
      </c>
      <c r="I23" s="377" t="s">
        <v>289</v>
      </c>
      <c r="J23" s="378" t="s">
        <v>733</v>
      </c>
      <c r="K23" s="379">
        <v>202834</v>
      </c>
      <c r="L23" s="389">
        <v>2.9610389610389607</v>
      </c>
      <c r="M23" s="380">
        <f t="array" ref="M23">IF(L23="","",(MAX(IF(AN$15:AN$144=B23,AO$15:AO$144))/60))</f>
        <v>8.3333333333333329E-2</v>
      </c>
      <c r="N23" s="387">
        <v>3</v>
      </c>
      <c r="O23" s="387"/>
      <c r="P23" s="381">
        <f t="shared" si="0"/>
        <v>5.8900835993312049E-2</v>
      </c>
      <c r="Q23" s="382" t="str">
        <f t="array" ref="Q23">IFERROR(INDEX($D$13:$D$1000,MATCH(0,COUNTIF($Q$12:Q22,$D$13:$D$1000&amp;"")+IF($D$13:$D$1000="",1,0),0)),"")</f>
        <v>Transport Buffer</v>
      </c>
      <c r="R23" s="356">
        <f t="shared" si="1"/>
        <v>2</v>
      </c>
      <c r="S23" s="383">
        <f t="shared" si="3"/>
        <v>25220</v>
      </c>
      <c r="T23" s="384">
        <f t="shared" si="2"/>
        <v>0</v>
      </c>
      <c r="U23" s="349"/>
      <c r="V23" s="385">
        <v>77000</v>
      </c>
      <c r="W23" s="385">
        <v>19</v>
      </c>
      <c r="X23" s="386"/>
      <c r="AO23" s="298">
        <f t="array" ref="AO23">MAX(IF($B$13:$B$1753=AN23,$L$13:$L$1753))</f>
        <v>0</v>
      </c>
    </row>
    <row r="24" spans="1:41" ht="16.5" customHeight="1">
      <c r="A24" s="301"/>
      <c r="B24" s="387">
        <v>1</v>
      </c>
      <c r="C24" s="371">
        <v>12</v>
      </c>
      <c r="D24" s="372" t="str">
        <f>IFERROR(INDEX('[11]Equipment List'!$B$2:$B$2008,MATCH(E24,'[11]Equipment List'!$A$2:$A$2008,0)),"")</f>
        <v>Automatic Placement --- SMT</v>
      </c>
      <c r="E24" s="388" t="s">
        <v>734</v>
      </c>
      <c r="F24" s="374" t="s">
        <v>698</v>
      </c>
      <c r="G24" s="375" t="s">
        <v>699</v>
      </c>
      <c r="H24" s="376">
        <v>0</v>
      </c>
      <c r="I24" s="377" t="s">
        <v>289</v>
      </c>
      <c r="J24" s="378" t="s">
        <v>733</v>
      </c>
      <c r="K24" s="379">
        <v>202834</v>
      </c>
      <c r="L24" s="389">
        <v>3.1168831168831161</v>
      </c>
      <c r="M24" s="380">
        <f t="array" ref="M24">IF(L24="","",(MAX(IF(AN$15:AN$144=B24,AO$15:AO$144))/60))</f>
        <v>8.3333333333333329E-2</v>
      </c>
      <c r="N24" s="390">
        <v>0</v>
      </c>
      <c r="O24" s="390"/>
      <c r="P24" s="381">
        <f t="shared" si="0"/>
        <v>1.2332208542331661E-2</v>
      </c>
      <c r="Q24" s="382" t="str">
        <f t="array" ref="Q24">IFERROR(INDEX($D$13:$D$1000,MATCH(0,COUNTIF($Q$12:Q23,$D$13:$D$1000&amp;"")+IF($D$13:$D$1000="",1,0),0)),"")</f>
        <v>Automatic Optical Inspection --- SMD</v>
      </c>
      <c r="R24" s="356">
        <f t="shared" si="1"/>
        <v>2</v>
      </c>
      <c r="S24" s="383">
        <f t="shared" si="3"/>
        <v>198380</v>
      </c>
      <c r="T24" s="384">
        <f t="shared" si="2"/>
        <v>0</v>
      </c>
      <c r="U24" s="349"/>
      <c r="V24" s="385">
        <v>77000</v>
      </c>
      <c r="W24" s="385">
        <v>20</v>
      </c>
      <c r="X24" s="386"/>
      <c r="AO24" s="298">
        <f t="array" ref="AO24">MAX(IF($B$13:$B$1753=AN24,$L$13:$L$1753))</f>
        <v>0</v>
      </c>
    </row>
    <row r="25" spans="1:41" ht="16.5" customHeight="1">
      <c r="A25" s="301"/>
      <c r="B25" s="370">
        <v>1</v>
      </c>
      <c r="C25" s="371">
        <v>13</v>
      </c>
      <c r="D25" s="372" t="str">
        <f>IFERROR(INDEX('[11]Equipment List'!$B$2:$B$2008,MATCH(E25,'[11]Equipment List'!$A$2:$A$2008,0)),"")</f>
        <v>Automatic Placement --- SMT</v>
      </c>
      <c r="E25" s="388" t="s">
        <v>735</v>
      </c>
      <c r="F25" s="374" t="s">
        <v>698</v>
      </c>
      <c r="G25" s="375" t="s">
        <v>699</v>
      </c>
      <c r="H25" s="376">
        <v>0</v>
      </c>
      <c r="I25" s="377" t="s">
        <v>289</v>
      </c>
      <c r="J25" s="378" t="s">
        <v>736</v>
      </c>
      <c r="K25" s="379">
        <v>202834</v>
      </c>
      <c r="L25" s="389">
        <v>3.9999999999999996</v>
      </c>
      <c r="M25" s="380">
        <f t="array" ref="M25">IF(L25="","",(MAX(IF(AN$15:AN$144=B25,AO$15:AO$144))/60))</f>
        <v>8.3333333333333329E-2</v>
      </c>
      <c r="N25" s="390">
        <v>0</v>
      </c>
      <c r="O25" s="390"/>
      <c r="P25" s="381">
        <f t="shared" si="0"/>
        <v>1.2332208542331661E-2</v>
      </c>
      <c r="Q25" s="382" t="str">
        <f t="array" ref="Q25">IFERROR(INDEX($D$13:$D$1000,MATCH(0,COUNTIF($Q$12:Q24,$D$13:$D$1000&amp;"")+IF($D$13:$D$1000="",1,0),0)),"")</f>
        <v>Transport Flipper</v>
      </c>
      <c r="R25" s="356">
        <f t="shared" si="1"/>
        <v>3</v>
      </c>
      <c r="S25" s="383">
        <f t="shared" si="3"/>
        <v>20085</v>
      </c>
      <c r="T25" s="384">
        <f t="shared" si="2"/>
        <v>0</v>
      </c>
      <c r="U25" s="349"/>
      <c r="V25" s="385">
        <v>36000</v>
      </c>
      <c r="W25" s="385">
        <v>12</v>
      </c>
      <c r="X25" s="386"/>
      <c r="AO25" s="298">
        <f t="array" ref="AO25">MAX(IF($B$13:$B$1753=AN25,$L$13:$L$1753))</f>
        <v>0</v>
      </c>
    </row>
    <row r="26" spans="1:41" ht="16.5" customHeight="1">
      <c r="A26" s="301"/>
      <c r="B26" s="387">
        <v>1</v>
      </c>
      <c r="C26" s="371">
        <v>14</v>
      </c>
      <c r="D26" s="372" t="str">
        <f>IFERROR(INDEX('[11]Equipment List'!$B$2:$B$2008,MATCH(E26,'[11]Equipment List'!$A$2:$A$2008,0)),"")</f>
        <v>Automatic Placement --- SMT</v>
      </c>
      <c r="E26" s="388" t="s">
        <v>737</v>
      </c>
      <c r="F26" s="374" t="s">
        <v>698</v>
      </c>
      <c r="G26" s="375" t="s">
        <v>699</v>
      </c>
      <c r="H26" s="376">
        <v>0</v>
      </c>
      <c r="I26" s="377" t="s">
        <v>289</v>
      </c>
      <c r="J26" s="378" t="s">
        <v>738</v>
      </c>
      <c r="K26" s="379">
        <v>202834</v>
      </c>
      <c r="L26" s="389">
        <v>4.615384615384615</v>
      </c>
      <c r="M26" s="380">
        <f t="array" ref="M26">IF(L26="","",(MAX(IF(AN$15:AN$144=B26,AO$15:AO$144))/60))</f>
        <v>8.3333333333333329E-2</v>
      </c>
      <c r="N26" s="390">
        <v>0</v>
      </c>
      <c r="O26" s="390"/>
      <c r="P26" s="381">
        <f t="shared" si="0"/>
        <v>1.2332208542331661E-2</v>
      </c>
      <c r="Q26" s="382" t="str">
        <f t="array" ref="Q26">IFERROR(INDEX($D$13:$D$1000,MATCH(0,COUNTIF($Q$12:Q25,$D$13:$D$1000&amp;"")+IF($D$13:$D$1000="",1,0),0)),"")</f>
        <v>Automatic X-ray Inspection</v>
      </c>
      <c r="R26" s="356">
        <f t="shared" si="1"/>
        <v>1</v>
      </c>
      <c r="S26" s="383">
        <f t="shared" si="3"/>
        <v>460787</v>
      </c>
      <c r="T26" s="384">
        <f t="shared" si="2"/>
        <v>0</v>
      </c>
      <c r="U26" s="349"/>
      <c r="V26" s="385">
        <v>13000</v>
      </c>
      <c r="W26" s="385">
        <v>5</v>
      </c>
      <c r="X26" s="386"/>
      <c r="AO26" s="298">
        <f t="array" ref="AO26">MAX(IF($B$13:$B$1753=AN26,$L$13:$L$1753))</f>
        <v>0</v>
      </c>
    </row>
    <row r="27" spans="1:41" ht="16.5" customHeight="1">
      <c r="A27" s="301"/>
      <c r="B27" s="370">
        <v>1</v>
      </c>
      <c r="C27" s="371">
        <v>15</v>
      </c>
      <c r="D27" s="372" t="str">
        <f>IFERROR(INDEX('[11]Equipment List'!$B$2:$B$2008,MATCH(E27,'[11]Equipment List'!$A$2:$A$2008,0)),"")</f>
        <v>Transport Conveyor</v>
      </c>
      <c r="E27" s="388" t="s">
        <v>739</v>
      </c>
      <c r="F27" s="374" t="s">
        <v>698</v>
      </c>
      <c r="G27" s="375" t="s">
        <v>699</v>
      </c>
      <c r="H27" s="376">
        <v>0</v>
      </c>
      <c r="I27" s="377" t="s">
        <v>729</v>
      </c>
      <c r="J27" s="378" t="s">
        <v>740</v>
      </c>
      <c r="K27" s="379">
        <v>4094</v>
      </c>
      <c r="L27" s="389">
        <v>0.5</v>
      </c>
      <c r="M27" s="380">
        <f t="array" ref="M27">IF(L27="","",(MAX(IF(AN$15:AN$144=B27,AO$15:AO$144))/60))</f>
        <v>8.3333333333333329E-2</v>
      </c>
      <c r="N27" s="390">
        <v>0</v>
      </c>
      <c r="O27" s="390"/>
      <c r="P27" s="381">
        <f t="shared" si="0"/>
        <v>2.4891320869433039E-4</v>
      </c>
      <c r="Q27" s="382" t="str">
        <f t="array" ref="Q27">IFERROR(INDEX($D$13:$D$1000,MATCH(0,COUNTIF($Q$12:Q26,$D$13:$D$1000&amp;"")+IF($D$13:$D$1000="",1,0),0)),"")</f>
        <v>ICT off-line</v>
      </c>
      <c r="R27" s="356">
        <f t="shared" si="1"/>
        <v>1</v>
      </c>
      <c r="S27" s="383">
        <f t="shared" si="3"/>
        <v>584787</v>
      </c>
      <c r="T27" s="384">
        <f t="shared" si="2"/>
        <v>0.5</v>
      </c>
      <c r="U27" s="349"/>
      <c r="V27" s="385"/>
      <c r="W27" s="385"/>
      <c r="X27" s="386" t="s">
        <v>741</v>
      </c>
      <c r="AO27" s="298">
        <f t="array" ref="AO27">MAX(IF($B$13:$B$1753=AN27,$L$13:$L$1753))</f>
        <v>0</v>
      </c>
    </row>
    <row r="28" spans="1:41" ht="16.5" customHeight="1">
      <c r="A28" s="301"/>
      <c r="B28" s="387">
        <v>1</v>
      </c>
      <c r="C28" s="371">
        <v>16</v>
      </c>
      <c r="D28" s="372" t="str">
        <f>IFERROR(INDEX('[11]Equipment List'!$B$2:$B$2008,MATCH(E28,'[11]Equipment List'!$A$2:$A$2008,0)),"")</f>
        <v>Transport Shuttle</v>
      </c>
      <c r="E28" s="388" t="s">
        <v>742</v>
      </c>
      <c r="F28" s="374" t="s">
        <v>698</v>
      </c>
      <c r="G28" s="375" t="s">
        <v>699</v>
      </c>
      <c r="H28" s="376">
        <v>0</v>
      </c>
      <c r="I28" s="377" t="s">
        <v>721</v>
      </c>
      <c r="J28" s="378" t="s">
        <v>722</v>
      </c>
      <c r="K28" s="379">
        <v>4858</v>
      </c>
      <c r="L28" s="389">
        <v>0.5</v>
      </c>
      <c r="M28" s="380">
        <f t="array" ref="M28">IF(L28="","",(MAX(IF(AN$15:AN$144=B28,AO$15:AO$144))/60))</f>
        <v>8.3333333333333329E-2</v>
      </c>
      <c r="N28" s="387">
        <v>0</v>
      </c>
      <c r="O28" s="387"/>
      <c r="P28" s="381">
        <f t="shared" si="0"/>
        <v>2.953640370877033E-4</v>
      </c>
      <c r="Q28" s="382" t="str">
        <f t="array" ref="Q28">IFERROR(INDEX($D$13:$D$1000,MATCH(0,COUNTIF($Q$12:Q27,$D$13:$D$1000&amp;"")+IF($D$13:$D$1000="",1,0),0)),"")</f>
        <v>Depaneling</v>
      </c>
      <c r="R28" s="356">
        <f t="shared" si="1"/>
        <v>1</v>
      </c>
      <c r="S28" s="383">
        <f t="shared" si="3"/>
        <v>138582</v>
      </c>
      <c r="T28" s="384">
        <f t="shared" si="2"/>
        <v>0.5</v>
      </c>
      <c r="U28" s="349"/>
      <c r="V28" s="385"/>
      <c r="W28" s="385"/>
      <c r="X28" s="386" t="s">
        <v>743</v>
      </c>
      <c r="AO28" s="298">
        <f t="array" ref="AO28">MAX(IF($B$13:$B$1753=AN28,$L$13:$L$1753))</f>
        <v>0</v>
      </c>
    </row>
    <row r="29" spans="1:41" ht="16.5" customHeight="1">
      <c r="A29" s="301"/>
      <c r="B29" s="370">
        <v>1</v>
      </c>
      <c r="C29" s="371">
        <v>17</v>
      </c>
      <c r="D29" s="372" t="str">
        <f>IFERROR(INDEX('[11]Equipment List'!$B$2:$B$2008,MATCH(E29,'[11]Equipment List'!$A$2:$A$2008,0)),"")</f>
        <v>SMT Reflow Vacuum</v>
      </c>
      <c r="E29" s="388" t="s">
        <v>744</v>
      </c>
      <c r="F29" s="374" t="s">
        <v>698</v>
      </c>
      <c r="G29" s="375" t="s">
        <v>699</v>
      </c>
      <c r="H29" s="376">
        <v>0</v>
      </c>
      <c r="I29" s="377" t="s">
        <v>745</v>
      </c>
      <c r="J29" s="378" t="s">
        <v>746</v>
      </c>
      <c r="K29" s="379">
        <v>295000</v>
      </c>
      <c r="L29" s="387">
        <v>4.5999999999999996</v>
      </c>
      <c r="M29" s="380">
        <f t="array" ref="M29">IF(L29="","",(MAX(IF(AN$15:AN$144=B29,AO$15:AO$144))/60))</f>
        <v>8.3333333333333329E-2</v>
      </c>
      <c r="N29" s="387">
        <v>0</v>
      </c>
      <c r="O29" s="387" t="s">
        <v>188</v>
      </c>
      <c r="P29" s="381">
        <f t="shared" si="0"/>
        <v>1.7935856513147892E-2</v>
      </c>
      <c r="Q29" s="382" t="str">
        <f t="array" ref="Q29">IFERROR(INDEX($D$13:$D$1000,MATCH(0,COUNTIF($Q$12:Q28,$D$13:$D$1000&amp;"")+IF($D$13:$D$1000="",1,0),0)),"")</f>
        <v>FVT off-line</v>
      </c>
      <c r="R29" s="356">
        <f t="shared" si="1"/>
        <v>1</v>
      </c>
      <c r="S29" s="383">
        <f t="shared" si="3"/>
        <v>3150</v>
      </c>
      <c r="T29" s="384">
        <f t="shared" si="2"/>
        <v>1</v>
      </c>
      <c r="U29" s="349"/>
      <c r="V29" s="385"/>
      <c r="W29" s="385"/>
      <c r="X29" s="386" t="s">
        <v>747</v>
      </c>
      <c r="AO29" s="298">
        <f t="array" ref="AO29">MAX(IF($B$13:$B$1753=AN29,$L$13:$L$1753))</f>
        <v>0</v>
      </c>
    </row>
    <row r="30" spans="1:41" ht="16.5" customHeight="1">
      <c r="A30" s="301"/>
      <c r="B30" s="387">
        <v>1</v>
      </c>
      <c r="C30" s="371">
        <v>18</v>
      </c>
      <c r="D30" s="372" t="str">
        <f>IFERROR(INDEX('[11]Equipment List'!$B$2:$B$2008,MATCH(E30,'[11]Equipment List'!$A$2:$A$2008,0)),"")</f>
        <v>Transport Shuttle</v>
      </c>
      <c r="E30" s="388" t="s">
        <v>748</v>
      </c>
      <c r="F30" s="374" t="s">
        <v>698</v>
      </c>
      <c r="G30" s="375" t="s">
        <v>699</v>
      </c>
      <c r="H30" s="376">
        <v>0</v>
      </c>
      <c r="I30" s="377" t="s">
        <v>721</v>
      </c>
      <c r="J30" s="378" t="s">
        <v>722</v>
      </c>
      <c r="K30" s="379">
        <v>4858</v>
      </c>
      <c r="L30" s="387">
        <v>0.5</v>
      </c>
      <c r="M30" s="380">
        <f t="array" ref="M30">IF(L30="","",(MAX(IF(AN$15:AN$144=B30,AO$15:AO$144))/60))</f>
        <v>8.3333333333333329E-2</v>
      </c>
      <c r="N30" s="387">
        <v>0</v>
      </c>
      <c r="O30" s="387"/>
      <c r="P30" s="381">
        <f t="shared" si="0"/>
        <v>2.953640370877033E-4</v>
      </c>
      <c r="Q30" s="382" t="str">
        <f t="array" ref="Q30">IFERROR(INDEX($D$13:$D$1000,MATCH(0,COUNTIF($Q$12:Q29,$D$13:$D$1000&amp;"")+IF($D$13:$D$1000="",1,0),0)),"")</f>
        <v/>
      </c>
      <c r="R30" s="356" t="str">
        <f t="shared" si="1"/>
        <v/>
      </c>
      <c r="S30" s="383" t="str">
        <f t="shared" si="3"/>
        <v/>
      </c>
      <c r="T30" s="384" t="str">
        <f t="shared" si="2"/>
        <v/>
      </c>
      <c r="U30" s="349"/>
      <c r="V30" s="385"/>
      <c r="W30" s="385"/>
      <c r="X30" s="386" t="s">
        <v>749</v>
      </c>
    </row>
    <row r="31" spans="1:41" ht="16.5" customHeight="1">
      <c r="A31" s="301"/>
      <c r="B31" s="370">
        <v>1</v>
      </c>
      <c r="C31" s="371">
        <v>19</v>
      </c>
      <c r="D31" s="372" t="str">
        <f>IFERROR(INDEX('[11]Equipment List'!$B$2:$B$2008,MATCH(E31,'[11]Equipment List'!$A$2:$A$2008,0)),"")</f>
        <v>Transport Conveyor</v>
      </c>
      <c r="E31" s="388" t="s">
        <v>750</v>
      </c>
      <c r="F31" s="374" t="s">
        <v>698</v>
      </c>
      <c r="G31" s="375" t="s">
        <v>699</v>
      </c>
      <c r="H31" s="376">
        <v>0</v>
      </c>
      <c r="I31" s="377" t="s">
        <v>729</v>
      </c>
      <c r="J31" s="378" t="s">
        <v>740</v>
      </c>
      <c r="K31" s="379">
        <v>4094</v>
      </c>
      <c r="L31" s="387">
        <v>0.5</v>
      </c>
      <c r="M31" s="380">
        <f t="array" ref="M31">IF(L31="","",(MAX(IF(AN$15:AN$144=B31,AO$15:AO$144))/60))</f>
        <v>8.3333333333333329E-2</v>
      </c>
      <c r="N31" s="387">
        <v>0</v>
      </c>
      <c r="O31" s="387"/>
      <c r="P31" s="381">
        <f t="shared" si="0"/>
        <v>2.4891320869433039E-4</v>
      </c>
      <c r="Q31" s="382" t="str">
        <f t="array" ref="Q31">IFERROR(INDEX($D$13:$D$1000,MATCH(0,COUNTIF($Q$12:Q30,$D$13:$D$1000&amp;"")+IF($D$13:$D$1000="",1,0),0)),"")</f>
        <v/>
      </c>
      <c r="R31" s="356" t="str">
        <f t="shared" si="1"/>
        <v/>
      </c>
      <c r="S31" s="383" t="str">
        <f t="shared" si="3"/>
        <v/>
      </c>
      <c r="T31" s="384" t="str">
        <f t="shared" si="2"/>
        <v/>
      </c>
      <c r="U31" s="349"/>
      <c r="V31" s="385"/>
      <c r="W31" s="385"/>
      <c r="X31" s="386" t="s">
        <v>751</v>
      </c>
    </row>
    <row r="32" spans="1:41" ht="16.5" customHeight="1">
      <c r="A32" s="301"/>
      <c r="B32" s="387">
        <v>1</v>
      </c>
      <c r="C32" s="371">
        <v>20</v>
      </c>
      <c r="D32" s="372" t="str">
        <f>IFERROR(INDEX('[11]Equipment List'!$B$2:$B$2008,MATCH(E32,'[11]Equipment List'!$A$2:$A$2008,0)),"")</f>
        <v>Transport Buffer</v>
      </c>
      <c r="E32" s="388" t="s">
        <v>752</v>
      </c>
      <c r="F32" s="374" t="s">
        <v>698</v>
      </c>
      <c r="G32" s="375" t="s">
        <v>699</v>
      </c>
      <c r="H32" s="376">
        <v>0</v>
      </c>
      <c r="I32" s="377" t="s">
        <v>729</v>
      </c>
      <c r="J32" s="378" t="s">
        <v>753</v>
      </c>
      <c r="K32" s="379">
        <v>12610</v>
      </c>
      <c r="L32" s="387">
        <v>0.5</v>
      </c>
      <c r="M32" s="380">
        <f t="array" ref="M32">IF(L32="","",(MAX(IF(AN$15:AN$144=B32,AO$15:AO$144))/60))</f>
        <v>8.3333333333333329E-2</v>
      </c>
      <c r="N32" s="387">
        <v>0</v>
      </c>
      <c r="O32" s="387" t="s">
        <v>1</v>
      </c>
      <c r="P32" s="381">
        <f t="shared" si="0"/>
        <v>7.6668186654506743E-4</v>
      </c>
      <c r="Q32" s="382" t="str">
        <f t="array" ref="Q32">IFERROR(INDEX($D$13:$D$1000,MATCH(0,COUNTIF($Q$12:Q31,$D$13:$D$1000&amp;"")+IF($D$13:$D$1000="",1,0),0)),"")</f>
        <v/>
      </c>
      <c r="R32" s="356" t="str">
        <f t="shared" si="1"/>
        <v/>
      </c>
      <c r="S32" s="383" t="str">
        <f t="shared" si="3"/>
        <v/>
      </c>
      <c r="T32" s="384" t="str">
        <f t="shared" si="2"/>
        <v/>
      </c>
      <c r="U32" s="349"/>
      <c r="V32" s="385"/>
      <c r="W32" s="385"/>
      <c r="X32" s="386" t="s">
        <v>754</v>
      </c>
    </row>
    <row r="33" spans="1:24" ht="16.5" customHeight="1">
      <c r="A33" s="301"/>
      <c r="B33" s="370">
        <v>1</v>
      </c>
      <c r="C33" s="371">
        <v>21</v>
      </c>
      <c r="D33" s="372" t="str">
        <f>IFERROR(INDEX('[11]Equipment List'!$B$2:$B$2008,MATCH(E33,'[11]Equipment List'!$A$2:$A$2008,0)),"")</f>
        <v>Automatic Optical Inspection --- SMD</v>
      </c>
      <c r="E33" s="388" t="s">
        <v>755</v>
      </c>
      <c r="F33" s="374" t="s">
        <v>698</v>
      </c>
      <c r="G33" s="375" t="s">
        <v>699</v>
      </c>
      <c r="H33" s="376">
        <v>0</v>
      </c>
      <c r="I33" s="377" t="s">
        <v>756</v>
      </c>
      <c r="J33" s="378" t="s">
        <v>1570</v>
      </c>
      <c r="K33" s="391">
        <v>99190</v>
      </c>
      <c r="L33" s="387">
        <v>4</v>
      </c>
      <c r="M33" s="380">
        <f t="array" ref="M33">IF(L33="","",(MAX(IF(AN$15:AN$144=B33,AO$15:AO$144))/60))</f>
        <v>8.3333333333333329E-2</v>
      </c>
      <c r="N33" s="387">
        <v>0</v>
      </c>
      <c r="O33" s="387"/>
      <c r="P33" s="381">
        <f t="shared" si="0"/>
        <v>6.030703754369965E-3</v>
      </c>
      <c r="Q33" s="382" t="str">
        <f t="array" ref="Q33">IFERROR(INDEX($D$13:$D$1000,MATCH(0,COUNTIF($Q$12:Q32,$D$13:$D$1000&amp;"")+IF($D$13:$D$1000="",1,0),0)),"")</f>
        <v/>
      </c>
      <c r="R33" s="356" t="str">
        <f t="shared" si="1"/>
        <v/>
      </c>
      <c r="S33" s="383" t="str">
        <f t="shared" si="3"/>
        <v/>
      </c>
      <c r="T33" s="384" t="str">
        <f t="shared" si="2"/>
        <v/>
      </c>
      <c r="U33" s="349"/>
      <c r="V33" s="385"/>
      <c r="W33" s="385"/>
      <c r="X33" s="386" t="s">
        <v>758</v>
      </c>
    </row>
    <row r="34" spans="1:24" ht="16.5" customHeight="1">
      <c r="A34" s="301"/>
      <c r="B34" s="387">
        <v>1</v>
      </c>
      <c r="C34" s="371">
        <v>22</v>
      </c>
      <c r="D34" s="372" t="str">
        <f>IFERROR(INDEX('[11]Equipment List'!$B$2:$B$2008,MATCH(E34,'[11]Equipment List'!$A$2:$A$2008,0)),"")</f>
        <v>Transport reject</v>
      </c>
      <c r="E34" s="388" t="s">
        <v>759</v>
      </c>
      <c r="F34" s="374" t="s">
        <v>698</v>
      </c>
      <c r="G34" s="375" t="s">
        <v>699</v>
      </c>
      <c r="H34" s="376">
        <v>0</v>
      </c>
      <c r="I34" s="377" t="s">
        <v>729</v>
      </c>
      <c r="J34" s="378" t="s">
        <v>730</v>
      </c>
      <c r="K34" s="379">
        <v>8190</v>
      </c>
      <c r="L34" s="387">
        <v>0.5</v>
      </c>
      <c r="M34" s="380">
        <f t="array" ref="M34">IF(L34="","",(MAX(IF(AN$15:AN$144=B34,AO$15:AO$144))/60))</f>
        <v>8.3333333333333329E-2</v>
      </c>
      <c r="N34" s="387">
        <v>0</v>
      </c>
      <c r="O34" s="387" t="s">
        <v>1</v>
      </c>
      <c r="P34" s="381">
        <f t="shared" si="0"/>
        <v>4.9794801641586857E-4</v>
      </c>
      <c r="Q34" s="382" t="str">
        <f t="array" ref="Q34">IFERROR(INDEX($D$13:$D$1000,MATCH(0,COUNTIF($Q$12:Q33,$D$13:$D$1000&amp;"")+IF($D$13:$D$1000="",1,0),0)),"")</f>
        <v/>
      </c>
      <c r="R34" s="356" t="str">
        <f t="shared" si="1"/>
        <v/>
      </c>
      <c r="S34" s="383" t="str">
        <f t="shared" si="3"/>
        <v/>
      </c>
      <c r="T34" s="384" t="str">
        <f t="shared" si="2"/>
        <v/>
      </c>
      <c r="U34" s="349"/>
      <c r="V34" s="385"/>
      <c r="W34" s="385"/>
      <c r="X34" s="386" t="s">
        <v>760</v>
      </c>
    </row>
    <row r="35" spans="1:24" ht="16.5" customHeight="1">
      <c r="A35" s="301"/>
      <c r="B35" s="370">
        <v>1</v>
      </c>
      <c r="C35" s="371">
        <v>23</v>
      </c>
      <c r="D35" s="372" t="str">
        <f>IFERROR(INDEX('[11]Equipment List'!$B$2:$B$2008,MATCH(E35,'[11]Equipment List'!$A$2:$A$2008,0)),"")</f>
        <v>Transport Shuttle</v>
      </c>
      <c r="E35" s="388" t="s">
        <v>761</v>
      </c>
      <c r="F35" s="374" t="s">
        <v>698</v>
      </c>
      <c r="G35" s="375" t="s">
        <v>699</v>
      </c>
      <c r="H35" s="376">
        <v>0</v>
      </c>
      <c r="I35" s="377" t="s">
        <v>721</v>
      </c>
      <c r="J35" s="378" t="s">
        <v>722</v>
      </c>
      <c r="K35" s="379">
        <v>4858</v>
      </c>
      <c r="L35" s="387">
        <v>0.5</v>
      </c>
      <c r="M35" s="380">
        <f t="array" ref="M35">IF(L35="","",(MAX(IF(AN$15:AN$144=B35,AO$15:AO$144))/60))</f>
        <v>8.3333333333333329E-2</v>
      </c>
      <c r="N35" s="387">
        <v>0</v>
      </c>
      <c r="O35" s="387"/>
      <c r="P35" s="381">
        <f t="shared" si="0"/>
        <v>2.953640370877033E-4</v>
      </c>
      <c r="Q35" s="382" t="str">
        <f t="array" ref="Q35">IFERROR(INDEX($D$13:$D$1000,MATCH(0,COUNTIF($Q$12:Q34,$D$13:$D$1000&amp;"")+IF($D$13:$D$1000="",1,0),0)),"")</f>
        <v/>
      </c>
      <c r="R35" s="356" t="str">
        <f t="shared" si="1"/>
        <v/>
      </c>
      <c r="S35" s="383" t="str">
        <f t="shared" si="3"/>
        <v/>
      </c>
      <c r="T35" s="384" t="str">
        <f t="shared" si="2"/>
        <v/>
      </c>
      <c r="U35" s="349"/>
      <c r="V35" s="385"/>
      <c r="W35" s="385"/>
      <c r="X35" s="386" t="s">
        <v>762</v>
      </c>
    </row>
    <row r="36" spans="1:24" ht="16.5" customHeight="1">
      <c r="A36" s="301"/>
      <c r="B36" s="387">
        <v>1</v>
      </c>
      <c r="C36" s="371">
        <v>24</v>
      </c>
      <c r="D36" s="372" t="str">
        <f>IFERROR(INDEX('[11]Equipment List'!$B$2:$B$2008,MATCH(E36,'[11]Equipment List'!$A$2:$A$2008,0)),"")</f>
        <v>Transport Flipper</v>
      </c>
      <c r="E36" s="388" t="s">
        <v>763</v>
      </c>
      <c r="F36" s="374" t="s">
        <v>698</v>
      </c>
      <c r="G36" s="375" t="s">
        <v>699</v>
      </c>
      <c r="H36" s="376">
        <v>0</v>
      </c>
      <c r="I36" s="377" t="s">
        <v>764</v>
      </c>
      <c r="J36" s="378" t="s">
        <v>765</v>
      </c>
      <c r="K36" s="379">
        <v>6695</v>
      </c>
      <c r="L36" s="387">
        <v>0.5</v>
      </c>
      <c r="M36" s="380">
        <f t="array" ref="M36">IF(L36="","",(MAX(IF(AN$15:AN$144=B36,AO$15:AO$144))/60))</f>
        <v>8.3333333333333329E-2</v>
      </c>
      <c r="N36" s="387">
        <v>0</v>
      </c>
      <c r="O36" s="387" t="s">
        <v>766</v>
      </c>
      <c r="P36" s="381">
        <f t="shared" si="0"/>
        <v>4.0705274357805138E-4</v>
      </c>
      <c r="Q36" s="382" t="str">
        <f t="array" ref="Q36">IFERROR(INDEX($D$13:$D$1000,MATCH(0,COUNTIF($Q$12:Q35,$D$13:$D$1000&amp;"")+IF($D$13:$D$1000="",1,0),0)),"")</f>
        <v/>
      </c>
      <c r="R36" s="356" t="str">
        <f t="shared" si="1"/>
        <v/>
      </c>
      <c r="S36" s="383" t="str">
        <f t="shared" si="3"/>
        <v/>
      </c>
      <c r="T36" s="384" t="str">
        <f t="shared" si="2"/>
        <v/>
      </c>
      <c r="U36" s="349"/>
      <c r="V36" s="385"/>
      <c r="W36" s="385"/>
      <c r="X36" s="386" t="s">
        <v>767</v>
      </c>
    </row>
    <row r="37" spans="1:24" ht="16.5" customHeight="1">
      <c r="A37" s="301"/>
      <c r="B37" s="370">
        <v>1</v>
      </c>
      <c r="C37" s="371">
        <v>25</v>
      </c>
      <c r="D37" s="372" t="str">
        <f>IFERROR(INDEX('[11]Equipment List'!$B$2:$B$2008,MATCH(E37,'[11]Equipment List'!$A$2:$A$2008,0)),"")</f>
        <v>Transport Loader/Unloader</v>
      </c>
      <c r="E37" s="388" t="s">
        <v>768</v>
      </c>
      <c r="F37" s="374" t="s">
        <v>698</v>
      </c>
      <c r="G37" s="375" t="s">
        <v>699</v>
      </c>
      <c r="H37" s="376">
        <v>0</v>
      </c>
      <c r="I37" s="377" t="s">
        <v>764</v>
      </c>
      <c r="J37" s="378" t="s">
        <v>701</v>
      </c>
      <c r="K37" s="379">
        <v>8190</v>
      </c>
      <c r="L37" s="387">
        <v>0.5</v>
      </c>
      <c r="M37" s="380">
        <f t="array" ref="M37">IF(L37="","",(MAX(IF(AN$15:AN$144=B37,AO$15:AO$144))/60))</f>
        <v>8.3333333333333329E-2</v>
      </c>
      <c r="N37" s="387">
        <v>0.5</v>
      </c>
      <c r="O37" s="387" t="s">
        <v>769</v>
      </c>
      <c r="P37" s="381">
        <f t="shared" si="0"/>
        <v>8.2593859249126007E-3</v>
      </c>
      <c r="Q37" s="382" t="str">
        <f t="array" ref="Q37">IFERROR(INDEX($D$13:$D$1000,MATCH(0,COUNTIF($Q$12:Q36,$D$13:$D$1000&amp;"")+IF($D$13:$D$1000="",1,0),0)),"")</f>
        <v/>
      </c>
      <c r="R37" s="356" t="str">
        <f t="shared" si="1"/>
        <v/>
      </c>
      <c r="S37" s="383" t="str">
        <f t="shared" si="3"/>
        <v/>
      </c>
      <c r="T37" s="384" t="str">
        <f t="shared" si="2"/>
        <v/>
      </c>
      <c r="U37" s="349"/>
      <c r="V37" s="385"/>
      <c r="W37" s="385"/>
      <c r="X37" s="386" t="s">
        <v>770</v>
      </c>
    </row>
    <row r="38" spans="1:24" ht="16.5" customHeight="1">
      <c r="A38" s="301"/>
      <c r="B38" s="387">
        <v>2</v>
      </c>
      <c r="C38" s="371">
        <v>26</v>
      </c>
      <c r="D38" s="372" t="str">
        <f>IFERROR(INDEX('[11]Equipment List'!$B$2:$B$2008,MATCH(E38,'[11]Equipment List'!$A$2:$A$2008,0)),"")</f>
        <v>Transport Loader/Unloader</v>
      </c>
      <c r="E38" s="388" t="s">
        <v>771</v>
      </c>
      <c r="F38" s="374" t="s">
        <v>708</v>
      </c>
      <c r="G38" s="375" t="s">
        <v>699</v>
      </c>
      <c r="H38" s="376">
        <v>0</v>
      </c>
      <c r="I38" s="377" t="s">
        <v>700</v>
      </c>
      <c r="J38" s="378" t="s">
        <v>701</v>
      </c>
      <c r="K38" s="379">
        <v>8190</v>
      </c>
      <c r="L38" s="387">
        <v>0.5</v>
      </c>
      <c r="M38" s="380">
        <f t="array" ref="M38">IF(L38="","",(MAX(IF(AN$15:AN$144=B38,AO$15:AO$144))/60))</f>
        <v>0</v>
      </c>
      <c r="N38" s="387">
        <v>0.3</v>
      </c>
      <c r="O38" s="387" t="s">
        <v>772</v>
      </c>
      <c r="P38" s="381">
        <f t="shared" si="0"/>
        <v>0</v>
      </c>
      <c r="Q38" s="382" t="str">
        <f t="array" ref="Q38">IFERROR(INDEX($D$13:$D$1000,MATCH(0,COUNTIF($Q$12:Q37,$D$13:$D$1000&amp;"")+IF($D$13:$D$1000="",1,0),0)),"")</f>
        <v/>
      </c>
      <c r="R38" s="356" t="str">
        <f t="shared" si="1"/>
        <v/>
      </c>
      <c r="S38" s="383" t="str">
        <f t="shared" si="3"/>
        <v/>
      </c>
      <c r="T38" s="384" t="str">
        <f t="shared" si="2"/>
        <v/>
      </c>
      <c r="U38" s="349"/>
      <c r="V38" s="385"/>
      <c r="W38" s="385"/>
      <c r="X38" s="386" t="s">
        <v>773</v>
      </c>
    </row>
    <row r="39" spans="1:24" ht="16.5" customHeight="1">
      <c r="A39" s="301"/>
      <c r="B39" s="370">
        <v>2</v>
      </c>
      <c r="C39" s="371">
        <v>27</v>
      </c>
      <c r="D39" s="372" t="str">
        <f>IFERROR(INDEX('[11]Equipment List'!$B$2:$B$2008,MATCH(E39,'[11]Equipment List'!$A$2:$A$2008,0)),"")</f>
        <v>Transport Destacker</v>
      </c>
      <c r="E39" s="388" t="s">
        <v>774</v>
      </c>
      <c r="F39" s="374" t="s">
        <v>708</v>
      </c>
      <c r="G39" s="375" t="s">
        <v>699</v>
      </c>
      <c r="H39" s="376">
        <v>0</v>
      </c>
      <c r="I39" s="377" t="s">
        <v>700</v>
      </c>
      <c r="J39" s="378" t="s">
        <v>704</v>
      </c>
      <c r="K39" s="379">
        <v>6500</v>
      </c>
      <c r="L39" s="387">
        <v>0.5</v>
      </c>
      <c r="M39" s="380">
        <f t="array" ref="M39">IF(L39="","",(MAX(IF(AN$15:AN$144=B39,AO$15:AO$144))/60))</f>
        <v>0</v>
      </c>
      <c r="N39" s="387">
        <v>0</v>
      </c>
      <c r="O39" s="387" t="s">
        <v>775</v>
      </c>
      <c r="P39" s="381">
        <f t="shared" si="0"/>
        <v>0</v>
      </c>
      <c r="Q39" s="382" t="str">
        <f t="array" ref="Q39">IFERROR(INDEX($D$13:$D$1000,MATCH(0,COUNTIF($Q$12:Q38,$D$13:$D$1000&amp;"")+IF($D$13:$D$1000="",1,0),0)),"")</f>
        <v/>
      </c>
      <c r="R39" s="356" t="str">
        <f t="shared" si="1"/>
        <v/>
      </c>
      <c r="S39" s="383" t="str">
        <f t="shared" si="3"/>
        <v/>
      </c>
      <c r="T39" s="384" t="str">
        <f t="shared" si="2"/>
        <v/>
      </c>
      <c r="U39" s="349"/>
      <c r="V39" s="385"/>
      <c r="W39" s="385"/>
      <c r="X39" s="386" t="s">
        <v>776</v>
      </c>
    </row>
    <row r="40" spans="1:24" ht="16.5" customHeight="1">
      <c r="A40" s="301"/>
      <c r="B40" s="387">
        <v>2</v>
      </c>
      <c r="C40" s="371">
        <v>28</v>
      </c>
      <c r="D40" s="372" t="str">
        <f>IFERROR(INDEX('[11]Equipment List'!$B$2:$B$2008,MATCH(E40,'[11]Equipment List'!$A$2:$A$2008,0)),"")</f>
        <v>Transport Conveyor</v>
      </c>
      <c r="E40" s="388" t="s">
        <v>777</v>
      </c>
      <c r="F40" s="374" t="s">
        <v>708</v>
      </c>
      <c r="G40" s="375" t="s">
        <v>699</v>
      </c>
      <c r="H40" s="376">
        <v>0</v>
      </c>
      <c r="I40" s="377" t="s">
        <v>700</v>
      </c>
      <c r="J40" s="378" t="s">
        <v>707</v>
      </c>
      <c r="K40" s="379">
        <v>3818</v>
      </c>
      <c r="L40" s="387">
        <v>0.5</v>
      </c>
      <c r="M40" s="380">
        <f t="array" ref="M40">IF(L40="","",(MAX(IF(AN$15:AN$144=B40,AO$15:AO$144))/60))</f>
        <v>0</v>
      </c>
      <c r="N40" s="387">
        <v>0</v>
      </c>
      <c r="O40" s="387"/>
      <c r="P40" s="381">
        <f t="shared" si="0"/>
        <v>0</v>
      </c>
      <c r="Q40" s="382" t="str">
        <f t="array" ref="Q40">IFERROR(INDEX($D$13:$D$1000,MATCH(0,COUNTIF($Q$12:Q39,$D$13:$D$1000&amp;"")+IF($D$13:$D$1000="",1,0),0)),"")</f>
        <v/>
      </c>
      <c r="R40" s="356" t="str">
        <f t="shared" si="1"/>
        <v/>
      </c>
      <c r="S40" s="383" t="str">
        <f t="shared" si="3"/>
        <v/>
      </c>
      <c r="T40" s="384" t="str">
        <f t="shared" si="2"/>
        <v/>
      </c>
      <c r="U40" s="349"/>
      <c r="V40" s="385"/>
      <c r="W40" s="385"/>
      <c r="X40" s="386"/>
    </row>
    <row r="41" spans="1:24" ht="16.5" customHeight="1">
      <c r="A41" s="301"/>
      <c r="B41" s="370">
        <v>2</v>
      </c>
      <c r="C41" s="371">
        <v>29</v>
      </c>
      <c r="D41" s="372" t="str">
        <f>IFERROR(INDEX('[11]Equipment List'!$B$2:$B$2008,MATCH(E41,'[11]Equipment List'!$A$2:$A$2008,0)),"")</f>
        <v>Labeling</v>
      </c>
      <c r="E41" s="388" t="s">
        <v>778</v>
      </c>
      <c r="F41" s="374" t="s">
        <v>702</v>
      </c>
      <c r="G41" s="375" t="s">
        <v>699</v>
      </c>
      <c r="H41" s="376">
        <v>0</v>
      </c>
      <c r="I41" s="377" t="s">
        <v>710</v>
      </c>
      <c r="J41" s="378" t="s">
        <v>711</v>
      </c>
      <c r="K41" s="379">
        <v>76181</v>
      </c>
      <c r="L41" s="387">
        <v>2</v>
      </c>
      <c r="M41" s="380">
        <f t="array" ref="M41">IF(L41="","",(MAX(IF(AN$15:AN$144=B41,AO$15:AO$144))/60))</f>
        <v>0</v>
      </c>
      <c r="N41" s="387">
        <v>0</v>
      </c>
      <c r="O41" s="387" t="s">
        <v>1421</v>
      </c>
      <c r="P41" s="381">
        <f t="shared" si="0"/>
        <v>0</v>
      </c>
      <c r="Q41" s="382" t="str">
        <f t="array" ref="Q41">IFERROR(INDEX($D$13:$D$1000,MATCH(0,COUNTIF($Q$12:Q40,$D$13:$D$1000&amp;"")+IF($D$13:$D$1000="",1,0),0)),"")</f>
        <v/>
      </c>
      <c r="R41" s="356" t="str">
        <f t="shared" si="1"/>
        <v/>
      </c>
      <c r="S41" s="383" t="str">
        <f t="shared" si="3"/>
        <v/>
      </c>
      <c r="T41" s="384" t="str">
        <f t="shared" si="2"/>
        <v/>
      </c>
      <c r="U41" s="349"/>
      <c r="V41" s="385"/>
      <c r="W41" s="385"/>
      <c r="X41" s="386"/>
    </row>
    <row r="42" spans="1:24" ht="16.5" customHeight="1">
      <c r="A42" s="301"/>
      <c r="B42" s="387">
        <v>2</v>
      </c>
      <c r="C42" s="371">
        <v>30</v>
      </c>
      <c r="D42" s="372" t="str">
        <f>IFERROR(INDEX('[11]Equipment List'!$B$2:$B$2008,MATCH(E42,'[11]Equipment List'!$A$2:$A$2008,0)),"")</f>
        <v>Transport Conveyor</v>
      </c>
      <c r="E42" s="388" t="s">
        <v>779</v>
      </c>
      <c r="F42" s="374" t="s">
        <v>708</v>
      </c>
      <c r="G42" s="375" t="s">
        <v>699</v>
      </c>
      <c r="H42" s="376">
        <v>0</v>
      </c>
      <c r="I42" s="377" t="s">
        <v>700</v>
      </c>
      <c r="J42" s="378" t="s">
        <v>707</v>
      </c>
      <c r="K42" s="379">
        <v>3818</v>
      </c>
      <c r="L42" s="387">
        <v>0.5</v>
      </c>
      <c r="M42" s="380">
        <f t="array" ref="M42">IF(L42="","",(MAX(IF(AN$15:AN$144=B42,AO$15:AO$144))/60))</f>
        <v>0</v>
      </c>
      <c r="N42" s="387">
        <v>0</v>
      </c>
      <c r="O42" s="387"/>
      <c r="P42" s="381">
        <f t="shared" si="0"/>
        <v>0</v>
      </c>
      <c r="Q42" s="382" t="str">
        <f t="array" ref="Q42">IFERROR(INDEX($D$13:$D$1000,MATCH(0,COUNTIF($Q$12:Q41,$D$13:$D$1000&amp;"")+IF($D$13:$D$1000="",1,0),0)),"")</f>
        <v/>
      </c>
      <c r="R42" s="356" t="str">
        <f t="shared" si="1"/>
        <v/>
      </c>
      <c r="S42" s="383" t="str">
        <f t="shared" si="3"/>
        <v/>
      </c>
      <c r="T42" s="384" t="str">
        <f t="shared" si="2"/>
        <v/>
      </c>
      <c r="U42" s="349"/>
      <c r="V42" s="385"/>
      <c r="W42" s="385"/>
      <c r="X42" s="386"/>
    </row>
    <row r="43" spans="1:24" ht="16.5" customHeight="1">
      <c r="A43" s="301"/>
      <c r="B43" s="392">
        <v>2</v>
      </c>
      <c r="C43" s="371">
        <v>31</v>
      </c>
      <c r="D43" s="372" t="str">
        <f>IFERROR(INDEX('[11]Equipment List'!$B$2:$B$2008,MATCH(E43,'[11]Equipment List'!$A$2:$A$2008,0)),"")</f>
        <v>Solder Paste Printing</v>
      </c>
      <c r="E43" s="388" t="s">
        <v>780</v>
      </c>
      <c r="F43" s="374" t="s">
        <v>708</v>
      </c>
      <c r="G43" s="375" t="s">
        <v>699</v>
      </c>
      <c r="H43" s="376">
        <v>0</v>
      </c>
      <c r="I43" s="377" t="s">
        <v>289</v>
      </c>
      <c r="J43" s="378" t="s">
        <v>716</v>
      </c>
      <c r="K43" s="379">
        <v>110000</v>
      </c>
      <c r="L43" s="387">
        <v>5</v>
      </c>
      <c r="M43" s="380">
        <f t="array" ref="M43">IF(L43="","",(MAX(IF(AN$15:AN$144=B43,AO$15:AO$144))/60))</f>
        <v>0</v>
      </c>
      <c r="N43" s="387">
        <v>0.5</v>
      </c>
      <c r="O43" s="387"/>
      <c r="P43" s="381">
        <f t="shared" si="0"/>
        <v>0</v>
      </c>
      <c r="Q43" s="382" t="str">
        <f t="array" ref="Q43">IFERROR(INDEX($D$13:$D$1000,MATCH(0,COUNTIF($Q$12:Q42,$D$13:$D$1000&amp;"")+IF($D$13:$D$1000="",1,0),0)),"")</f>
        <v/>
      </c>
      <c r="R43" s="356" t="str">
        <f t="shared" si="1"/>
        <v/>
      </c>
      <c r="S43" s="383" t="str">
        <f t="shared" si="3"/>
        <v/>
      </c>
      <c r="T43" s="384" t="str">
        <f t="shared" si="2"/>
        <v/>
      </c>
      <c r="U43" s="349"/>
      <c r="V43" s="385"/>
      <c r="W43" s="385"/>
      <c r="X43" s="386"/>
    </row>
    <row r="44" spans="1:24" ht="16.5" customHeight="1">
      <c r="A44" s="301"/>
      <c r="B44" s="387">
        <v>2</v>
      </c>
      <c r="C44" s="371">
        <v>32</v>
      </c>
      <c r="D44" s="372" t="str">
        <f>IFERROR(INDEX('[11]Equipment List'!$B$2:$B$2008,MATCH(E44,'[11]Equipment List'!$A$2:$A$2008,0)),"")</f>
        <v>Transport Conveyor</v>
      </c>
      <c r="E44" s="388" t="s">
        <v>781</v>
      </c>
      <c r="F44" s="374" t="s">
        <v>708</v>
      </c>
      <c r="G44" s="375" t="s">
        <v>699</v>
      </c>
      <c r="H44" s="376">
        <v>0</v>
      </c>
      <c r="I44" s="377" t="s">
        <v>700</v>
      </c>
      <c r="J44" s="378" t="s">
        <v>707</v>
      </c>
      <c r="K44" s="379">
        <v>3818</v>
      </c>
      <c r="L44" s="387">
        <v>0.5</v>
      </c>
      <c r="M44" s="380">
        <f t="array" ref="M44">IF(L44="","",(MAX(IF(AN$15:AN$144=B44,AO$15:AO$144))/60))</f>
        <v>0</v>
      </c>
      <c r="N44" s="387">
        <v>0</v>
      </c>
      <c r="O44" s="387"/>
      <c r="P44" s="381">
        <f t="shared" si="0"/>
        <v>0</v>
      </c>
      <c r="Q44" s="382" t="str">
        <f t="array" ref="Q44">IFERROR(INDEX($D$13:$D$1000,MATCH(0,COUNTIF($Q$12:Q43,$D$13:$D$1000&amp;"")+IF($D$13:$D$1000="",1,0),0)),"")</f>
        <v/>
      </c>
      <c r="R44" s="356" t="str">
        <f t="shared" si="1"/>
        <v/>
      </c>
      <c r="S44" s="383" t="str">
        <f t="shared" si="3"/>
        <v/>
      </c>
      <c r="T44" s="384" t="str">
        <f t="shared" si="2"/>
        <v/>
      </c>
      <c r="U44" s="349"/>
      <c r="V44" s="385"/>
      <c r="W44" s="385"/>
      <c r="X44" s="386"/>
    </row>
    <row r="45" spans="1:24" ht="16.5" customHeight="1">
      <c r="A45" s="301"/>
      <c r="B45" s="392">
        <v>2</v>
      </c>
      <c r="C45" s="371">
        <v>33</v>
      </c>
      <c r="D45" s="372" t="str">
        <f>IFERROR(INDEX('[11]Equipment List'!$B$2:$B$2008,MATCH(E45,'[11]Equipment List'!$A$2:$A$2008,0)),"")</f>
        <v>Transport Shuttle</v>
      </c>
      <c r="E45" s="388" t="s">
        <v>782</v>
      </c>
      <c r="F45" s="374" t="s">
        <v>708</v>
      </c>
      <c r="G45" s="375" t="s">
        <v>699</v>
      </c>
      <c r="H45" s="376">
        <v>0</v>
      </c>
      <c r="I45" s="377" t="s">
        <v>721</v>
      </c>
      <c r="J45" s="378" t="s">
        <v>722</v>
      </c>
      <c r="K45" s="379">
        <v>4858</v>
      </c>
      <c r="L45" s="387">
        <v>0.5</v>
      </c>
      <c r="M45" s="380">
        <f t="array" ref="M45">IF(L45="","",(MAX(IF(AN$15:AN$144=B45,AO$15:AO$144))/60))</f>
        <v>0</v>
      </c>
      <c r="N45" s="387">
        <v>0</v>
      </c>
      <c r="O45" s="387"/>
      <c r="P45" s="381">
        <f t="shared" si="0"/>
        <v>0</v>
      </c>
      <c r="Q45" s="382" t="str">
        <f t="array" ref="Q45">IFERROR(INDEX($D$13:$D$1000,MATCH(0,COUNTIF($Q$12:Q44,$D$13:$D$1000&amp;"")+IF($D$13:$D$1000="",1,0),0)),"")</f>
        <v/>
      </c>
      <c r="R45" s="356" t="str">
        <f t="shared" si="1"/>
        <v/>
      </c>
      <c r="S45" s="383" t="str">
        <f t="shared" si="3"/>
        <v/>
      </c>
      <c r="T45" s="384" t="str">
        <f t="shared" si="2"/>
        <v/>
      </c>
      <c r="U45" s="349"/>
      <c r="V45" s="385"/>
      <c r="W45" s="385"/>
      <c r="X45" s="386"/>
    </row>
    <row r="46" spans="1:24" ht="16.5" customHeight="1">
      <c r="A46" s="301"/>
      <c r="B46" s="387">
        <v>2</v>
      </c>
      <c r="C46" s="371">
        <v>34</v>
      </c>
      <c r="D46" s="372" t="str">
        <f>IFERROR(INDEX('[11]Equipment List'!$B$2:$B$2008,MATCH(E46,'[11]Equipment List'!$A$2:$A$2008,0)),"")</f>
        <v>Automatic Solder Paste Inspection</v>
      </c>
      <c r="E46" s="388" t="s">
        <v>783</v>
      </c>
      <c r="F46" s="374" t="s">
        <v>708</v>
      </c>
      <c r="G46" s="375" t="s">
        <v>699</v>
      </c>
      <c r="H46" s="376">
        <v>0</v>
      </c>
      <c r="I46" s="377" t="s">
        <v>725</v>
      </c>
      <c r="J46" s="378" t="s">
        <v>726</v>
      </c>
      <c r="K46" s="379">
        <v>99190</v>
      </c>
      <c r="L46" s="387">
        <v>5</v>
      </c>
      <c r="M46" s="380">
        <f t="array" ref="M46">IF(L46="","",(MAX(IF(AN$15:AN$144=B46,AO$15:AO$144))/60))</f>
        <v>0</v>
      </c>
      <c r="N46" s="387">
        <v>0</v>
      </c>
      <c r="O46" s="387" t="s">
        <v>727</v>
      </c>
      <c r="P46" s="381">
        <f t="shared" si="0"/>
        <v>0</v>
      </c>
      <c r="Q46" s="382" t="str">
        <f t="array" ref="Q46">IFERROR(INDEX($D$13:$D$1000,MATCH(0,COUNTIF($Q$12:Q45,$D$13:$D$1000&amp;"")+IF($D$13:$D$1000="",1,0),0)),"")</f>
        <v/>
      </c>
      <c r="R46" s="356" t="str">
        <f t="shared" si="1"/>
        <v/>
      </c>
      <c r="S46" s="383" t="str">
        <f t="shared" si="3"/>
        <v/>
      </c>
      <c r="T46" s="384" t="str">
        <f t="shared" si="2"/>
        <v/>
      </c>
      <c r="U46" s="349"/>
      <c r="V46" s="385"/>
      <c r="W46" s="385"/>
      <c r="X46" s="386"/>
    </row>
    <row r="47" spans="1:24" ht="17.25" customHeight="1">
      <c r="A47" s="301"/>
      <c r="B47" s="392">
        <v>2</v>
      </c>
      <c r="C47" s="371">
        <v>35</v>
      </c>
      <c r="D47" s="372" t="str">
        <f>IFERROR(INDEX('[11]Equipment List'!$B$2:$B$2008,MATCH(E47,'[11]Equipment List'!$A$2:$A$2008,0)),"")</f>
        <v>Transport reject</v>
      </c>
      <c r="E47" s="388" t="s">
        <v>784</v>
      </c>
      <c r="F47" s="374" t="s">
        <v>708</v>
      </c>
      <c r="G47" s="375" t="s">
        <v>699</v>
      </c>
      <c r="H47" s="376">
        <v>0</v>
      </c>
      <c r="I47" s="377" t="s">
        <v>729</v>
      </c>
      <c r="J47" s="378" t="s">
        <v>730</v>
      </c>
      <c r="K47" s="379">
        <v>8190</v>
      </c>
      <c r="L47" s="387">
        <v>0.5</v>
      </c>
      <c r="M47" s="380">
        <f t="array" ref="M47">IF(L47="","",(MAX(IF(AN$15:AN$144=B47,AO$15:AO$144))/60))</f>
        <v>0</v>
      </c>
      <c r="N47" s="387">
        <v>0</v>
      </c>
      <c r="O47" s="387"/>
      <c r="P47" s="381">
        <f t="shared" si="0"/>
        <v>0</v>
      </c>
      <c r="Q47" s="382" t="str">
        <f t="array" ref="Q47">IFERROR(INDEX($D$13:$D$1000,MATCH(0,COUNTIF($Q$12:Q46,$D$13:$D$1000&amp;"")+IF($D$13:$D$1000="",1,0),0)),"")</f>
        <v/>
      </c>
      <c r="R47" s="356" t="str">
        <f t="shared" si="1"/>
        <v/>
      </c>
      <c r="S47" s="383" t="str">
        <f t="shared" si="3"/>
        <v/>
      </c>
      <c r="T47" s="384" t="str">
        <f t="shared" si="2"/>
        <v/>
      </c>
      <c r="U47" s="349"/>
      <c r="V47" s="385"/>
      <c r="W47" s="385"/>
      <c r="X47" s="386"/>
    </row>
    <row r="48" spans="1:24" ht="18" customHeight="1">
      <c r="A48" s="301"/>
      <c r="B48" s="392">
        <v>2</v>
      </c>
      <c r="C48" s="371">
        <v>36</v>
      </c>
      <c r="D48" s="372" t="str">
        <f>IFERROR(INDEX('[11]Equipment List'!$B$2:$B$2008,MATCH(E48,'[11]Equipment List'!$A$2:$A$2008,0)),"")</f>
        <v>Automatic Placement --- SMT</v>
      </c>
      <c r="E48" s="388" t="s">
        <v>785</v>
      </c>
      <c r="F48" s="374" t="s">
        <v>708</v>
      </c>
      <c r="G48" s="375" t="s">
        <v>699</v>
      </c>
      <c r="H48" s="376">
        <v>0</v>
      </c>
      <c r="I48" s="377" t="s">
        <v>289</v>
      </c>
      <c r="J48" s="393" t="s">
        <v>733</v>
      </c>
      <c r="K48" s="379">
        <v>202834</v>
      </c>
      <c r="L48" s="389"/>
      <c r="M48" s="380" t="str">
        <f t="array" ref="M48">IF(L48="","",(MAX(IF(AN$15:AN$144=B48,AO$15:AO$144))/60))</f>
        <v/>
      </c>
      <c r="N48" s="387">
        <v>2</v>
      </c>
      <c r="O48" s="387"/>
      <c r="P48" s="381" t="str">
        <f t="shared" si="0"/>
        <v/>
      </c>
      <c r="Q48" s="382" t="str">
        <f t="array" ref="Q48">IFERROR(INDEX($D$13:$D$1000,MATCH(0,COUNTIF($Q$12:Q47,$D$13:$D$1000&amp;"")+IF($D$13:$D$1000="",1,0),0)),"")</f>
        <v/>
      </c>
      <c r="R48" s="356" t="str">
        <f t="shared" si="1"/>
        <v/>
      </c>
      <c r="S48" s="383" t="str">
        <f t="shared" si="3"/>
        <v/>
      </c>
      <c r="T48" s="384" t="str">
        <f t="shared" si="2"/>
        <v/>
      </c>
      <c r="U48" s="349"/>
      <c r="V48" s="385">
        <v>77000</v>
      </c>
      <c r="W48" s="385">
        <v>102</v>
      </c>
      <c r="X48" s="386"/>
    </row>
    <row r="49" spans="1:24" ht="16.5" customHeight="1">
      <c r="A49" s="301"/>
      <c r="B49" s="392">
        <v>2</v>
      </c>
      <c r="C49" s="371">
        <v>37</v>
      </c>
      <c r="D49" s="372" t="str">
        <f>IFERROR(INDEX('[11]Equipment List'!$B$2:$B$2008,MATCH(E49,'[11]Equipment List'!$A$2:$A$2008,0)),"")</f>
        <v>Automatic Placement --- SMT</v>
      </c>
      <c r="E49" s="388" t="s">
        <v>786</v>
      </c>
      <c r="F49" s="374" t="s">
        <v>708</v>
      </c>
      <c r="G49" s="375" t="s">
        <v>699</v>
      </c>
      <c r="H49" s="376">
        <v>0</v>
      </c>
      <c r="I49" s="377" t="s">
        <v>289</v>
      </c>
      <c r="J49" s="393" t="s">
        <v>733</v>
      </c>
      <c r="K49" s="379">
        <v>202834</v>
      </c>
      <c r="L49" s="389"/>
      <c r="M49" s="380" t="str">
        <f t="array" ref="M49">IF(L49="","",(MAX(IF(AN$15:AN$144=B49,AO$15:AO$144))/60))</f>
        <v/>
      </c>
      <c r="N49" s="387">
        <v>0</v>
      </c>
      <c r="O49" s="387"/>
      <c r="P49" s="381" t="str">
        <f t="shared" si="0"/>
        <v/>
      </c>
      <c r="Q49" s="382" t="str">
        <f t="array" ref="Q49">IFERROR(INDEX($D$13:$D$1000,MATCH(0,COUNTIF($Q$12:Q48,$D$13:$D$1000&amp;"")+IF($D$13:$D$1000="",1,0),0)),"")</f>
        <v/>
      </c>
      <c r="R49" s="356" t="str">
        <f t="shared" si="1"/>
        <v/>
      </c>
      <c r="S49" s="383" t="str">
        <f t="shared" si="3"/>
        <v/>
      </c>
      <c r="T49" s="384" t="str">
        <f t="shared" si="2"/>
        <v/>
      </c>
      <c r="U49" s="349"/>
      <c r="V49" s="385">
        <v>77000</v>
      </c>
      <c r="W49" s="385">
        <v>103</v>
      </c>
      <c r="X49" s="386"/>
    </row>
    <row r="50" spans="1:24" ht="16.5" customHeight="1">
      <c r="A50" s="301"/>
      <c r="B50" s="392">
        <v>2</v>
      </c>
      <c r="C50" s="371">
        <v>38</v>
      </c>
      <c r="D50" s="372" t="str">
        <f>IFERROR(INDEX('[11]Equipment List'!$B$2:$B$2008,MATCH(E50,'[11]Equipment List'!$A$2:$A$2008,0)),"")</f>
        <v>Automatic Placement --- SMT</v>
      </c>
      <c r="E50" s="388" t="s">
        <v>787</v>
      </c>
      <c r="F50" s="374" t="s">
        <v>708</v>
      </c>
      <c r="G50" s="375" t="s">
        <v>699</v>
      </c>
      <c r="H50" s="376">
        <v>0</v>
      </c>
      <c r="I50" s="377" t="s">
        <v>289</v>
      </c>
      <c r="J50" s="393" t="s">
        <v>736</v>
      </c>
      <c r="K50" s="379">
        <v>202834</v>
      </c>
      <c r="L50" s="389"/>
      <c r="M50" s="380" t="str">
        <f t="array" ref="M50">IF(L50="","",(MAX(IF(AN$15:AN$144=B50,AO$15:AO$144))/60))</f>
        <v/>
      </c>
      <c r="N50" s="387">
        <v>0</v>
      </c>
      <c r="O50" s="387"/>
      <c r="P50" s="381" t="str">
        <f t="shared" si="0"/>
        <v/>
      </c>
      <c r="Q50" s="382" t="str">
        <f t="array" ref="Q50">IFERROR(INDEX($D$13:$D$1000,MATCH(0,COUNTIF($Q$12:Q49,$D$13:$D$1000&amp;"")+IF($D$13:$D$1000="",1,0),0)),"")</f>
        <v/>
      </c>
      <c r="R50" s="356" t="str">
        <f t="shared" si="1"/>
        <v/>
      </c>
      <c r="S50" s="383" t="str">
        <f t="shared" si="3"/>
        <v/>
      </c>
      <c r="T50" s="384" t="str">
        <f t="shared" si="2"/>
        <v/>
      </c>
      <c r="U50" s="349"/>
      <c r="V50" s="385">
        <v>36000</v>
      </c>
      <c r="W50" s="385">
        <v>52</v>
      </c>
      <c r="X50" s="386"/>
    </row>
    <row r="51" spans="1:24" ht="16.5" customHeight="1">
      <c r="A51" s="301"/>
      <c r="B51" s="392">
        <v>2</v>
      </c>
      <c r="C51" s="371">
        <v>39</v>
      </c>
      <c r="D51" s="372" t="str">
        <f>IFERROR(INDEX('[11]Equipment List'!$B$2:$B$2008,MATCH(E51,'[11]Equipment List'!$A$2:$A$2008,0)),"")</f>
        <v>Automatic Placement --- SMT</v>
      </c>
      <c r="E51" s="388" t="s">
        <v>788</v>
      </c>
      <c r="F51" s="374" t="s">
        <v>708</v>
      </c>
      <c r="G51" s="375" t="s">
        <v>699</v>
      </c>
      <c r="H51" s="376">
        <v>0</v>
      </c>
      <c r="I51" s="377" t="s">
        <v>289</v>
      </c>
      <c r="J51" s="378" t="s">
        <v>738</v>
      </c>
      <c r="K51" s="379">
        <v>202834</v>
      </c>
      <c r="L51" s="389">
        <v>15.846153846153801</v>
      </c>
      <c r="M51" s="380">
        <f t="array" ref="M51">IF(L51="","",(MAX(IF(AN$15:AN$144=B51,AO$15:AO$144))/60))</f>
        <v>0</v>
      </c>
      <c r="N51" s="387">
        <v>0</v>
      </c>
      <c r="O51" s="387"/>
      <c r="P51" s="381">
        <f t="shared" si="0"/>
        <v>0</v>
      </c>
      <c r="Q51" s="382" t="str">
        <f t="array" ref="Q51">IFERROR(INDEX($D$13:$D$1000,MATCH(0,COUNTIF($Q$12:Q50,$D$13:$D$1000&amp;"")+IF($D$13:$D$1000="",1,0),0)),"")</f>
        <v/>
      </c>
      <c r="R51" s="356" t="str">
        <f t="shared" si="1"/>
        <v/>
      </c>
      <c r="S51" s="383" t="str">
        <f t="shared" si="3"/>
        <v/>
      </c>
      <c r="T51" s="384" t="str">
        <f t="shared" si="2"/>
        <v/>
      </c>
      <c r="U51" s="349"/>
      <c r="V51" s="385">
        <v>13000</v>
      </c>
      <c r="W51" s="385">
        <v>15</v>
      </c>
      <c r="X51" s="386"/>
    </row>
    <row r="52" spans="1:24" ht="16" customHeight="1">
      <c r="A52" s="301"/>
      <c r="B52" s="392">
        <v>2</v>
      </c>
      <c r="C52" s="371">
        <v>40</v>
      </c>
      <c r="D52" s="372" t="str">
        <f>IFERROR(INDEX('[11]Equipment List'!$B$2:$B$2008,MATCH(E52,'[11]Equipment List'!$A$2:$A$2008,0)),"")</f>
        <v>Transport Conveyor</v>
      </c>
      <c r="E52" s="388" t="s">
        <v>789</v>
      </c>
      <c r="F52" s="374" t="s">
        <v>708</v>
      </c>
      <c r="G52" s="375" t="s">
        <v>699</v>
      </c>
      <c r="H52" s="376">
        <v>0</v>
      </c>
      <c r="I52" s="377" t="s">
        <v>729</v>
      </c>
      <c r="J52" s="378" t="s">
        <v>740</v>
      </c>
      <c r="K52" s="379">
        <v>4094</v>
      </c>
      <c r="L52" s="387">
        <v>0.5</v>
      </c>
      <c r="M52" s="380">
        <f t="array" ref="M52">IF(L52="","",(MAX(IF(AN$15:AN$144=B52,AO$15:AO$144))/60))</f>
        <v>0</v>
      </c>
      <c r="N52" s="387">
        <v>0</v>
      </c>
      <c r="O52" s="387" t="s">
        <v>1</v>
      </c>
      <c r="P52" s="381">
        <f t="shared" si="0"/>
        <v>0</v>
      </c>
      <c r="Q52" s="382" t="str">
        <f t="array" ref="Q52">IFERROR(INDEX($D$13:$D$1000,MATCH(0,COUNTIF($Q$12:Q51,$D$13:$D$1000&amp;"")+IF($D$13:$D$1000="",1,0),0)),"")</f>
        <v/>
      </c>
      <c r="R52" s="356" t="str">
        <f t="shared" si="1"/>
        <v/>
      </c>
      <c r="S52" s="383" t="str">
        <f t="shared" si="3"/>
        <v/>
      </c>
      <c r="T52" s="384" t="str">
        <f t="shared" si="2"/>
        <v/>
      </c>
      <c r="U52" s="349"/>
      <c r="V52" s="385"/>
      <c r="W52" s="385"/>
      <c r="X52" s="386"/>
    </row>
    <row r="53" spans="1:24" ht="16.5" customHeight="1">
      <c r="A53" s="301"/>
      <c r="B53" s="392">
        <v>2</v>
      </c>
      <c r="C53" s="371">
        <v>41</v>
      </c>
      <c r="D53" s="372" t="str">
        <f>IFERROR(INDEX('[11]Equipment List'!$B$2:$B$2008,MATCH(E53,'[11]Equipment List'!$A$2:$A$2008,0)),"")</f>
        <v>Transport Shuttle</v>
      </c>
      <c r="E53" s="388" t="s">
        <v>790</v>
      </c>
      <c r="F53" s="374" t="s">
        <v>708</v>
      </c>
      <c r="G53" s="375" t="s">
        <v>699</v>
      </c>
      <c r="H53" s="376">
        <v>0</v>
      </c>
      <c r="I53" s="377" t="s">
        <v>721</v>
      </c>
      <c r="J53" s="378" t="s">
        <v>722</v>
      </c>
      <c r="K53" s="379">
        <v>4858</v>
      </c>
      <c r="L53" s="387">
        <v>0.5</v>
      </c>
      <c r="M53" s="380">
        <f t="array" ref="M53">IF(L53="","",(MAX(IF(AN$15:AN$144=B53,AO$15:AO$144))/60))</f>
        <v>0</v>
      </c>
      <c r="N53" s="387">
        <v>0</v>
      </c>
      <c r="O53" s="387"/>
      <c r="P53" s="381">
        <f t="shared" si="0"/>
        <v>0</v>
      </c>
      <c r="Q53" s="382" t="str">
        <f t="array" ref="Q53">IFERROR(INDEX($D$13:$D$1000,MATCH(0,COUNTIF($Q$12:Q52,$D$13:$D$1000&amp;"")+IF($D$13:$D$1000="",1,0),0)),"")</f>
        <v/>
      </c>
      <c r="R53" s="356" t="str">
        <f t="shared" si="1"/>
        <v/>
      </c>
      <c r="S53" s="383" t="str">
        <f t="shared" si="3"/>
        <v/>
      </c>
      <c r="T53" s="384" t="str">
        <f t="shared" si="2"/>
        <v/>
      </c>
      <c r="U53" s="349"/>
      <c r="V53" s="385"/>
      <c r="W53" s="385"/>
      <c r="X53" s="386"/>
    </row>
    <row r="54" spans="1:24" ht="16.5" customHeight="1">
      <c r="A54" s="301"/>
      <c r="B54" s="392">
        <v>2</v>
      </c>
      <c r="C54" s="371">
        <v>42</v>
      </c>
      <c r="D54" s="372" t="str">
        <f>IFERROR(INDEX('[11]Equipment List'!$B$2:$B$2008,MATCH(E54,'[11]Equipment List'!$A$2:$A$2008,0)),"")</f>
        <v>SMT Reflow Vacuum</v>
      </c>
      <c r="E54" s="388" t="s">
        <v>791</v>
      </c>
      <c r="F54" s="374" t="s">
        <v>708</v>
      </c>
      <c r="G54" s="375" t="s">
        <v>699</v>
      </c>
      <c r="H54" s="376">
        <v>0</v>
      </c>
      <c r="I54" s="377" t="s">
        <v>745</v>
      </c>
      <c r="J54" s="378" t="s">
        <v>746</v>
      </c>
      <c r="K54" s="391">
        <v>295000</v>
      </c>
      <c r="L54" s="387">
        <v>6</v>
      </c>
      <c r="M54" s="380">
        <f t="array" ref="M54">IF(L54="","",(MAX(IF(AN$15:AN$144=B54,AO$15:AO$144))/60))</f>
        <v>0</v>
      </c>
      <c r="N54" s="387">
        <v>0</v>
      </c>
      <c r="O54" s="387"/>
      <c r="P54" s="381">
        <f t="shared" si="0"/>
        <v>0</v>
      </c>
      <c r="Q54" s="382" t="str">
        <f t="array" ref="Q54">IFERROR(INDEX($D$13:$D$1000,MATCH(0,COUNTIF($Q$12:Q53,$D$13:$D$1000&amp;"")+IF($D$13:$D$1000="",1,0),0)),"")</f>
        <v/>
      </c>
      <c r="R54" s="356" t="str">
        <f t="shared" si="1"/>
        <v/>
      </c>
      <c r="S54" s="383" t="str">
        <f t="shared" si="3"/>
        <v/>
      </c>
      <c r="T54" s="384" t="str">
        <f t="shared" si="2"/>
        <v/>
      </c>
      <c r="U54" s="349"/>
      <c r="V54" s="385"/>
      <c r="W54" s="385"/>
      <c r="X54" s="386"/>
    </row>
    <row r="55" spans="1:24" ht="16.5" customHeight="1">
      <c r="A55" s="301"/>
      <c r="B55" s="392">
        <v>2</v>
      </c>
      <c r="C55" s="371">
        <v>43</v>
      </c>
      <c r="D55" s="372" t="str">
        <f>IFERROR(INDEX('[11]Equipment List'!$B$2:$B$2008,MATCH(E55,'[11]Equipment List'!$A$2:$A$2008,0)),"")</f>
        <v>Transport Shuttle</v>
      </c>
      <c r="E55" s="388" t="s">
        <v>792</v>
      </c>
      <c r="F55" s="374" t="s">
        <v>708</v>
      </c>
      <c r="G55" s="375" t="s">
        <v>699</v>
      </c>
      <c r="H55" s="376">
        <v>0</v>
      </c>
      <c r="I55" s="377" t="s">
        <v>721</v>
      </c>
      <c r="J55" s="378" t="s">
        <v>722</v>
      </c>
      <c r="K55" s="394">
        <v>4858</v>
      </c>
      <c r="L55" s="387">
        <v>0.5</v>
      </c>
      <c r="M55" s="380">
        <f t="array" ref="M55">IF(L55="","",(MAX(IF(AN$15:AN$144=B55,AO$15:AO$144))/60))</f>
        <v>0</v>
      </c>
      <c r="N55" s="387">
        <v>0</v>
      </c>
      <c r="O55" s="387"/>
      <c r="P55" s="381">
        <f t="shared" si="0"/>
        <v>0</v>
      </c>
      <c r="Q55" s="382" t="str">
        <f t="array" ref="Q55">IFERROR(INDEX($D$13:$D$1000,MATCH(0,COUNTIF($Q$12:Q54,$D$13:$D$1000&amp;"")+IF($D$13:$D$1000="",1,0),0)),"")</f>
        <v/>
      </c>
      <c r="R55" s="356" t="str">
        <f t="shared" si="1"/>
        <v/>
      </c>
      <c r="S55" s="383" t="str">
        <f t="shared" si="3"/>
        <v/>
      </c>
      <c r="T55" s="384" t="str">
        <f t="shared" si="2"/>
        <v/>
      </c>
      <c r="U55" s="349"/>
      <c r="V55" s="385"/>
      <c r="W55" s="385"/>
      <c r="X55" s="386"/>
    </row>
    <row r="56" spans="1:24" ht="16.5" customHeight="1">
      <c r="A56" s="301"/>
      <c r="B56" s="392">
        <v>2</v>
      </c>
      <c r="C56" s="371">
        <v>44</v>
      </c>
      <c r="D56" s="372" t="str">
        <f>IFERROR(INDEX('[11]Equipment List'!$B$2:$B$2008,MATCH(E56,'[11]Equipment List'!$A$2:$A$2008,0)),"")</f>
        <v>Transport Conveyor</v>
      </c>
      <c r="E56" s="388" t="s">
        <v>793</v>
      </c>
      <c r="F56" s="374" t="s">
        <v>708</v>
      </c>
      <c r="G56" s="375" t="s">
        <v>699</v>
      </c>
      <c r="H56" s="376">
        <v>0</v>
      </c>
      <c r="I56" s="377" t="s">
        <v>729</v>
      </c>
      <c r="J56" s="378" t="s">
        <v>740</v>
      </c>
      <c r="K56" s="379">
        <v>4094</v>
      </c>
      <c r="L56" s="387">
        <v>0.5</v>
      </c>
      <c r="M56" s="380">
        <f t="array" ref="M56">IF(L56="","",(MAX(IF(AN$15:AN$144=B56,AO$15:AO$144))/60))</f>
        <v>0</v>
      </c>
      <c r="N56" s="387">
        <v>0</v>
      </c>
      <c r="O56" s="387"/>
      <c r="P56" s="381">
        <f t="shared" si="0"/>
        <v>0</v>
      </c>
      <c r="Q56" s="382" t="str">
        <f t="array" ref="Q56">IFERROR(INDEX($D$13:$D$1000,MATCH(0,COUNTIF($Q$12:Q55,$D$13:$D$1000&amp;"")+IF($D$13:$D$1000="",1,0),0)),"")</f>
        <v/>
      </c>
      <c r="R56" s="356" t="str">
        <f t="shared" si="1"/>
        <v/>
      </c>
      <c r="S56" s="383" t="str">
        <f t="shared" si="3"/>
        <v/>
      </c>
      <c r="T56" s="384" t="str">
        <f t="shared" si="2"/>
        <v/>
      </c>
      <c r="U56" s="349"/>
      <c r="V56" s="385"/>
      <c r="W56" s="385"/>
      <c r="X56" s="386"/>
    </row>
    <row r="57" spans="1:24" ht="16.5" customHeight="1">
      <c r="A57" s="301"/>
      <c r="B57" s="392">
        <v>2</v>
      </c>
      <c r="C57" s="371">
        <v>45</v>
      </c>
      <c r="D57" s="372" t="str">
        <f>IFERROR(INDEX('[11]Equipment List'!$B$2:$B$2008,MATCH(E57,'[11]Equipment List'!$A$2:$A$2008,0)),"")</f>
        <v>Transport Buffer</v>
      </c>
      <c r="E57" s="388" t="s">
        <v>794</v>
      </c>
      <c r="F57" s="374" t="s">
        <v>708</v>
      </c>
      <c r="G57" s="375" t="s">
        <v>699</v>
      </c>
      <c r="H57" s="376">
        <v>0</v>
      </c>
      <c r="I57" s="377" t="s">
        <v>729</v>
      </c>
      <c r="J57" s="378" t="s">
        <v>753</v>
      </c>
      <c r="K57" s="394">
        <v>12610</v>
      </c>
      <c r="L57" s="387">
        <v>0.5</v>
      </c>
      <c r="M57" s="380">
        <f t="array" ref="M57">IF(L57="","",(MAX(IF(AN$15:AN$144=B57,AO$15:AO$144))/60))</f>
        <v>0</v>
      </c>
      <c r="N57" s="387">
        <v>0</v>
      </c>
      <c r="O57" s="387" t="s">
        <v>1</v>
      </c>
      <c r="P57" s="381">
        <f t="shared" si="0"/>
        <v>0</v>
      </c>
      <c r="Q57" s="382" t="str">
        <f t="array" ref="Q57">IFERROR(INDEX($D$13:$D$1000,MATCH(0,COUNTIF($Q$12:Q56,$D$13:$D$1000&amp;"")+IF($D$13:$D$1000="",1,0),0)),"")</f>
        <v/>
      </c>
      <c r="R57" s="356" t="str">
        <f t="shared" si="1"/>
        <v/>
      </c>
      <c r="S57" s="383" t="str">
        <f t="shared" si="3"/>
        <v/>
      </c>
      <c r="T57" s="384" t="str">
        <f t="shared" si="2"/>
        <v/>
      </c>
      <c r="U57" s="349"/>
      <c r="V57" s="385"/>
      <c r="W57" s="385"/>
      <c r="X57" s="386"/>
    </row>
    <row r="58" spans="1:24" ht="16.5" customHeight="1">
      <c r="A58" s="301"/>
      <c r="B58" s="392">
        <v>2</v>
      </c>
      <c r="C58" s="371">
        <v>46</v>
      </c>
      <c r="D58" s="372" t="str">
        <f>IFERROR(INDEX('[11]Equipment List'!$B$2:$B$2008,MATCH(E58,'[11]Equipment List'!$A$2:$A$2008,0)),"")</f>
        <v>Automatic Optical Inspection --- SMD</v>
      </c>
      <c r="E58" s="388" t="s">
        <v>795</v>
      </c>
      <c r="F58" s="374" t="s">
        <v>708</v>
      </c>
      <c r="G58" s="375" t="s">
        <v>699</v>
      </c>
      <c r="H58" s="376">
        <v>0</v>
      </c>
      <c r="I58" s="377" t="s">
        <v>756</v>
      </c>
      <c r="J58" s="378" t="s">
        <v>757</v>
      </c>
      <c r="K58" s="379">
        <v>99190</v>
      </c>
      <c r="L58" s="387">
        <v>5</v>
      </c>
      <c r="M58" s="380">
        <f t="array" ref="M58">IF(L58="","",(MAX(IF(AN$15:AN$144=B58,AO$15:AO$144))/60))</f>
        <v>0</v>
      </c>
      <c r="N58" s="387">
        <v>0</v>
      </c>
      <c r="O58" s="387"/>
      <c r="P58" s="381">
        <f t="shared" si="0"/>
        <v>0</v>
      </c>
      <c r="Q58" s="382" t="str">
        <f t="array" ref="Q58">IFERROR(INDEX($D$13:$D$1000,MATCH(0,COUNTIF($Q$12:Q57,$D$13:$D$1000&amp;"")+IF($D$13:$D$1000="",1,0),0)),"")</f>
        <v/>
      </c>
      <c r="R58" s="356" t="str">
        <f t="shared" si="1"/>
        <v/>
      </c>
      <c r="S58" s="383" t="str">
        <f t="shared" si="3"/>
        <v/>
      </c>
      <c r="T58" s="384" t="str">
        <f t="shared" si="2"/>
        <v/>
      </c>
      <c r="U58" s="349"/>
      <c r="V58" s="385"/>
      <c r="W58" s="385"/>
      <c r="X58" s="386"/>
    </row>
    <row r="59" spans="1:24" ht="16.5" customHeight="1">
      <c r="A59" s="301"/>
      <c r="B59" s="392">
        <v>2</v>
      </c>
      <c r="C59" s="371">
        <v>47</v>
      </c>
      <c r="D59" s="372" t="str">
        <f>IFERROR(INDEX('[11]Equipment List'!$B$2:$B$2008,MATCH(E59,'[11]Equipment List'!$A$2:$A$2008,0)),"")</f>
        <v>Transport reject</v>
      </c>
      <c r="E59" s="388" t="s">
        <v>796</v>
      </c>
      <c r="F59" s="374" t="s">
        <v>708</v>
      </c>
      <c r="G59" s="375" t="s">
        <v>699</v>
      </c>
      <c r="H59" s="376">
        <v>0</v>
      </c>
      <c r="I59" s="377" t="s">
        <v>729</v>
      </c>
      <c r="J59" s="378" t="s">
        <v>730</v>
      </c>
      <c r="K59" s="379">
        <v>8190</v>
      </c>
      <c r="L59" s="387">
        <v>0.5</v>
      </c>
      <c r="M59" s="380">
        <f t="array" ref="M59">IF(L59="","",(MAX(IF(AN$15:AN$144=B59,AO$15:AO$144))/60))</f>
        <v>0</v>
      </c>
      <c r="N59" s="387">
        <v>0</v>
      </c>
      <c r="O59" s="387" t="s">
        <v>1</v>
      </c>
      <c r="P59" s="381">
        <f t="shared" si="0"/>
        <v>0</v>
      </c>
      <c r="Q59" s="382" t="str">
        <f t="array" ref="Q59">IFERROR(INDEX($D$13:$D$1000,MATCH(0,COUNTIF($Q$12:Q58,$D$13:$D$1000&amp;"")+IF($D$13:$D$1000="",1,0),0)),"")</f>
        <v/>
      </c>
      <c r="R59" s="356" t="str">
        <f t="shared" si="1"/>
        <v/>
      </c>
      <c r="S59" s="383" t="str">
        <f t="shared" si="3"/>
        <v/>
      </c>
      <c r="T59" s="384" t="str">
        <f t="shared" si="2"/>
        <v/>
      </c>
      <c r="U59" s="349"/>
      <c r="V59" s="385"/>
      <c r="W59" s="385"/>
      <c r="X59" s="386"/>
    </row>
    <row r="60" spans="1:24" ht="16.5" customHeight="1">
      <c r="A60" s="301"/>
      <c r="B60" s="392">
        <v>2</v>
      </c>
      <c r="C60" s="371">
        <v>48</v>
      </c>
      <c r="D60" s="372" t="str">
        <f>IFERROR(INDEX('[11]Equipment List'!$B$2:$B$2008,MATCH(E60,'[11]Equipment List'!$A$2:$A$2008,0)),"")</f>
        <v>Transport Shuttle</v>
      </c>
      <c r="E60" s="388" t="s">
        <v>797</v>
      </c>
      <c r="F60" s="374" t="s">
        <v>708</v>
      </c>
      <c r="G60" s="375" t="s">
        <v>699</v>
      </c>
      <c r="H60" s="376">
        <v>0</v>
      </c>
      <c r="I60" s="377" t="s">
        <v>721</v>
      </c>
      <c r="J60" s="378" t="s">
        <v>722</v>
      </c>
      <c r="K60" s="391">
        <v>4858</v>
      </c>
      <c r="L60" s="387">
        <v>0.5</v>
      </c>
      <c r="M60" s="380">
        <f t="array" ref="M60">IF(L60="","",(MAX(IF(AN$15:AN$144=B60,AO$15:AO$144))/60))</f>
        <v>0</v>
      </c>
      <c r="N60" s="387">
        <v>0</v>
      </c>
      <c r="O60" s="387"/>
      <c r="P60" s="381">
        <f t="shared" si="0"/>
        <v>0</v>
      </c>
      <c r="Q60" s="382" t="str">
        <f t="array" ref="Q60">IFERROR(INDEX($D$13:$D$1000,MATCH(0,COUNTIF($Q$12:Q59,$D$13:$D$1000&amp;"")+IF($D$13:$D$1000="",1,0),0)),"")</f>
        <v/>
      </c>
      <c r="R60" s="356" t="str">
        <f t="shared" si="1"/>
        <v/>
      </c>
      <c r="S60" s="383" t="str">
        <f t="shared" si="3"/>
        <v/>
      </c>
      <c r="T60" s="384" t="str">
        <f t="shared" si="2"/>
        <v/>
      </c>
      <c r="U60" s="349"/>
      <c r="V60" s="385"/>
      <c r="W60" s="385"/>
      <c r="X60" s="386"/>
    </row>
    <row r="61" spans="1:24" ht="16.5" customHeight="1">
      <c r="A61" s="301"/>
      <c r="B61" s="392">
        <v>2</v>
      </c>
      <c r="C61" s="371">
        <v>49</v>
      </c>
      <c r="D61" s="372" t="str">
        <f>IFERROR(INDEX('[11]Equipment List'!$B$2:$B$2008,MATCH(E61,'[11]Equipment List'!$A$2:$A$2008,0)),"")</f>
        <v>Transport Flipper</v>
      </c>
      <c r="E61" s="388" t="s">
        <v>798</v>
      </c>
      <c r="F61" s="374" t="s">
        <v>708</v>
      </c>
      <c r="G61" s="375" t="s">
        <v>699</v>
      </c>
      <c r="H61" s="376">
        <v>0</v>
      </c>
      <c r="I61" s="377" t="s">
        <v>764</v>
      </c>
      <c r="J61" s="378" t="s">
        <v>765</v>
      </c>
      <c r="K61" s="391">
        <v>6695</v>
      </c>
      <c r="L61" s="387">
        <v>0.5</v>
      </c>
      <c r="M61" s="380">
        <f t="array" ref="M61">IF(L61="","",(MAX(IF(AN$15:AN$144=B61,AO$15:AO$144))/60))</f>
        <v>0</v>
      </c>
      <c r="N61" s="387">
        <v>0</v>
      </c>
      <c r="O61" s="387" t="s">
        <v>766</v>
      </c>
      <c r="P61" s="381">
        <f t="shared" si="0"/>
        <v>0</v>
      </c>
      <c r="Q61" s="382" t="str">
        <f t="array" ref="Q61">IFERROR(INDEX($D$13:$D$1000,MATCH(0,COUNTIF($Q$12:Q60,$D$13:$D$1000&amp;"")+IF($D$13:$D$1000="",1,0),0)),"")</f>
        <v/>
      </c>
      <c r="R61" s="356" t="str">
        <f t="shared" si="1"/>
        <v/>
      </c>
      <c r="S61" s="383" t="str">
        <f t="shared" si="3"/>
        <v/>
      </c>
      <c r="T61" s="384" t="str">
        <f t="shared" si="2"/>
        <v/>
      </c>
      <c r="U61" s="349"/>
      <c r="V61" s="385"/>
      <c r="W61" s="385"/>
      <c r="X61" s="386"/>
    </row>
    <row r="62" spans="1:24" ht="16.5" customHeight="1">
      <c r="A62" s="301"/>
      <c r="B62" s="392">
        <v>2</v>
      </c>
      <c r="C62" s="371">
        <v>50</v>
      </c>
      <c r="D62" s="372" t="str">
        <f>IFERROR(INDEX('[11]Equipment List'!$B$2:$B$2008,MATCH(E62,'[11]Equipment List'!$A$2:$A$2008,0)),"")</f>
        <v>Transport Loader/Unloader</v>
      </c>
      <c r="E62" s="388" t="s">
        <v>799</v>
      </c>
      <c r="F62" s="374" t="s">
        <v>708</v>
      </c>
      <c r="G62" s="375" t="s">
        <v>699</v>
      </c>
      <c r="H62" s="376">
        <v>0</v>
      </c>
      <c r="I62" s="377" t="s">
        <v>764</v>
      </c>
      <c r="J62" s="378" t="s">
        <v>701</v>
      </c>
      <c r="K62" s="391">
        <v>8190</v>
      </c>
      <c r="L62" s="387">
        <v>0.5</v>
      </c>
      <c r="M62" s="380">
        <f t="array" ref="M62">IF(L62="","",(MAX(IF(AN$15:AN$144=B62,AO$15:AO$144))/60))</f>
        <v>0</v>
      </c>
      <c r="N62" s="387">
        <v>1</v>
      </c>
      <c r="O62" s="387" t="s">
        <v>800</v>
      </c>
      <c r="P62" s="381">
        <f t="shared" si="0"/>
        <v>0</v>
      </c>
      <c r="Q62" s="382" t="str">
        <f t="array" ref="Q62">IFERROR(INDEX($D$13:$D$1000,MATCH(0,COUNTIF($Q$12:Q61,$D$13:$D$1000&amp;"")+IF($D$13:$D$1000="",1,0),0)),"")</f>
        <v/>
      </c>
      <c r="R62" s="356" t="str">
        <f t="shared" si="1"/>
        <v/>
      </c>
      <c r="S62" s="383" t="str">
        <f t="shared" si="3"/>
        <v/>
      </c>
      <c r="T62" s="384" t="str">
        <f t="shared" si="2"/>
        <v/>
      </c>
      <c r="U62" s="349"/>
      <c r="V62" s="385"/>
      <c r="W62" s="385"/>
      <c r="X62" s="386"/>
    </row>
    <row r="63" spans="1:24" ht="16.5" customHeight="1">
      <c r="A63" s="301"/>
      <c r="B63" s="392">
        <v>3</v>
      </c>
      <c r="C63" s="371">
        <v>51</v>
      </c>
      <c r="D63" s="372" t="str">
        <f>IFERROR(INDEX('[11]Equipment List'!$B$2:$B$2008,MATCH(E63,'[11]Equipment List'!$A$2:$A$2008,0)),"")</f>
        <v>Transport Loader/Unloader</v>
      </c>
      <c r="E63" s="388" t="s">
        <v>801</v>
      </c>
      <c r="F63" s="374" t="s">
        <v>211</v>
      </c>
      <c r="G63" s="375" t="s">
        <v>699</v>
      </c>
      <c r="H63" s="376">
        <v>0</v>
      </c>
      <c r="I63" s="377" t="s">
        <v>764</v>
      </c>
      <c r="J63" s="378" t="s">
        <v>701</v>
      </c>
      <c r="K63" s="379">
        <v>8190</v>
      </c>
      <c r="L63" s="387">
        <v>0.5</v>
      </c>
      <c r="M63" s="380">
        <f t="array" ref="M63">IF(L63="","",(MAX(IF(AN$15:AN$144=B63,AO$15:AO$144))/60))</f>
        <v>0</v>
      </c>
      <c r="N63" s="387">
        <v>0.5</v>
      </c>
      <c r="O63" s="387" t="s">
        <v>802</v>
      </c>
      <c r="P63" s="381">
        <f t="shared" si="0"/>
        <v>0</v>
      </c>
      <c r="Q63" s="382" t="str">
        <f t="array" ref="Q63">IFERROR(INDEX($D$13:$D$1000,MATCH(0,COUNTIF($Q$12:Q62,$D$13:$D$1000&amp;"")+IF($D$13:$D$1000="",1,0),0)),"")</f>
        <v/>
      </c>
      <c r="R63" s="356" t="str">
        <f t="shared" si="1"/>
        <v/>
      </c>
      <c r="S63" s="383" t="str">
        <f t="shared" si="3"/>
        <v/>
      </c>
      <c r="T63" s="384" t="str">
        <f t="shared" si="2"/>
        <v/>
      </c>
      <c r="U63" s="349"/>
      <c r="V63" s="385"/>
      <c r="W63" s="385"/>
      <c r="X63" s="386"/>
    </row>
    <row r="64" spans="1:24" ht="16.5" customHeight="1">
      <c r="A64" s="301"/>
      <c r="B64" s="392">
        <v>3</v>
      </c>
      <c r="C64" s="371">
        <v>52</v>
      </c>
      <c r="D64" s="372" t="str">
        <f>IFERROR(INDEX('[11]Equipment List'!$B$2:$B$2008,MATCH(E64,'[11]Equipment List'!$A$2:$A$2008,0)),"")</f>
        <v>Transport Conveyor</v>
      </c>
      <c r="E64" s="388" t="s">
        <v>803</v>
      </c>
      <c r="F64" s="374" t="s">
        <v>211</v>
      </c>
      <c r="G64" s="375" t="s">
        <v>699</v>
      </c>
      <c r="H64" s="376">
        <v>0</v>
      </c>
      <c r="I64" s="377" t="s">
        <v>700</v>
      </c>
      <c r="J64" s="378" t="s">
        <v>707</v>
      </c>
      <c r="K64" s="379">
        <v>3818</v>
      </c>
      <c r="L64" s="387">
        <v>0.5</v>
      </c>
      <c r="M64" s="380">
        <f t="array" ref="M64">IF(L64="","",(MAX(IF(AN$15:AN$144=B64,AO$15:AO$144))/60))</f>
        <v>0</v>
      </c>
      <c r="N64" s="387">
        <v>0</v>
      </c>
      <c r="O64" s="387"/>
      <c r="P64" s="381">
        <f t="shared" si="0"/>
        <v>0</v>
      </c>
      <c r="Q64" s="382" t="str">
        <f t="array" ref="Q64">IFERROR(INDEX($D$13:$D$1000,MATCH(0,COUNTIF($Q$12:Q63,$D$13:$D$1000&amp;"")+IF($D$13:$D$1000="",1,0),0)),"")</f>
        <v/>
      </c>
      <c r="R64" s="356" t="str">
        <f t="shared" si="1"/>
        <v/>
      </c>
      <c r="S64" s="383" t="str">
        <f t="shared" si="3"/>
        <v/>
      </c>
      <c r="T64" s="384" t="str">
        <f t="shared" si="2"/>
        <v/>
      </c>
      <c r="U64" s="349"/>
      <c r="V64" s="385"/>
      <c r="W64" s="385"/>
      <c r="X64" s="386"/>
    </row>
    <row r="65" spans="1:24" ht="16.5" customHeight="1">
      <c r="A65" s="301"/>
      <c r="B65" s="392">
        <v>3</v>
      </c>
      <c r="C65" s="371">
        <v>53</v>
      </c>
      <c r="D65" s="372" t="str">
        <f>IFERROR(INDEX('[11]Equipment List'!$B$2:$B$2008,MATCH(E65,'[11]Equipment List'!$A$2:$A$2008,0)),"")</f>
        <v>Automatic X-ray Inspection</v>
      </c>
      <c r="E65" s="388" t="s">
        <v>804</v>
      </c>
      <c r="F65" s="374" t="s">
        <v>211</v>
      </c>
      <c r="G65" s="375" t="s">
        <v>699</v>
      </c>
      <c r="H65" s="376">
        <v>0</v>
      </c>
      <c r="I65" s="377" t="s">
        <v>805</v>
      </c>
      <c r="J65" s="378" t="s">
        <v>806</v>
      </c>
      <c r="K65" s="379">
        <v>460787</v>
      </c>
      <c r="L65" s="387">
        <v>10</v>
      </c>
      <c r="M65" s="380">
        <f t="array" ref="M65">IF(L65="","",(MAX(IF(AN$15:AN$144=B65,AO$15:AO$144))/60))</f>
        <v>0</v>
      </c>
      <c r="N65" s="387">
        <v>0</v>
      </c>
      <c r="O65" s="387" t="s">
        <v>807</v>
      </c>
      <c r="P65" s="381">
        <f t="shared" si="0"/>
        <v>0</v>
      </c>
      <c r="Q65" s="382" t="str">
        <f t="array" ref="Q65">IFERROR(INDEX($D$13:$D$1000,MATCH(0,COUNTIF($Q$12:Q64,$D$13:$D$1000&amp;"")+IF($D$13:$D$1000="",1,0),0)),"")</f>
        <v/>
      </c>
      <c r="R65" s="356" t="str">
        <f t="shared" si="1"/>
        <v/>
      </c>
      <c r="S65" s="383" t="str">
        <f t="shared" si="3"/>
        <v/>
      </c>
      <c r="T65" s="384" t="str">
        <f t="shared" si="2"/>
        <v/>
      </c>
      <c r="U65" s="349"/>
      <c r="V65" s="385"/>
      <c r="W65" s="385"/>
      <c r="X65" s="386"/>
    </row>
    <row r="66" spans="1:24" ht="16.5" customHeight="1">
      <c r="A66" s="301"/>
      <c r="B66" s="392">
        <v>3</v>
      </c>
      <c r="C66" s="371">
        <v>54</v>
      </c>
      <c r="D66" s="372" t="str">
        <f>IFERROR(INDEX('[11]Equipment List'!$B$2:$B$2008,MATCH(E66,'[11]Equipment List'!$A$2:$A$2008,0)),"")</f>
        <v>Transport reject</v>
      </c>
      <c r="E66" s="388" t="s">
        <v>808</v>
      </c>
      <c r="F66" s="374" t="s">
        <v>211</v>
      </c>
      <c r="G66" s="375" t="s">
        <v>699</v>
      </c>
      <c r="H66" s="376">
        <v>0</v>
      </c>
      <c r="I66" s="377" t="s">
        <v>764</v>
      </c>
      <c r="J66" s="378" t="s">
        <v>809</v>
      </c>
      <c r="K66" s="379">
        <v>7716</v>
      </c>
      <c r="L66" s="387">
        <v>0.4</v>
      </c>
      <c r="M66" s="380">
        <f t="array" ref="M66">IF(L66="","",(MAX(IF(AN$15:AN$144=B66,AO$15:AO$144))/60))</f>
        <v>0</v>
      </c>
      <c r="N66" s="387">
        <v>0</v>
      </c>
      <c r="O66" s="387"/>
      <c r="P66" s="381">
        <f t="shared" si="0"/>
        <v>0</v>
      </c>
      <c r="Q66" s="382" t="str">
        <f t="array" ref="Q66">IFERROR(INDEX($D$13:$D$1000,MATCH(0,COUNTIF($Q$12:Q65,$D$13:$D$1000&amp;"")+IF($D$13:$D$1000="",1,0),0)),"")</f>
        <v/>
      </c>
      <c r="R66" s="356" t="str">
        <f t="shared" si="1"/>
        <v/>
      </c>
      <c r="S66" s="383" t="str">
        <f t="shared" si="3"/>
        <v/>
      </c>
      <c r="T66" s="384" t="str">
        <f t="shared" si="2"/>
        <v/>
      </c>
      <c r="U66" s="349"/>
      <c r="V66" s="385"/>
      <c r="W66" s="385"/>
      <c r="X66" s="386"/>
    </row>
    <row r="67" spans="1:24" ht="16.5" customHeight="1">
      <c r="A67" s="301"/>
      <c r="B67" s="392">
        <v>3</v>
      </c>
      <c r="C67" s="371">
        <v>55</v>
      </c>
      <c r="D67" s="372" t="str">
        <f>IFERROR(INDEX('[11]Equipment List'!$B$2:$B$2008,MATCH(E67,'[11]Equipment List'!$A$2:$A$2008,0)),"")</f>
        <v>Transport Flipper</v>
      </c>
      <c r="E67" s="388" t="s">
        <v>810</v>
      </c>
      <c r="F67" s="374" t="s">
        <v>211</v>
      </c>
      <c r="G67" s="375" t="s">
        <v>699</v>
      </c>
      <c r="H67" s="376">
        <v>0</v>
      </c>
      <c r="I67" s="377" t="s">
        <v>764</v>
      </c>
      <c r="J67" s="378" t="s">
        <v>765</v>
      </c>
      <c r="K67" s="379">
        <v>6695</v>
      </c>
      <c r="L67" s="387">
        <v>0.4</v>
      </c>
      <c r="M67" s="380">
        <f t="array" ref="M67">IF(L67="","",(MAX(IF(AN$15:AN$144=B67,AO$15:AO$144))/60))</f>
        <v>0</v>
      </c>
      <c r="N67" s="387">
        <v>0</v>
      </c>
      <c r="O67" s="387" t="s">
        <v>766</v>
      </c>
      <c r="P67" s="381">
        <f t="shared" si="0"/>
        <v>0</v>
      </c>
      <c r="Q67" s="382" t="str">
        <f t="array" ref="Q67">IFERROR(INDEX($D$13:$D$1000,MATCH(0,COUNTIF($Q$12:Q66,$D$13:$D$1000&amp;"")+IF($D$13:$D$1000="",1,0),0)),"")</f>
        <v/>
      </c>
      <c r="R67" s="356" t="str">
        <f t="shared" si="1"/>
        <v/>
      </c>
      <c r="S67" s="383" t="str">
        <f t="shared" si="3"/>
        <v/>
      </c>
      <c r="T67" s="384" t="str">
        <f t="shared" si="2"/>
        <v/>
      </c>
      <c r="U67" s="349"/>
      <c r="V67" s="385"/>
      <c r="W67" s="385"/>
      <c r="X67" s="386"/>
    </row>
    <row r="68" spans="1:24" ht="16.5" customHeight="1">
      <c r="A68" s="301"/>
      <c r="B68" s="395">
        <v>3</v>
      </c>
      <c r="C68" s="371">
        <v>56</v>
      </c>
      <c r="D68" s="372" t="str">
        <f>IFERROR(INDEX('[11]Equipment List'!$B$2:$B$2008,MATCH(E68,'[11]Equipment List'!$A$2:$A$2008,0)),"")</f>
        <v>Transport Loader/Unloader</v>
      </c>
      <c r="E68" s="388" t="s">
        <v>811</v>
      </c>
      <c r="F68" s="374" t="s">
        <v>211</v>
      </c>
      <c r="G68" s="375" t="s">
        <v>699</v>
      </c>
      <c r="H68" s="376">
        <v>0</v>
      </c>
      <c r="I68" s="377" t="s">
        <v>764</v>
      </c>
      <c r="J68" s="378" t="s">
        <v>701</v>
      </c>
      <c r="K68" s="379">
        <v>8190</v>
      </c>
      <c r="L68" s="387">
        <v>0.4</v>
      </c>
      <c r="M68" s="380">
        <f t="array" ref="M68">IF(L68="","",(MAX(IF(AN$15:AN$144=B68,AO$15:AO$144))/60))</f>
        <v>0</v>
      </c>
      <c r="N68" s="387">
        <v>0.5</v>
      </c>
      <c r="O68" s="387" t="s">
        <v>800</v>
      </c>
      <c r="P68" s="381">
        <f t="shared" si="0"/>
        <v>0</v>
      </c>
      <c r="Q68" s="382" t="str">
        <f t="array" ref="Q68">IFERROR(INDEX($D$13:$D$1000,MATCH(0,COUNTIF($Q$12:Q67,$D$13:$D$1000&amp;"")+IF($D$13:$D$1000="",1,0),0)),"")</f>
        <v/>
      </c>
      <c r="R68" s="356" t="str">
        <f t="shared" si="1"/>
        <v/>
      </c>
      <c r="S68" s="383" t="str">
        <f t="shared" si="3"/>
        <v/>
      </c>
      <c r="T68" s="384" t="str">
        <f t="shared" si="2"/>
        <v/>
      </c>
      <c r="U68" s="349"/>
      <c r="V68" s="385"/>
      <c r="W68" s="385"/>
      <c r="X68" s="386"/>
    </row>
    <row r="69" spans="1:24" ht="16.5" customHeight="1">
      <c r="A69" s="301"/>
      <c r="B69" s="395">
        <v>4</v>
      </c>
      <c r="C69" s="371">
        <v>57</v>
      </c>
      <c r="D69" s="372" t="str">
        <f>IFERROR(INDEX('[11]Equipment List'!$B$2:$B$2008,MATCH(E69,'[11]Equipment List'!$A$2:$A$2008,0)),"")</f>
        <v>ICT off-line</v>
      </c>
      <c r="E69" s="388" t="s">
        <v>812</v>
      </c>
      <c r="F69" s="374" t="s">
        <v>762</v>
      </c>
      <c r="G69" s="375" t="s">
        <v>813</v>
      </c>
      <c r="H69" s="376">
        <v>24</v>
      </c>
      <c r="I69" s="377" t="s">
        <v>814</v>
      </c>
      <c r="J69" s="378" t="s">
        <v>815</v>
      </c>
      <c r="K69" s="379">
        <v>584787</v>
      </c>
      <c r="L69" s="387">
        <v>25</v>
      </c>
      <c r="M69" s="380">
        <f t="array" ref="M69">IF(L69="","",(MAX(IF(AN$15:AN$144=B69,AO$15:AO$144))/60))</f>
        <v>0</v>
      </c>
      <c r="N69" s="387">
        <v>0.5</v>
      </c>
      <c r="O69" s="387" t="s">
        <v>816</v>
      </c>
      <c r="P69" s="381">
        <f t="shared" si="0"/>
        <v>0</v>
      </c>
      <c r="Q69" s="382" t="str">
        <f t="array" ref="Q69">IFERROR(INDEX($D$13:$D$1000,MATCH(0,COUNTIF($Q$12:Q68,$D$13:$D$1000&amp;"")+IF($D$13:$D$1000="",1,0),0)),"")</f>
        <v/>
      </c>
      <c r="R69" s="356" t="str">
        <f t="shared" si="1"/>
        <v/>
      </c>
      <c r="S69" s="383" t="str">
        <f t="shared" si="3"/>
        <v/>
      </c>
      <c r="T69" s="384" t="str">
        <f t="shared" si="2"/>
        <v/>
      </c>
      <c r="U69" s="349"/>
      <c r="V69" s="385"/>
      <c r="W69" s="385"/>
      <c r="X69" s="386"/>
    </row>
    <row r="70" spans="1:24" ht="16.5" customHeight="1">
      <c r="A70" s="301"/>
      <c r="B70" s="395">
        <v>5</v>
      </c>
      <c r="C70" s="371">
        <v>58</v>
      </c>
      <c r="D70" s="372" t="str">
        <f>IFERROR(INDEX('[11]Equipment List'!$B$2:$B$2008,MATCH(E70,'[11]Equipment List'!$A$2:$A$2008,0)),"")</f>
        <v>Transport Loader/Unloader</v>
      </c>
      <c r="E70" s="388" t="s">
        <v>817</v>
      </c>
      <c r="F70" s="374" t="s">
        <v>712</v>
      </c>
      <c r="G70" s="375" t="s">
        <v>699</v>
      </c>
      <c r="H70" s="376">
        <v>0</v>
      </c>
      <c r="I70" s="377" t="s">
        <v>764</v>
      </c>
      <c r="J70" s="378" t="s">
        <v>701</v>
      </c>
      <c r="K70" s="379">
        <v>8190</v>
      </c>
      <c r="L70" s="387">
        <v>0.8</v>
      </c>
      <c r="M70" s="380">
        <f t="array" ref="M70">IF(L70="","",(MAX(IF(AN$15:AN$144=B70,AO$15:AO$144))/60))</f>
        <v>0</v>
      </c>
      <c r="N70" s="387">
        <v>1</v>
      </c>
      <c r="O70" s="387" t="s">
        <v>818</v>
      </c>
      <c r="P70" s="381">
        <f t="shared" si="0"/>
        <v>0</v>
      </c>
      <c r="Q70" s="382" t="str">
        <f t="array" ref="Q70">IFERROR(INDEX($D$13:$D$1000,MATCH(0,COUNTIF($Q$12:Q69,$D$13:$D$1000&amp;"")+IF($D$13:$D$1000="",1,0),0)),"")</f>
        <v/>
      </c>
      <c r="R70" s="356" t="str">
        <f t="shared" si="1"/>
        <v/>
      </c>
      <c r="S70" s="383" t="str">
        <f t="shared" si="3"/>
        <v/>
      </c>
      <c r="T70" s="384" t="str">
        <f t="shared" si="2"/>
        <v/>
      </c>
      <c r="U70" s="349"/>
      <c r="V70" s="385"/>
      <c r="W70" s="385"/>
      <c r="X70" s="386"/>
    </row>
    <row r="71" spans="1:24" ht="16.5" customHeight="1">
      <c r="A71" s="301"/>
      <c r="B71" s="395">
        <v>5</v>
      </c>
      <c r="C71" s="371">
        <v>59</v>
      </c>
      <c r="D71" s="372" t="str">
        <f>IFERROR(INDEX('[11]Equipment List'!$B$2:$B$2008,MATCH(E71,'[11]Equipment List'!$A$2:$A$2008,0)),"")</f>
        <v>Transport Conveyor</v>
      </c>
      <c r="E71" s="388" t="s">
        <v>819</v>
      </c>
      <c r="F71" s="374" t="s">
        <v>712</v>
      </c>
      <c r="G71" s="375" t="s">
        <v>699</v>
      </c>
      <c r="H71" s="376">
        <v>0</v>
      </c>
      <c r="I71" s="377" t="s">
        <v>700</v>
      </c>
      <c r="J71" s="378" t="s">
        <v>707</v>
      </c>
      <c r="K71" s="379">
        <v>3818</v>
      </c>
      <c r="L71" s="387">
        <v>0.8</v>
      </c>
      <c r="M71" s="380">
        <f t="array" ref="M71">IF(L71="","",(MAX(IF(AN$15:AN$144=B71,AO$15:AO$144))/60))</f>
        <v>0</v>
      </c>
      <c r="N71" s="387">
        <v>0</v>
      </c>
      <c r="O71" s="387"/>
      <c r="P71" s="381">
        <f t="shared" si="0"/>
        <v>0</v>
      </c>
      <c r="Q71" s="382" t="str">
        <f t="array" ref="Q71">IFERROR(INDEX($D$13:$D$1000,MATCH(0,COUNTIF($Q$12:Q70,$D$13:$D$1000&amp;"")+IF($D$13:$D$1000="",1,0),0)),"")</f>
        <v/>
      </c>
      <c r="R71" s="356" t="str">
        <f t="shared" si="1"/>
        <v/>
      </c>
      <c r="S71" s="383" t="str">
        <f t="shared" si="3"/>
        <v/>
      </c>
      <c r="T71" s="384" t="str">
        <f t="shared" si="2"/>
        <v/>
      </c>
      <c r="U71" s="349"/>
      <c r="V71" s="385"/>
      <c r="W71" s="385"/>
      <c r="X71" s="386"/>
    </row>
    <row r="72" spans="1:24" ht="16.5" customHeight="1">
      <c r="A72" s="301"/>
      <c r="B72" s="395">
        <v>5</v>
      </c>
      <c r="C72" s="371">
        <v>60</v>
      </c>
      <c r="D72" s="372" t="str">
        <f>IFERROR(INDEX('[11]Equipment List'!$B$2:$B$2008,MATCH(E72,'[11]Equipment List'!$A$2:$A$2008,0)),"")</f>
        <v>Depaneling</v>
      </c>
      <c r="E72" s="388" t="s">
        <v>820</v>
      </c>
      <c r="F72" s="374" t="s">
        <v>712</v>
      </c>
      <c r="G72" s="375" t="s">
        <v>699</v>
      </c>
      <c r="H72" s="376">
        <v>0</v>
      </c>
      <c r="I72" s="377" t="s">
        <v>821</v>
      </c>
      <c r="J72" s="378" t="s">
        <v>822</v>
      </c>
      <c r="K72" s="379">
        <v>138582</v>
      </c>
      <c r="L72" s="387">
        <v>25</v>
      </c>
      <c r="M72" s="380">
        <f t="array" ref="M72">IF(L72="","",(MAX(IF(AN$15:AN$144=B72,AO$15:AO$144))/60))</f>
        <v>0</v>
      </c>
      <c r="N72" s="387">
        <v>0.5</v>
      </c>
      <c r="O72" s="387" t="s">
        <v>823</v>
      </c>
      <c r="P72" s="381">
        <f t="shared" si="0"/>
        <v>0</v>
      </c>
      <c r="Q72" s="382" t="str">
        <f t="array" ref="Q72">IFERROR(INDEX($D$13:$D$1000,MATCH(0,COUNTIF($Q$12:Q71,$D$13:$D$1000&amp;"")+IF($D$13:$D$1000="",1,0),0)),"")</f>
        <v/>
      </c>
      <c r="R72" s="356" t="str">
        <f t="shared" si="1"/>
        <v/>
      </c>
      <c r="S72" s="383" t="str">
        <f t="shared" si="3"/>
        <v/>
      </c>
      <c r="T72" s="384" t="str">
        <f t="shared" si="2"/>
        <v/>
      </c>
      <c r="U72" s="349"/>
      <c r="V72" s="385"/>
      <c r="W72" s="385"/>
      <c r="X72" s="386"/>
    </row>
    <row r="73" spans="1:24" ht="16.5" customHeight="1">
      <c r="A73" s="301"/>
      <c r="B73" s="395">
        <v>6</v>
      </c>
      <c r="C73" s="371">
        <v>61</v>
      </c>
      <c r="D73" s="372" t="str">
        <f>IFERROR(INDEX('[11]Equipment List'!$B$2:$B$2008,MATCH(E73,'[11]Equipment List'!$A$2:$A$2008,0)),"")</f>
        <v>FVT off-line</v>
      </c>
      <c r="E73" s="388" t="s">
        <v>824</v>
      </c>
      <c r="F73" s="374" t="s">
        <v>770</v>
      </c>
      <c r="G73" s="375" t="s">
        <v>813</v>
      </c>
      <c r="H73" s="376">
        <v>24</v>
      </c>
      <c r="I73" s="377" t="s">
        <v>825</v>
      </c>
      <c r="J73" s="378" t="s">
        <v>825</v>
      </c>
      <c r="K73" s="379">
        <v>3150</v>
      </c>
      <c r="L73" s="387">
        <v>75</v>
      </c>
      <c r="M73" s="380">
        <f t="array" ref="M73">IF(L73="","",(MAX(IF(AN$15:AN$144=B73,AO$15:AO$144))/60))</f>
        <v>0</v>
      </c>
      <c r="N73" s="387">
        <v>1</v>
      </c>
      <c r="O73" s="387" t="s">
        <v>826</v>
      </c>
      <c r="P73" s="381">
        <f t="shared" si="0"/>
        <v>0</v>
      </c>
      <c r="Q73" s="382" t="str">
        <f t="array" ref="Q73">IFERROR(INDEX($D$13:$D$1000,MATCH(0,COUNTIF($Q$12:Q72,$D$13:$D$1000&amp;"")+IF($D$13:$D$1000="",1,0),0)),"")</f>
        <v/>
      </c>
      <c r="R73" s="356" t="str">
        <f t="shared" si="1"/>
        <v/>
      </c>
      <c r="S73" s="383" t="str">
        <f t="shared" si="3"/>
        <v/>
      </c>
      <c r="T73" s="384" t="str">
        <f t="shared" si="2"/>
        <v/>
      </c>
      <c r="U73" s="349"/>
      <c r="V73" s="385"/>
      <c r="W73" s="385"/>
      <c r="X73" s="386"/>
    </row>
    <row r="74" spans="1:24" ht="16.5" customHeight="1">
      <c r="A74" s="301"/>
      <c r="B74" s="395"/>
      <c r="C74" s="371"/>
      <c r="D74" s="372" t="str">
        <f>IFERROR(INDEX('[11]Equipment List'!$B$2:$B$2008,MATCH(E74,'[11]Equipment List'!$A$2:$A$2008,0)),"")</f>
        <v/>
      </c>
      <c r="E74" s="388"/>
      <c r="F74" s="374"/>
      <c r="G74" s="375"/>
      <c r="H74" s="376"/>
      <c r="I74" s="377"/>
      <c r="J74" s="378"/>
      <c r="K74" s="379"/>
      <c r="L74" s="387"/>
      <c r="M74" s="380"/>
      <c r="N74" s="387"/>
      <c r="O74" s="387"/>
      <c r="P74" s="381"/>
      <c r="Q74" s="382" t="str">
        <f t="array" ref="Q74">IFERROR(INDEX($D$13:$D$1000,MATCH(0,COUNTIF($Q$12:Q73,$D$13:$D$1000&amp;"")+IF($D$13:$D$1000="",1,0),0)),"")</f>
        <v/>
      </c>
      <c r="R74" s="356" t="str">
        <f t="shared" si="1"/>
        <v/>
      </c>
      <c r="S74" s="383" t="str">
        <f t="shared" si="3"/>
        <v/>
      </c>
      <c r="T74" s="384" t="str">
        <f t="shared" si="2"/>
        <v/>
      </c>
      <c r="U74" s="349"/>
      <c r="V74" s="385"/>
      <c r="W74" s="385"/>
      <c r="X74" s="386"/>
    </row>
    <row r="75" spans="1:24" ht="16.5" customHeight="1">
      <c r="A75" s="301"/>
      <c r="B75" s="387"/>
      <c r="C75" s="371"/>
      <c r="D75" s="372" t="str">
        <f>IFERROR(INDEX('[11]Equipment List'!$B$2:$B$2008,MATCH(E75,'[11]Equipment List'!$A$2:$A$2008,0)),"")</f>
        <v/>
      </c>
      <c r="E75" s="388"/>
      <c r="F75" s="374"/>
      <c r="G75" s="375"/>
      <c r="H75" s="396"/>
      <c r="I75" s="377"/>
      <c r="J75" s="378"/>
      <c r="K75" s="379"/>
      <c r="L75" s="387"/>
      <c r="M75" s="380"/>
      <c r="N75" s="387"/>
      <c r="O75" s="387"/>
      <c r="P75" s="381"/>
      <c r="Q75" s="382" t="str">
        <f t="array" ref="Q75">IFERROR(INDEX($D$13:$D$1000,MATCH(0,COUNTIF($Q$12:Q74,$D$13:$D$1000&amp;"")+IF($D$13:$D$1000="",1,0),0)),"")</f>
        <v/>
      </c>
      <c r="R75" s="356" t="str">
        <f t="shared" si="1"/>
        <v/>
      </c>
      <c r="S75" s="383" t="str">
        <f t="shared" si="3"/>
        <v/>
      </c>
      <c r="T75" s="384" t="str">
        <f t="shared" si="2"/>
        <v/>
      </c>
      <c r="U75" s="349"/>
      <c r="V75" s="385"/>
      <c r="W75" s="385"/>
      <c r="X75" s="386"/>
    </row>
    <row r="76" spans="1:24" ht="16.5" customHeight="1">
      <c r="A76" s="301"/>
      <c r="B76" s="395"/>
      <c r="C76" s="371"/>
      <c r="D76" s="372" t="str">
        <f>IFERROR(INDEX('[11]Equipment List'!$B$2:$B$2008,MATCH(E76,'[11]Equipment List'!$A$2:$A$2008,0)),"")</f>
        <v/>
      </c>
      <c r="E76" s="388"/>
      <c r="F76" s="374"/>
      <c r="G76" s="375"/>
      <c r="H76" s="396"/>
      <c r="I76" s="377"/>
      <c r="J76" s="378"/>
      <c r="K76" s="379"/>
      <c r="L76" s="387"/>
      <c r="M76" s="380" t="str">
        <f t="array" ref="M76">IF(L76="","",(MAX(IF(AN$15:AN$144=B76,AO$15:AO$144))/60))</f>
        <v/>
      </c>
      <c r="N76" s="387"/>
      <c r="O76" s="387"/>
      <c r="P76" s="381" t="str">
        <f t="shared" ref="P76:P139" si="4">IFERROR((((K76/5/250/$F$8)+(N76*$F$9))/$S$4)*(M76/60),"")</f>
        <v/>
      </c>
      <c r="Q76" s="382" t="str">
        <f t="array" ref="Q76">IFERROR(INDEX($D$13:$D$1000,MATCH(0,COUNTIF($Q$12:Q75,$D$13:$D$1000&amp;"")+IF($D$13:$D$1000="",1,0),0)),"")</f>
        <v/>
      </c>
      <c r="R76" s="356" t="str">
        <f t="shared" si="1"/>
        <v/>
      </c>
      <c r="S76" s="383" t="str">
        <f t="shared" si="3"/>
        <v/>
      </c>
      <c r="T76" s="384" t="str">
        <f t="shared" si="2"/>
        <v/>
      </c>
      <c r="U76" s="349"/>
      <c r="V76" s="385"/>
      <c r="W76" s="385"/>
      <c r="X76" s="386"/>
    </row>
    <row r="77" spans="1:24" ht="16.5" customHeight="1">
      <c r="A77" s="301"/>
      <c r="B77" s="387"/>
      <c r="C77" s="371"/>
      <c r="D77" s="372" t="str">
        <f>IFERROR(INDEX('[11]Equipment List'!$B$2:$B$2008,MATCH(E77,'[11]Equipment List'!$A$2:$A$2008,0)),"")</f>
        <v/>
      </c>
      <c r="E77" s="388"/>
      <c r="F77" s="374"/>
      <c r="G77" s="375"/>
      <c r="H77" s="397"/>
      <c r="I77" s="377"/>
      <c r="J77" s="378"/>
      <c r="K77" s="379"/>
      <c r="L77" s="387"/>
      <c r="M77" s="380" t="str">
        <f t="array" ref="M77">IF(L77="","",(MAX(IF(AN$15:AN$144=B77,AO$15:AO$144))/60))</f>
        <v/>
      </c>
      <c r="N77" s="387"/>
      <c r="O77" s="387"/>
      <c r="P77" s="381" t="str">
        <f t="shared" si="4"/>
        <v/>
      </c>
      <c r="Q77" s="382" t="str">
        <f t="array" ref="Q77">IFERROR(INDEX($D$13:$D$1000,MATCH(0,COUNTIF($Q$12:Q76,$D$13:$D$1000&amp;"")+IF($D$13:$D$1000="",1,0),0)),"")</f>
        <v/>
      </c>
      <c r="R77" s="356" t="str">
        <f t="shared" ref="R77:R140" si="5">IF(Q77="","",COUNTIF($D$13:$D$1000,$Q77))</f>
        <v/>
      </c>
      <c r="S77" s="383" t="str">
        <f t="shared" si="3"/>
        <v/>
      </c>
      <c r="T77" s="384" t="str">
        <f t="shared" ref="T77:T140" si="6">IF($Q77="","",SUMIF($D$13:$D$1000,$Q77,N$13:N$1000))</f>
        <v/>
      </c>
      <c r="U77" s="349"/>
      <c r="V77" s="385"/>
      <c r="W77" s="385"/>
      <c r="X77" s="386"/>
    </row>
    <row r="78" spans="1:24" ht="16.5" customHeight="1">
      <c r="A78" s="301"/>
      <c r="B78" s="395"/>
      <c r="C78" s="371"/>
      <c r="D78" s="372" t="str">
        <f>IFERROR(INDEX('[11]Equipment List'!$B$2:$B$2008,MATCH(E78,'[11]Equipment List'!$A$2:$A$2008,0)),"")</f>
        <v/>
      </c>
      <c r="E78" s="388"/>
      <c r="F78" s="374"/>
      <c r="G78" s="375"/>
      <c r="H78" s="397"/>
      <c r="I78" s="377"/>
      <c r="J78" s="378"/>
      <c r="K78" s="379"/>
      <c r="L78" s="387"/>
      <c r="M78" s="380" t="str">
        <f t="array" ref="M78">IF(L78="","",(MAX(IF(AN$15:AN$144=B78,AO$15:AO$144))/60))</f>
        <v/>
      </c>
      <c r="N78" s="387"/>
      <c r="O78" s="387"/>
      <c r="P78" s="381" t="str">
        <f t="shared" si="4"/>
        <v/>
      </c>
      <c r="Q78" s="382" t="str">
        <f t="array" ref="Q78">IFERROR(INDEX($D$13:$D$1000,MATCH(0,COUNTIF($Q$12:Q77,$D$13:$D$1000&amp;"")+IF($D$13:$D$1000="",1,0),0)),"")</f>
        <v/>
      </c>
      <c r="R78" s="356" t="str">
        <f t="shared" si="5"/>
        <v/>
      </c>
      <c r="S78" s="383" t="str">
        <f t="shared" ref="S78:S141" si="7">IF($Q78="","",SUMIF($D$13:$D$1000,$Q78,K$13:K$1000))</f>
        <v/>
      </c>
      <c r="T78" s="384" t="str">
        <f t="shared" si="6"/>
        <v/>
      </c>
      <c r="U78" s="349"/>
      <c r="V78" s="385"/>
      <c r="W78" s="385"/>
      <c r="X78" s="386"/>
    </row>
    <row r="79" spans="1:24" ht="16.5" customHeight="1">
      <c r="A79" s="301"/>
      <c r="B79" s="387"/>
      <c r="C79" s="371"/>
      <c r="D79" s="372" t="str">
        <f>IFERROR(INDEX('[11]Equipment List'!$B$2:$B$2008,MATCH(E79,'[11]Equipment List'!$A$2:$A$2008,0)),"")</f>
        <v/>
      </c>
      <c r="E79" s="388"/>
      <c r="F79" s="374"/>
      <c r="G79" s="375"/>
      <c r="H79" s="397"/>
      <c r="I79" s="377"/>
      <c r="J79" s="378"/>
      <c r="K79" s="379"/>
      <c r="L79" s="387"/>
      <c r="M79" s="380" t="str">
        <f t="array" ref="M79">IF(L79="","",(MAX(IF(AN$15:AN$144=B79,AO$15:AO$144))/60))</f>
        <v/>
      </c>
      <c r="N79" s="387"/>
      <c r="O79" s="387"/>
      <c r="P79" s="381" t="str">
        <f t="shared" si="4"/>
        <v/>
      </c>
      <c r="Q79" s="382" t="str">
        <f t="array" ref="Q79">IFERROR(INDEX($D$13:$D$1000,MATCH(0,COUNTIF($Q$12:Q78,$D$13:$D$1000&amp;"")+IF($D$13:$D$1000="",1,0),0)),"")</f>
        <v/>
      </c>
      <c r="R79" s="356" t="str">
        <f t="shared" si="5"/>
        <v/>
      </c>
      <c r="S79" s="383" t="str">
        <f t="shared" si="7"/>
        <v/>
      </c>
      <c r="T79" s="384" t="str">
        <f t="shared" si="6"/>
        <v/>
      </c>
      <c r="U79" s="349"/>
      <c r="V79" s="385"/>
      <c r="W79" s="385"/>
      <c r="X79" s="386"/>
    </row>
    <row r="80" spans="1:24" ht="16.5" customHeight="1">
      <c r="A80" s="301"/>
      <c r="B80" s="395"/>
      <c r="C80" s="371"/>
      <c r="D80" s="372" t="str">
        <f>IFERROR(INDEX('[11]Equipment List'!$B$2:$B$2008,MATCH(E80,'[11]Equipment List'!$A$2:$A$2008,0)),"")</f>
        <v/>
      </c>
      <c r="E80" s="388"/>
      <c r="F80" s="374"/>
      <c r="G80" s="375"/>
      <c r="H80" s="397"/>
      <c r="I80" s="377"/>
      <c r="J80" s="378"/>
      <c r="K80" s="379"/>
      <c r="L80" s="387"/>
      <c r="M80" s="380" t="str">
        <f t="array" ref="M80">IF(L80="","",(MAX(IF(AN$15:AN$144=B80,AO$15:AO$144))/60))</f>
        <v/>
      </c>
      <c r="N80" s="387"/>
      <c r="O80" s="387"/>
      <c r="P80" s="381" t="str">
        <f t="shared" si="4"/>
        <v/>
      </c>
      <c r="Q80" s="382" t="str">
        <f t="array" ref="Q80">IFERROR(INDEX($D$13:$D$1000,MATCH(0,COUNTIF($Q$12:Q79,$D$13:$D$1000&amp;"")+IF($D$13:$D$1000="",1,0),0)),"")</f>
        <v/>
      </c>
      <c r="R80" s="356" t="str">
        <f t="shared" si="5"/>
        <v/>
      </c>
      <c r="S80" s="383" t="str">
        <f t="shared" si="7"/>
        <v/>
      </c>
      <c r="T80" s="384" t="str">
        <f t="shared" si="6"/>
        <v/>
      </c>
      <c r="U80" s="349"/>
      <c r="V80" s="385"/>
      <c r="W80" s="385"/>
      <c r="X80" s="386"/>
    </row>
    <row r="81" spans="1:24" ht="16.5" customHeight="1">
      <c r="A81" s="301"/>
      <c r="B81" s="387"/>
      <c r="C81" s="371"/>
      <c r="D81" s="372" t="str">
        <f>IFERROR(INDEX('[11]Equipment List'!$B$2:$B$2008,MATCH(E81,'[11]Equipment List'!$A$2:$A$2008,0)),"")</f>
        <v/>
      </c>
      <c r="E81" s="388"/>
      <c r="F81" s="374"/>
      <c r="G81" s="375"/>
      <c r="H81" s="397"/>
      <c r="I81" s="377"/>
      <c r="J81" s="378"/>
      <c r="K81" s="379"/>
      <c r="L81" s="387"/>
      <c r="M81" s="380" t="str">
        <f t="array" ref="M81">IF(L81="","",(MAX(IF(AN$15:AN$144=B81,AO$15:AO$144))/60))</f>
        <v/>
      </c>
      <c r="N81" s="387"/>
      <c r="O81" s="387"/>
      <c r="P81" s="381" t="str">
        <f t="shared" si="4"/>
        <v/>
      </c>
      <c r="Q81" s="382" t="str">
        <f t="array" ref="Q81">IFERROR(INDEX($D$13:$D$1000,MATCH(0,COUNTIF($Q$12:Q80,$D$13:$D$1000&amp;"")+IF($D$13:$D$1000="",1,0),0)),"")</f>
        <v/>
      </c>
      <c r="R81" s="356" t="str">
        <f t="shared" si="5"/>
        <v/>
      </c>
      <c r="S81" s="383" t="str">
        <f t="shared" si="7"/>
        <v/>
      </c>
      <c r="T81" s="384" t="str">
        <f t="shared" si="6"/>
        <v/>
      </c>
      <c r="U81" s="349"/>
      <c r="V81" s="385"/>
      <c r="W81" s="385"/>
      <c r="X81" s="386"/>
    </row>
    <row r="82" spans="1:24" ht="16.5" customHeight="1">
      <c r="A82" s="301"/>
      <c r="B82" s="395"/>
      <c r="C82" s="371"/>
      <c r="D82" s="372" t="str">
        <f>IFERROR(INDEX('[11]Equipment List'!$B$2:$B$2008,MATCH(E82,'[11]Equipment List'!$A$2:$A$2008,0)),"")</f>
        <v/>
      </c>
      <c r="E82" s="388"/>
      <c r="F82" s="374"/>
      <c r="G82" s="375"/>
      <c r="H82" s="397"/>
      <c r="I82" s="377"/>
      <c r="J82" s="378"/>
      <c r="K82" s="379"/>
      <c r="L82" s="387"/>
      <c r="M82" s="380" t="str">
        <f t="array" ref="M82">IF(L82="","",(MAX(IF(AN$15:AN$144=B82,AO$15:AO$144))/60))</f>
        <v/>
      </c>
      <c r="N82" s="387"/>
      <c r="O82" s="387"/>
      <c r="P82" s="381" t="str">
        <f t="shared" si="4"/>
        <v/>
      </c>
      <c r="Q82" s="382" t="str">
        <f t="array" ref="Q82">IFERROR(INDEX($D$13:$D$1000,MATCH(0,COUNTIF($Q$12:Q81,$D$13:$D$1000&amp;"")+IF($D$13:$D$1000="",1,0),0)),"")</f>
        <v/>
      </c>
      <c r="R82" s="356" t="str">
        <f t="shared" si="5"/>
        <v/>
      </c>
      <c r="S82" s="383" t="str">
        <f t="shared" si="7"/>
        <v/>
      </c>
      <c r="T82" s="384" t="str">
        <f t="shared" si="6"/>
        <v/>
      </c>
      <c r="U82" s="349"/>
      <c r="V82" s="385"/>
      <c r="W82" s="385"/>
      <c r="X82" s="386"/>
    </row>
    <row r="83" spans="1:24" ht="16.5" customHeight="1">
      <c r="A83" s="301"/>
      <c r="B83" s="387"/>
      <c r="C83" s="371"/>
      <c r="D83" s="372" t="str">
        <f>IFERROR(INDEX('[11]Equipment List'!$B$2:$B$2008,MATCH(E83,'[11]Equipment List'!$A$2:$A$2008,0)),"")</f>
        <v/>
      </c>
      <c r="E83" s="388"/>
      <c r="F83" s="374"/>
      <c r="G83" s="375"/>
      <c r="H83" s="397"/>
      <c r="I83" s="377"/>
      <c r="J83" s="378"/>
      <c r="K83" s="379"/>
      <c r="L83" s="387"/>
      <c r="M83" s="380" t="str">
        <f t="array" ref="M83">IF(L83="","",(MAX(IF(AN$15:AN$144=B83,AO$15:AO$144))/60))</f>
        <v/>
      </c>
      <c r="N83" s="387"/>
      <c r="O83" s="387"/>
      <c r="P83" s="381" t="str">
        <f t="shared" si="4"/>
        <v/>
      </c>
      <c r="Q83" s="382" t="str">
        <f t="array" ref="Q83">IFERROR(INDEX($D$13:$D$1000,MATCH(0,COUNTIF($Q$12:Q82,$D$13:$D$1000&amp;"")+IF($D$13:$D$1000="",1,0),0)),"")</f>
        <v/>
      </c>
      <c r="R83" s="356" t="str">
        <f t="shared" si="5"/>
        <v/>
      </c>
      <c r="S83" s="383" t="str">
        <f t="shared" si="7"/>
        <v/>
      </c>
      <c r="T83" s="384" t="str">
        <f t="shared" si="6"/>
        <v/>
      </c>
      <c r="U83" s="349"/>
      <c r="V83" s="385"/>
      <c r="W83" s="385"/>
      <c r="X83" s="386"/>
    </row>
    <row r="84" spans="1:24" ht="16.5" customHeight="1">
      <c r="A84" s="301"/>
      <c r="B84" s="395"/>
      <c r="C84" s="371"/>
      <c r="D84" s="372" t="str">
        <f>IFERROR(INDEX('[11]Equipment List'!$B$2:$B$2008,MATCH(E84,'[11]Equipment List'!$A$2:$A$2008,0)),"")</f>
        <v/>
      </c>
      <c r="E84" s="388"/>
      <c r="F84" s="374"/>
      <c r="G84" s="375"/>
      <c r="H84" s="397"/>
      <c r="I84" s="377"/>
      <c r="J84" s="378"/>
      <c r="K84" s="379"/>
      <c r="L84" s="387"/>
      <c r="M84" s="380" t="str">
        <f t="array" ref="M84">IF(L84="","",(MAX(IF(AN$15:AN$144=B84,AO$15:AO$144))/60))</f>
        <v/>
      </c>
      <c r="N84" s="387"/>
      <c r="O84" s="387"/>
      <c r="P84" s="381" t="str">
        <f t="shared" si="4"/>
        <v/>
      </c>
      <c r="Q84" s="382" t="str">
        <f t="array" ref="Q84">IFERROR(INDEX($D$13:$D$1000,MATCH(0,COUNTIF($Q$12:Q83,$D$13:$D$1000&amp;"")+IF($D$13:$D$1000="",1,0),0)),"")</f>
        <v/>
      </c>
      <c r="R84" s="356" t="str">
        <f t="shared" si="5"/>
        <v/>
      </c>
      <c r="S84" s="383" t="str">
        <f t="shared" si="7"/>
        <v/>
      </c>
      <c r="T84" s="384" t="str">
        <f t="shared" si="6"/>
        <v/>
      </c>
      <c r="U84" s="349"/>
      <c r="V84" s="385"/>
      <c r="W84" s="385"/>
      <c r="X84" s="386"/>
    </row>
    <row r="85" spans="1:24" ht="16.5" customHeight="1">
      <c r="A85" s="301"/>
      <c r="B85" s="387"/>
      <c r="C85" s="371"/>
      <c r="D85" s="372" t="str">
        <f>IFERROR(INDEX('[11]Equipment List'!$B$2:$B$2008,MATCH(E85,'[11]Equipment List'!$A$2:$A$2008,0)),"")</f>
        <v/>
      </c>
      <c r="E85" s="388"/>
      <c r="F85" s="374"/>
      <c r="G85" s="375"/>
      <c r="H85" s="397"/>
      <c r="I85" s="377"/>
      <c r="J85" s="378"/>
      <c r="K85" s="379"/>
      <c r="L85" s="387"/>
      <c r="M85" s="380" t="str">
        <f t="array" ref="M85">IF(L85="","",(MAX(IF(AN$15:AN$144=B85,AO$15:AO$144))/60))</f>
        <v/>
      </c>
      <c r="N85" s="387"/>
      <c r="O85" s="387"/>
      <c r="P85" s="381" t="str">
        <f t="shared" si="4"/>
        <v/>
      </c>
      <c r="Q85" s="382" t="str">
        <f t="array" ref="Q85">IFERROR(INDEX($D$13:$D$1000,MATCH(0,COUNTIF($Q$12:Q84,$D$13:$D$1000&amp;"")+IF($D$13:$D$1000="",1,0),0)),"")</f>
        <v/>
      </c>
      <c r="R85" s="356" t="str">
        <f t="shared" si="5"/>
        <v/>
      </c>
      <c r="S85" s="383" t="str">
        <f t="shared" si="7"/>
        <v/>
      </c>
      <c r="T85" s="384" t="str">
        <f t="shared" si="6"/>
        <v/>
      </c>
      <c r="U85" s="349"/>
      <c r="V85" s="385"/>
      <c r="W85" s="385"/>
      <c r="X85" s="386"/>
    </row>
    <row r="86" spans="1:24" ht="16.5" customHeight="1">
      <c r="A86" s="301"/>
      <c r="B86" s="395"/>
      <c r="C86" s="371"/>
      <c r="D86" s="372" t="str">
        <f>IFERROR(INDEX('[11]Equipment List'!$B$2:$B$2008,MATCH(E86,'[11]Equipment List'!$A$2:$A$2008,0)),"")</f>
        <v/>
      </c>
      <c r="E86" s="388"/>
      <c r="F86" s="374"/>
      <c r="G86" s="375"/>
      <c r="H86" s="397"/>
      <c r="I86" s="377"/>
      <c r="J86" s="378"/>
      <c r="K86" s="379"/>
      <c r="L86" s="387"/>
      <c r="M86" s="380" t="str">
        <f t="array" ref="M86">IF(L86="","",(MAX(IF(AN$15:AN$144=B86,AO$15:AO$144))/60))</f>
        <v/>
      </c>
      <c r="N86" s="387"/>
      <c r="O86" s="387"/>
      <c r="P86" s="381" t="str">
        <f t="shared" si="4"/>
        <v/>
      </c>
      <c r="Q86" s="382" t="str">
        <f t="array" ref="Q86">IFERROR(INDEX($D$13:$D$1000,MATCH(0,COUNTIF($Q$12:Q85,$D$13:$D$1000&amp;"")+IF($D$13:$D$1000="",1,0),0)),"")</f>
        <v/>
      </c>
      <c r="R86" s="356" t="str">
        <f t="shared" si="5"/>
        <v/>
      </c>
      <c r="S86" s="383" t="str">
        <f t="shared" si="7"/>
        <v/>
      </c>
      <c r="T86" s="384" t="str">
        <f t="shared" si="6"/>
        <v/>
      </c>
      <c r="U86" s="349"/>
      <c r="V86" s="385"/>
      <c r="W86" s="385"/>
      <c r="X86" s="386"/>
    </row>
    <row r="87" spans="1:24" ht="16.5" customHeight="1">
      <c r="A87" s="301"/>
      <c r="B87" s="387"/>
      <c r="C87" s="371"/>
      <c r="D87" s="372" t="str">
        <f>IFERROR(INDEX('[11]Equipment List'!$B$2:$B$2008,MATCH(E87,'[11]Equipment List'!$A$2:$A$2008,0)),"")</f>
        <v/>
      </c>
      <c r="E87" s="388"/>
      <c r="F87" s="374"/>
      <c r="G87" s="375"/>
      <c r="H87" s="397"/>
      <c r="I87" s="377"/>
      <c r="J87" s="378"/>
      <c r="K87" s="379"/>
      <c r="L87" s="387"/>
      <c r="M87" s="380" t="str">
        <f t="array" ref="M87">IF(L87="","",(MAX(IF(AN$15:AN$144=B87,AO$15:AO$144))/60))</f>
        <v/>
      </c>
      <c r="N87" s="387"/>
      <c r="O87" s="387"/>
      <c r="P87" s="381" t="str">
        <f t="shared" si="4"/>
        <v/>
      </c>
      <c r="Q87" s="382" t="str">
        <f t="array" ref="Q87">IFERROR(INDEX($D$13:$D$1000,MATCH(0,COUNTIF($Q$12:Q86,$D$13:$D$1000&amp;"")+IF($D$13:$D$1000="",1,0),0)),"")</f>
        <v/>
      </c>
      <c r="R87" s="356" t="str">
        <f t="shared" si="5"/>
        <v/>
      </c>
      <c r="S87" s="383" t="str">
        <f t="shared" si="7"/>
        <v/>
      </c>
      <c r="T87" s="384" t="str">
        <f t="shared" si="6"/>
        <v/>
      </c>
      <c r="U87" s="349"/>
      <c r="V87" s="385"/>
      <c r="W87" s="385"/>
      <c r="X87" s="386"/>
    </row>
    <row r="88" spans="1:24" ht="16.5" customHeight="1">
      <c r="A88" s="301"/>
      <c r="B88" s="395"/>
      <c r="C88" s="371"/>
      <c r="D88" s="372" t="str">
        <f>IFERROR(INDEX('[11]Equipment List'!$B$2:$B$2008,MATCH(E88,'[11]Equipment List'!$A$2:$A$2008,0)),"")</f>
        <v/>
      </c>
      <c r="E88" s="388"/>
      <c r="F88" s="374"/>
      <c r="G88" s="375"/>
      <c r="H88" s="397"/>
      <c r="I88" s="377"/>
      <c r="J88" s="378"/>
      <c r="K88" s="379"/>
      <c r="L88" s="387"/>
      <c r="M88" s="380" t="str">
        <f t="array" ref="M88">IF(L88="","",(MAX(IF(AN$15:AN$144=B88,AO$15:AO$144))/60))</f>
        <v/>
      </c>
      <c r="N88" s="387"/>
      <c r="O88" s="387"/>
      <c r="P88" s="381" t="str">
        <f t="shared" si="4"/>
        <v/>
      </c>
      <c r="Q88" s="382" t="str">
        <f t="array" ref="Q88">IFERROR(INDEX($D$13:$D$1000,MATCH(0,COUNTIF($Q$12:Q87,$D$13:$D$1000&amp;"")+IF($D$13:$D$1000="",1,0),0)),"")</f>
        <v/>
      </c>
      <c r="R88" s="356" t="str">
        <f t="shared" si="5"/>
        <v/>
      </c>
      <c r="S88" s="383" t="str">
        <f t="shared" si="7"/>
        <v/>
      </c>
      <c r="T88" s="384" t="str">
        <f t="shared" si="6"/>
        <v/>
      </c>
      <c r="U88" s="349"/>
      <c r="V88" s="385"/>
      <c r="W88" s="385"/>
      <c r="X88" s="386"/>
    </row>
    <row r="89" spans="1:24" ht="16.5" customHeight="1">
      <c r="A89" s="301"/>
      <c r="B89" s="387"/>
      <c r="C89" s="371"/>
      <c r="D89" s="372" t="str">
        <f>IFERROR(INDEX('[11]Equipment List'!$B$2:$B$2008,MATCH(E89,'[11]Equipment List'!$A$2:$A$2008,0)),"")</f>
        <v/>
      </c>
      <c r="E89" s="388"/>
      <c r="F89" s="374"/>
      <c r="G89" s="375"/>
      <c r="H89" s="397"/>
      <c r="I89" s="377"/>
      <c r="J89" s="378"/>
      <c r="K89" s="379"/>
      <c r="L89" s="387"/>
      <c r="M89" s="380" t="str">
        <f t="array" ref="M89">IF(L89="","",(MAX(IF(AN$15:AN$144=B89,AO$15:AO$144))/60))</f>
        <v/>
      </c>
      <c r="N89" s="387"/>
      <c r="O89" s="387"/>
      <c r="P89" s="381" t="str">
        <f t="shared" si="4"/>
        <v/>
      </c>
      <c r="Q89" s="382" t="str">
        <f t="array" ref="Q89">IFERROR(INDEX($D$13:$D$1000,MATCH(0,COUNTIF($Q$12:Q88,$D$13:$D$1000&amp;"")+IF($D$13:$D$1000="",1,0),0)),"")</f>
        <v/>
      </c>
      <c r="R89" s="356" t="str">
        <f t="shared" si="5"/>
        <v/>
      </c>
      <c r="S89" s="383" t="str">
        <f t="shared" si="7"/>
        <v/>
      </c>
      <c r="T89" s="384" t="str">
        <f t="shared" si="6"/>
        <v/>
      </c>
      <c r="U89" s="349"/>
      <c r="V89" s="385"/>
      <c r="W89" s="385"/>
      <c r="X89" s="386"/>
    </row>
    <row r="90" spans="1:24" ht="16.5" customHeight="1">
      <c r="A90" s="301"/>
      <c r="B90" s="395"/>
      <c r="C90" s="371"/>
      <c r="D90" s="372" t="str">
        <f>IFERROR(INDEX('[11]Equipment List'!$B$2:$B$2008,MATCH(E90,'[11]Equipment List'!$A$2:$A$2008,0)),"")</f>
        <v/>
      </c>
      <c r="E90" s="388"/>
      <c r="F90" s="374"/>
      <c r="G90" s="375"/>
      <c r="H90" s="397"/>
      <c r="I90" s="377"/>
      <c r="J90" s="378"/>
      <c r="K90" s="379"/>
      <c r="L90" s="387"/>
      <c r="M90" s="380" t="str">
        <f t="array" ref="M90">IF(L90="","",(MAX(IF(AN$15:AN$144=B90,AO$15:AO$144))/60))</f>
        <v/>
      </c>
      <c r="N90" s="387"/>
      <c r="O90" s="387"/>
      <c r="P90" s="381" t="str">
        <f t="shared" si="4"/>
        <v/>
      </c>
      <c r="Q90" s="382" t="str">
        <f t="array" ref="Q90">IFERROR(INDEX($D$13:$D$1000,MATCH(0,COUNTIF($Q$12:Q89,$D$13:$D$1000&amp;"")+IF($D$13:$D$1000="",1,0),0)),"")</f>
        <v/>
      </c>
      <c r="R90" s="356" t="str">
        <f t="shared" si="5"/>
        <v/>
      </c>
      <c r="S90" s="383" t="str">
        <f t="shared" si="7"/>
        <v/>
      </c>
      <c r="T90" s="384" t="str">
        <f t="shared" si="6"/>
        <v/>
      </c>
      <c r="U90" s="349"/>
      <c r="V90" s="385"/>
      <c r="W90" s="385"/>
      <c r="X90" s="386"/>
    </row>
    <row r="91" spans="1:24" ht="16.5" customHeight="1">
      <c r="A91" s="301"/>
      <c r="B91" s="387"/>
      <c r="C91" s="371"/>
      <c r="D91" s="372" t="str">
        <f>IFERROR(INDEX('[11]Equipment List'!$B$2:$B$2008,MATCH(E91,'[11]Equipment List'!$A$2:$A$2008,0)),"")</f>
        <v/>
      </c>
      <c r="E91" s="388"/>
      <c r="F91" s="374"/>
      <c r="G91" s="375"/>
      <c r="H91" s="397"/>
      <c r="I91" s="377"/>
      <c r="J91" s="378"/>
      <c r="K91" s="379"/>
      <c r="L91" s="387"/>
      <c r="M91" s="380" t="str">
        <f t="array" ref="M91">IF(L91="","",(MAX(IF(AN$15:AN$144=B91,AO$15:AO$144))/60))</f>
        <v/>
      </c>
      <c r="N91" s="387"/>
      <c r="O91" s="387"/>
      <c r="P91" s="381" t="str">
        <f t="shared" si="4"/>
        <v/>
      </c>
      <c r="Q91" s="382" t="str">
        <f t="array" ref="Q91">IFERROR(INDEX($D$13:$D$1000,MATCH(0,COUNTIF($Q$12:Q90,$D$13:$D$1000&amp;"")+IF($D$13:$D$1000="",1,0),0)),"")</f>
        <v/>
      </c>
      <c r="R91" s="356" t="str">
        <f t="shared" si="5"/>
        <v/>
      </c>
      <c r="S91" s="383" t="str">
        <f t="shared" si="7"/>
        <v/>
      </c>
      <c r="T91" s="384" t="str">
        <f t="shared" si="6"/>
        <v/>
      </c>
      <c r="U91" s="349"/>
      <c r="V91" s="385"/>
      <c r="W91" s="385"/>
      <c r="X91" s="386"/>
    </row>
    <row r="92" spans="1:24" ht="16.5" customHeight="1">
      <c r="A92" s="301"/>
      <c r="B92" s="395"/>
      <c r="C92" s="371"/>
      <c r="D92" s="372" t="str">
        <f>IFERROR(INDEX('[11]Equipment List'!$B$2:$B$2008,MATCH(E92,'[11]Equipment List'!$A$2:$A$2008,0)),"")</f>
        <v/>
      </c>
      <c r="E92" s="388"/>
      <c r="F92" s="374"/>
      <c r="G92" s="375"/>
      <c r="H92" s="397"/>
      <c r="I92" s="377"/>
      <c r="J92" s="378"/>
      <c r="K92" s="379"/>
      <c r="L92" s="387"/>
      <c r="M92" s="380" t="str">
        <f t="array" ref="M92">IF(L92="","",(MAX(IF(AN$15:AN$144=B92,AO$15:AO$144))/60))</f>
        <v/>
      </c>
      <c r="N92" s="387"/>
      <c r="O92" s="387"/>
      <c r="P92" s="381" t="str">
        <f t="shared" si="4"/>
        <v/>
      </c>
      <c r="Q92" s="382" t="str">
        <f t="array" ref="Q92">IFERROR(INDEX($D$13:$D$1000,MATCH(0,COUNTIF($Q$12:Q91,$D$13:$D$1000&amp;"")+IF($D$13:$D$1000="",1,0),0)),"")</f>
        <v/>
      </c>
      <c r="R92" s="356" t="str">
        <f t="shared" si="5"/>
        <v/>
      </c>
      <c r="S92" s="383" t="str">
        <f t="shared" si="7"/>
        <v/>
      </c>
      <c r="T92" s="384" t="str">
        <f t="shared" si="6"/>
        <v/>
      </c>
      <c r="U92" s="349"/>
      <c r="V92" s="385"/>
      <c r="W92" s="385"/>
      <c r="X92" s="386"/>
    </row>
    <row r="93" spans="1:24" ht="16.5" customHeight="1">
      <c r="A93" s="301"/>
      <c r="B93" s="387"/>
      <c r="C93" s="371"/>
      <c r="D93" s="372" t="str">
        <f>IFERROR(INDEX('[11]Equipment List'!$B$2:$B$2008,MATCH(E93,'[11]Equipment List'!$A$2:$A$2008,0)),"")</f>
        <v/>
      </c>
      <c r="E93" s="388"/>
      <c r="F93" s="374"/>
      <c r="G93" s="375"/>
      <c r="H93" s="397"/>
      <c r="I93" s="377"/>
      <c r="J93" s="378"/>
      <c r="K93" s="379"/>
      <c r="L93" s="387"/>
      <c r="M93" s="380" t="str">
        <f t="array" ref="M93">IF(L93="","",(MAX(IF(AN$15:AN$144=B93,AO$15:AO$144))/60))</f>
        <v/>
      </c>
      <c r="N93" s="387"/>
      <c r="O93" s="387"/>
      <c r="P93" s="381" t="str">
        <f t="shared" si="4"/>
        <v/>
      </c>
      <c r="Q93" s="382" t="str">
        <f t="array" ref="Q93">IFERROR(INDEX($D$13:$D$1000,MATCH(0,COUNTIF($Q$12:Q92,$D$13:$D$1000&amp;"")+IF($D$13:$D$1000="",1,0),0)),"")</f>
        <v/>
      </c>
      <c r="R93" s="356" t="str">
        <f t="shared" si="5"/>
        <v/>
      </c>
      <c r="S93" s="383" t="str">
        <f t="shared" si="7"/>
        <v/>
      </c>
      <c r="T93" s="384" t="str">
        <f t="shared" si="6"/>
        <v/>
      </c>
      <c r="U93" s="349"/>
      <c r="V93" s="385"/>
      <c r="W93" s="385"/>
      <c r="X93" s="386"/>
    </row>
    <row r="94" spans="1:24" ht="16.5" customHeight="1">
      <c r="A94" s="301"/>
      <c r="B94" s="395"/>
      <c r="C94" s="371"/>
      <c r="D94" s="372" t="str">
        <f>IFERROR(INDEX('[11]Equipment List'!$B$2:$B$2008,MATCH(E94,'[11]Equipment List'!$A$2:$A$2008,0)),"")</f>
        <v/>
      </c>
      <c r="E94" s="388"/>
      <c r="F94" s="374"/>
      <c r="G94" s="375"/>
      <c r="H94" s="397"/>
      <c r="I94" s="377"/>
      <c r="J94" s="378"/>
      <c r="K94" s="379"/>
      <c r="L94" s="387"/>
      <c r="M94" s="380" t="str">
        <f t="array" ref="M94">IF(L94="","",(MAX(IF(AN$15:AN$144=B94,AO$15:AO$144))/60))</f>
        <v/>
      </c>
      <c r="N94" s="387"/>
      <c r="O94" s="387"/>
      <c r="P94" s="381" t="str">
        <f t="shared" si="4"/>
        <v/>
      </c>
      <c r="Q94" s="382" t="str">
        <f t="array" ref="Q94">IFERROR(INDEX($D$13:$D$1000,MATCH(0,COUNTIF($Q$12:Q93,$D$13:$D$1000&amp;"")+IF($D$13:$D$1000="",1,0),0)),"")</f>
        <v/>
      </c>
      <c r="R94" s="356" t="str">
        <f t="shared" si="5"/>
        <v/>
      </c>
      <c r="S94" s="383" t="str">
        <f t="shared" si="7"/>
        <v/>
      </c>
      <c r="T94" s="384" t="str">
        <f t="shared" si="6"/>
        <v/>
      </c>
      <c r="U94" s="349"/>
      <c r="V94" s="385"/>
      <c r="W94" s="385"/>
      <c r="X94" s="386"/>
    </row>
    <row r="95" spans="1:24" ht="16.5" customHeight="1">
      <c r="A95" s="301"/>
      <c r="B95" s="387"/>
      <c r="C95" s="371"/>
      <c r="D95" s="372" t="str">
        <f>IFERROR(INDEX('[11]Equipment List'!$B$2:$B$2008,MATCH(E95,'[11]Equipment List'!$A$2:$A$2008,0)),"")</f>
        <v/>
      </c>
      <c r="E95" s="388"/>
      <c r="F95" s="374"/>
      <c r="G95" s="375"/>
      <c r="H95" s="397"/>
      <c r="I95" s="377"/>
      <c r="J95" s="378"/>
      <c r="K95" s="379"/>
      <c r="L95" s="387"/>
      <c r="M95" s="380" t="str">
        <f t="array" ref="M95">IF(L95="","",(MAX(IF(AN$15:AN$144=B95,AO$15:AO$144))/60))</f>
        <v/>
      </c>
      <c r="N95" s="387"/>
      <c r="O95" s="387"/>
      <c r="P95" s="381" t="str">
        <f t="shared" si="4"/>
        <v/>
      </c>
      <c r="Q95" s="382" t="str">
        <f t="array" ref="Q95">IFERROR(INDEX($D$13:$D$1000,MATCH(0,COUNTIF($Q$12:Q94,$D$13:$D$1000&amp;"")+IF($D$13:$D$1000="",1,0),0)),"")</f>
        <v/>
      </c>
      <c r="R95" s="356" t="str">
        <f t="shared" si="5"/>
        <v/>
      </c>
      <c r="S95" s="383" t="str">
        <f t="shared" si="7"/>
        <v/>
      </c>
      <c r="T95" s="384" t="str">
        <f t="shared" si="6"/>
        <v/>
      </c>
      <c r="U95" s="349"/>
      <c r="V95" s="385"/>
      <c r="W95" s="385"/>
      <c r="X95" s="386"/>
    </row>
    <row r="96" spans="1:24" ht="16.5" customHeight="1">
      <c r="A96" s="301"/>
      <c r="B96" s="387"/>
      <c r="C96" s="371"/>
      <c r="D96" s="372" t="str">
        <f>IFERROR(INDEX('[11]Equipment List'!$B$2:$B$2008,MATCH(E96,'[11]Equipment List'!$A$2:$A$2008,0)),"")</f>
        <v/>
      </c>
      <c r="E96" s="388"/>
      <c r="F96" s="374"/>
      <c r="G96" s="375"/>
      <c r="H96" s="397"/>
      <c r="I96" s="377"/>
      <c r="J96" s="378"/>
      <c r="K96" s="379"/>
      <c r="L96" s="387"/>
      <c r="M96" s="380" t="str">
        <f t="array" ref="M96">IF(L96="","",(MAX(IF(AN$15:AN$144=B96,AO$15:AO$144))/60))</f>
        <v/>
      </c>
      <c r="N96" s="387"/>
      <c r="O96" s="387"/>
      <c r="P96" s="381" t="str">
        <f t="shared" si="4"/>
        <v/>
      </c>
      <c r="Q96" s="382" t="str">
        <f t="array" ref="Q96">IFERROR(INDEX($D$13:$D$1000,MATCH(0,COUNTIF($Q$12:Q95,$D$13:$D$1000&amp;"")+IF($D$13:$D$1000="",1,0),0)),"")</f>
        <v/>
      </c>
      <c r="R96" s="356" t="str">
        <f t="shared" si="5"/>
        <v/>
      </c>
      <c r="S96" s="383" t="str">
        <f t="shared" si="7"/>
        <v/>
      </c>
      <c r="T96" s="384" t="str">
        <f t="shared" si="6"/>
        <v/>
      </c>
      <c r="U96" s="349"/>
      <c r="V96" s="385"/>
      <c r="W96" s="385"/>
      <c r="X96" s="386"/>
    </row>
    <row r="97" spans="1:24" ht="16.5" customHeight="1">
      <c r="A97" s="301"/>
      <c r="B97" s="387"/>
      <c r="C97" s="371"/>
      <c r="D97" s="372" t="str">
        <f>IFERROR(INDEX('[11]Equipment List'!$B$2:$B$2008,MATCH(E97,'[11]Equipment List'!$A$2:$A$2008,0)),"")</f>
        <v/>
      </c>
      <c r="E97" s="388"/>
      <c r="F97" s="374"/>
      <c r="G97" s="375"/>
      <c r="H97" s="397"/>
      <c r="I97" s="377"/>
      <c r="J97" s="378"/>
      <c r="K97" s="379"/>
      <c r="L97" s="387"/>
      <c r="M97" s="380" t="str">
        <f t="array" ref="M97">IF(L97="","",(MAX(IF(AN$15:AN$144=B97,AO$15:AO$144))/60))</f>
        <v/>
      </c>
      <c r="N97" s="387"/>
      <c r="O97" s="387"/>
      <c r="P97" s="381" t="str">
        <f t="shared" si="4"/>
        <v/>
      </c>
      <c r="Q97" s="382" t="str">
        <f t="array" ref="Q97">IFERROR(INDEX($D$13:$D$1000,MATCH(0,COUNTIF($Q$12:Q96,$D$13:$D$1000&amp;"")+IF($D$13:$D$1000="",1,0),0)),"")</f>
        <v/>
      </c>
      <c r="R97" s="356" t="str">
        <f t="shared" si="5"/>
        <v/>
      </c>
      <c r="S97" s="383" t="str">
        <f t="shared" si="7"/>
        <v/>
      </c>
      <c r="T97" s="384" t="str">
        <f t="shared" si="6"/>
        <v/>
      </c>
      <c r="U97" s="349"/>
      <c r="V97" s="385"/>
      <c r="W97" s="385"/>
      <c r="X97" s="386"/>
    </row>
    <row r="98" spans="1:24" ht="16.5" customHeight="1">
      <c r="A98" s="301"/>
      <c r="B98" s="395"/>
      <c r="C98" s="371"/>
      <c r="D98" s="372" t="str">
        <f>IFERROR(INDEX('[11]Equipment List'!$B$2:$B$2008,MATCH(E98,'[11]Equipment List'!$A$2:$A$2008,0)),"")</f>
        <v/>
      </c>
      <c r="E98" s="388"/>
      <c r="F98" s="374"/>
      <c r="G98" s="375"/>
      <c r="H98" s="397"/>
      <c r="I98" s="377"/>
      <c r="J98" s="378"/>
      <c r="K98" s="379"/>
      <c r="L98" s="387"/>
      <c r="M98" s="380" t="str">
        <f t="array" ref="M98">IF(L98="","",(MAX(IF(AN$15:AN$144=B98,AO$15:AO$144))/60))</f>
        <v/>
      </c>
      <c r="N98" s="387"/>
      <c r="O98" s="387"/>
      <c r="P98" s="381" t="str">
        <f t="shared" si="4"/>
        <v/>
      </c>
      <c r="Q98" s="382" t="str">
        <f t="array" ref="Q98">IFERROR(INDEX($D$13:$D$1000,MATCH(0,COUNTIF($Q$12:Q97,$D$13:$D$1000&amp;"")+IF($D$13:$D$1000="",1,0),0)),"")</f>
        <v/>
      </c>
      <c r="R98" s="356" t="str">
        <f t="shared" si="5"/>
        <v/>
      </c>
      <c r="S98" s="383" t="str">
        <f t="shared" si="7"/>
        <v/>
      </c>
      <c r="T98" s="384" t="str">
        <f t="shared" si="6"/>
        <v/>
      </c>
      <c r="U98" s="349"/>
      <c r="V98" s="385"/>
      <c r="W98" s="385"/>
      <c r="X98" s="386"/>
    </row>
    <row r="99" spans="1:24" ht="16.5" customHeight="1">
      <c r="A99" s="301"/>
      <c r="B99" s="387"/>
      <c r="C99" s="371"/>
      <c r="D99" s="372" t="str">
        <f>IFERROR(INDEX('[11]Equipment List'!$B$2:$B$2008,MATCH(E99,'[11]Equipment List'!$A$2:$A$2008,0)),"")</f>
        <v/>
      </c>
      <c r="E99" s="388"/>
      <c r="F99" s="374"/>
      <c r="G99" s="375"/>
      <c r="H99" s="397"/>
      <c r="I99" s="377"/>
      <c r="J99" s="378"/>
      <c r="K99" s="379"/>
      <c r="L99" s="387"/>
      <c r="M99" s="380" t="str">
        <f t="array" ref="M99">IF(L99="","",(MAX(IF(AN$15:AN$144=B99,AO$15:AO$144))/60))</f>
        <v/>
      </c>
      <c r="N99" s="387"/>
      <c r="O99" s="387"/>
      <c r="P99" s="381" t="str">
        <f t="shared" si="4"/>
        <v/>
      </c>
      <c r="Q99" s="382" t="str">
        <f t="array" ref="Q99">IFERROR(INDEX($D$13:$D$1000,MATCH(0,COUNTIF($Q$12:Q98,$D$13:$D$1000&amp;"")+IF($D$13:$D$1000="",1,0),0)),"")</f>
        <v/>
      </c>
      <c r="R99" s="356" t="str">
        <f t="shared" si="5"/>
        <v/>
      </c>
      <c r="S99" s="383" t="str">
        <f t="shared" si="7"/>
        <v/>
      </c>
      <c r="T99" s="384" t="str">
        <f t="shared" si="6"/>
        <v/>
      </c>
      <c r="U99" s="349"/>
      <c r="V99" s="385"/>
      <c r="W99" s="385"/>
      <c r="X99" s="386"/>
    </row>
    <row r="100" spans="1:24" ht="16.5" customHeight="1">
      <c r="A100" s="301"/>
      <c r="B100" s="395"/>
      <c r="C100" s="371"/>
      <c r="D100" s="372" t="str">
        <f>IFERROR(INDEX('[11]Equipment List'!$B$2:$B$2008,MATCH(E100,'[11]Equipment List'!$A$2:$A$2008,0)),"")</f>
        <v/>
      </c>
      <c r="E100" s="388"/>
      <c r="F100" s="374"/>
      <c r="G100" s="375"/>
      <c r="H100" s="397"/>
      <c r="I100" s="377"/>
      <c r="J100" s="378"/>
      <c r="K100" s="379"/>
      <c r="L100" s="387"/>
      <c r="M100" s="380" t="str">
        <f t="array" ref="M100">IF(L100="","",(MAX(IF(AN$15:AN$144=B100,AO$15:AO$144))/60))</f>
        <v/>
      </c>
      <c r="N100" s="387"/>
      <c r="O100" s="387"/>
      <c r="P100" s="381" t="str">
        <f t="shared" si="4"/>
        <v/>
      </c>
      <c r="Q100" s="382" t="str">
        <f t="array" ref="Q100">IFERROR(INDEX($D$13:$D$1000,MATCH(0,COUNTIF($Q$12:Q99,$D$13:$D$1000&amp;"")+IF($D$13:$D$1000="",1,0),0)),"")</f>
        <v/>
      </c>
      <c r="R100" s="356" t="str">
        <f t="shared" si="5"/>
        <v/>
      </c>
      <c r="S100" s="383" t="str">
        <f t="shared" si="7"/>
        <v/>
      </c>
      <c r="T100" s="384" t="str">
        <f t="shared" si="6"/>
        <v/>
      </c>
      <c r="U100" s="349"/>
      <c r="V100" s="385"/>
      <c r="W100" s="385"/>
      <c r="X100" s="386"/>
    </row>
    <row r="101" spans="1:24" ht="16.5" customHeight="1">
      <c r="A101" s="301"/>
      <c r="B101" s="387"/>
      <c r="C101" s="371"/>
      <c r="D101" s="372" t="str">
        <f>IFERROR(INDEX('[11]Equipment List'!$B$2:$B$2008,MATCH(E101,'[11]Equipment List'!$A$2:$A$2008,0)),"")</f>
        <v/>
      </c>
      <c r="E101" s="388"/>
      <c r="F101" s="374"/>
      <c r="G101" s="375"/>
      <c r="H101" s="397"/>
      <c r="I101" s="377"/>
      <c r="J101" s="378"/>
      <c r="K101" s="379"/>
      <c r="L101" s="387"/>
      <c r="M101" s="380" t="str">
        <f t="array" ref="M101">IF(L101="","",(MAX(IF(AN$15:AN$144=B101,AO$15:AO$144))/60))</f>
        <v/>
      </c>
      <c r="N101" s="387"/>
      <c r="O101" s="387"/>
      <c r="P101" s="381" t="str">
        <f t="shared" si="4"/>
        <v/>
      </c>
      <c r="Q101" s="382" t="str">
        <f t="array" ref="Q101">IFERROR(INDEX($D$13:$D$1000,MATCH(0,COUNTIF($Q$12:Q100,$D$13:$D$1000&amp;"")+IF($D$13:$D$1000="",1,0),0)),"")</f>
        <v/>
      </c>
      <c r="R101" s="356" t="str">
        <f t="shared" si="5"/>
        <v/>
      </c>
      <c r="S101" s="383" t="str">
        <f t="shared" si="7"/>
        <v/>
      </c>
      <c r="T101" s="384" t="str">
        <f t="shared" si="6"/>
        <v/>
      </c>
      <c r="U101" s="349"/>
      <c r="V101" s="385"/>
      <c r="W101" s="385"/>
      <c r="X101" s="386"/>
    </row>
    <row r="102" spans="1:24" ht="16.5" customHeight="1">
      <c r="A102" s="301"/>
      <c r="B102" s="395"/>
      <c r="C102" s="371"/>
      <c r="D102" s="372" t="str">
        <f>IFERROR(INDEX('[11]Equipment List'!$B$2:$B$2008,MATCH(E102,'[11]Equipment List'!$A$2:$A$2008,0)),"")</f>
        <v/>
      </c>
      <c r="E102" s="388"/>
      <c r="F102" s="374"/>
      <c r="G102" s="375"/>
      <c r="H102" s="397"/>
      <c r="I102" s="377"/>
      <c r="J102" s="378"/>
      <c r="K102" s="379"/>
      <c r="L102" s="387"/>
      <c r="M102" s="380" t="str">
        <f t="array" ref="M102">IF(L102="","",(MAX(IF(AN$15:AN$144=B102,AO$15:AO$144))/60))</f>
        <v/>
      </c>
      <c r="N102" s="387"/>
      <c r="O102" s="387"/>
      <c r="P102" s="381" t="str">
        <f t="shared" si="4"/>
        <v/>
      </c>
      <c r="Q102" s="382" t="str">
        <f t="array" ref="Q102">IFERROR(INDEX($D$13:$D$1000,MATCH(0,COUNTIF($Q$12:Q101,$D$13:$D$1000&amp;"")+IF($D$13:$D$1000="",1,0),0)),"")</f>
        <v/>
      </c>
      <c r="R102" s="356" t="str">
        <f t="shared" si="5"/>
        <v/>
      </c>
      <c r="S102" s="383" t="str">
        <f t="shared" si="7"/>
        <v/>
      </c>
      <c r="T102" s="384" t="str">
        <f t="shared" si="6"/>
        <v/>
      </c>
      <c r="U102" s="349"/>
      <c r="V102" s="385"/>
      <c r="W102" s="385"/>
      <c r="X102" s="386"/>
    </row>
    <row r="103" spans="1:24" ht="16.5" customHeight="1">
      <c r="A103" s="301"/>
      <c r="B103" s="395"/>
      <c r="C103" s="371"/>
      <c r="D103" s="372" t="str">
        <f>IFERROR(INDEX('[11]Equipment List'!$B$2:$B$2038,MATCH(E103,'[11]Equipment List'!$A$2:$A$2038,0)),"")</f>
        <v/>
      </c>
      <c r="E103" s="388"/>
      <c r="F103" s="374"/>
      <c r="G103" s="375"/>
      <c r="H103" s="397"/>
      <c r="I103" s="377"/>
      <c r="J103" s="378"/>
      <c r="K103" s="379"/>
      <c r="L103" s="387"/>
      <c r="M103" s="380" t="str">
        <f t="array" ref="M103">IF(L103="","",(MAX(IF(AN$15:AN$144=B103,AO$15:AO$144))/60))</f>
        <v/>
      </c>
      <c r="N103" s="387"/>
      <c r="O103" s="387"/>
      <c r="P103" s="381" t="str">
        <f t="shared" si="4"/>
        <v/>
      </c>
      <c r="Q103" s="382" t="str">
        <f t="array" ref="Q103">IFERROR(INDEX($D$13:$D$1000,MATCH(0,COUNTIF($Q$12:Q102,$D$13:$D$1000&amp;"")+IF($D$13:$D$1000="",1,0),0)),"")</f>
        <v/>
      </c>
      <c r="R103" s="356" t="str">
        <f t="shared" si="5"/>
        <v/>
      </c>
      <c r="S103" s="383" t="str">
        <f t="shared" si="7"/>
        <v/>
      </c>
      <c r="T103" s="384" t="str">
        <f t="shared" si="6"/>
        <v/>
      </c>
      <c r="U103" s="349"/>
      <c r="V103" s="385"/>
      <c r="W103" s="385"/>
      <c r="X103" s="386"/>
    </row>
    <row r="104" spans="1:24" ht="16.5" customHeight="1">
      <c r="A104" s="301"/>
      <c r="B104" s="395"/>
      <c r="C104" s="371"/>
      <c r="D104" s="372" t="str">
        <f>IFERROR(INDEX('[11]Equipment List'!$B$2:$B$2038,MATCH(E104,'[11]Equipment List'!$A$2:$A$2038,0)),"")</f>
        <v/>
      </c>
      <c r="E104" s="388"/>
      <c r="F104" s="374"/>
      <c r="G104" s="375"/>
      <c r="H104" s="397"/>
      <c r="I104" s="377"/>
      <c r="J104" s="378"/>
      <c r="K104" s="379"/>
      <c r="L104" s="387"/>
      <c r="M104" s="380" t="str">
        <f t="array" ref="M104">IF(L104="","",(MAX(IF(AN$15:AN$144=B104,AO$15:AO$144))/60))</f>
        <v/>
      </c>
      <c r="N104" s="387"/>
      <c r="O104" s="387"/>
      <c r="P104" s="381" t="str">
        <f t="shared" si="4"/>
        <v/>
      </c>
      <c r="Q104" s="382" t="str">
        <f t="array" ref="Q104">IFERROR(INDEX($D$13:$D$1000,MATCH(0,COUNTIF($Q$12:Q103,$D$13:$D$1000&amp;"")+IF($D$13:$D$1000="",1,0),0)),"")</f>
        <v/>
      </c>
      <c r="R104" s="356" t="str">
        <f t="shared" si="5"/>
        <v/>
      </c>
      <c r="S104" s="383" t="str">
        <f t="shared" si="7"/>
        <v/>
      </c>
      <c r="T104" s="384" t="str">
        <f t="shared" si="6"/>
        <v/>
      </c>
      <c r="U104" s="349"/>
      <c r="V104" s="385"/>
      <c r="W104" s="385"/>
      <c r="X104" s="386"/>
    </row>
    <row r="105" spans="1:24" ht="16.5" customHeight="1">
      <c r="A105" s="301"/>
      <c r="B105" s="387"/>
      <c r="C105" s="371"/>
      <c r="D105" s="372" t="str">
        <f>IFERROR(INDEX('[11]Equipment List'!$B$2:$B$2038,MATCH(E105,'[11]Equipment List'!$A$2:$A$2038,0)),"")</f>
        <v/>
      </c>
      <c r="E105" s="388"/>
      <c r="F105" s="374"/>
      <c r="G105" s="375"/>
      <c r="H105" s="397"/>
      <c r="I105" s="377"/>
      <c r="J105" s="378"/>
      <c r="K105" s="379"/>
      <c r="L105" s="387"/>
      <c r="M105" s="380" t="str">
        <f t="array" ref="M105">IF(L105="","",(MAX(IF(AN$15:AN$144=B105,AO$15:AO$144))/60))</f>
        <v/>
      </c>
      <c r="N105" s="387"/>
      <c r="O105" s="387"/>
      <c r="P105" s="381" t="str">
        <f t="shared" si="4"/>
        <v/>
      </c>
      <c r="Q105" s="382" t="str">
        <f t="array" ref="Q105">IFERROR(INDEX($D$13:$D$1000,MATCH(0,COUNTIF($Q$12:Q104,$D$13:$D$1000&amp;"")+IF($D$13:$D$1000="",1,0),0)),"")</f>
        <v/>
      </c>
      <c r="R105" s="356" t="str">
        <f t="shared" si="5"/>
        <v/>
      </c>
      <c r="S105" s="383" t="str">
        <f t="shared" si="7"/>
        <v/>
      </c>
      <c r="T105" s="384" t="str">
        <f t="shared" si="6"/>
        <v/>
      </c>
      <c r="U105" s="349"/>
      <c r="V105" s="385"/>
      <c r="W105" s="385"/>
      <c r="X105" s="386"/>
    </row>
    <row r="106" spans="1:24" ht="16.5" customHeight="1">
      <c r="A106" s="301"/>
      <c r="B106" s="395"/>
      <c r="C106" s="371"/>
      <c r="D106" s="372" t="str">
        <f>IFERROR(INDEX('[11]Equipment List'!$B$2:$B$2038,MATCH(E106,'[11]Equipment List'!$A$2:$A$2038,0)),"")</f>
        <v/>
      </c>
      <c r="E106" s="388"/>
      <c r="F106" s="374"/>
      <c r="G106" s="375"/>
      <c r="H106" s="397"/>
      <c r="I106" s="377"/>
      <c r="J106" s="378"/>
      <c r="K106" s="379"/>
      <c r="L106" s="387"/>
      <c r="M106" s="380" t="str">
        <f t="array" ref="M106">IF(L106="","",(MAX(IF(AN$15:AN$144=B106,AO$15:AO$144))/60))</f>
        <v/>
      </c>
      <c r="N106" s="387"/>
      <c r="O106" s="387"/>
      <c r="P106" s="381" t="str">
        <f t="shared" si="4"/>
        <v/>
      </c>
      <c r="Q106" s="382" t="str">
        <f t="array" ref="Q106">IFERROR(INDEX($D$13:$D$1000,MATCH(0,COUNTIF($Q$12:Q105,$D$13:$D$1000&amp;"")+IF($D$13:$D$1000="",1,0),0)),"")</f>
        <v/>
      </c>
      <c r="R106" s="356" t="str">
        <f t="shared" si="5"/>
        <v/>
      </c>
      <c r="S106" s="383" t="str">
        <f t="shared" si="7"/>
        <v/>
      </c>
      <c r="T106" s="384" t="str">
        <f t="shared" si="6"/>
        <v/>
      </c>
      <c r="U106" s="349"/>
      <c r="V106" s="385"/>
      <c r="W106" s="385"/>
      <c r="X106" s="386"/>
    </row>
    <row r="107" spans="1:24" ht="16.5" customHeight="1">
      <c r="A107" s="301"/>
      <c r="B107" s="387"/>
      <c r="C107" s="371"/>
      <c r="D107" s="372" t="str">
        <f>IFERROR(INDEX('[11]Equipment List'!$B$2:$B$2038,MATCH(E107,'[11]Equipment List'!$A$2:$A$2038,0)),"")</f>
        <v/>
      </c>
      <c r="E107" s="388"/>
      <c r="F107" s="374"/>
      <c r="G107" s="375"/>
      <c r="H107" s="397"/>
      <c r="I107" s="377"/>
      <c r="J107" s="378"/>
      <c r="K107" s="379"/>
      <c r="L107" s="387"/>
      <c r="M107" s="380" t="str">
        <f t="array" ref="M107">IF(L107="","",(MAX(IF(AN$15:AN$144=B107,AO$15:AO$144))/60))</f>
        <v/>
      </c>
      <c r="N107" s="387"/>
      <c r="O107" s="387"/>
      <c r="P107" s="381" t="str">
        <f t="shared" si="4"/>
        <v/>
      </c>
      <c r="Q107" s="382" t="str">
        <f t="array" ref="Q107">IFERROR(INDEX($D$13:$D$1000,MATCH(0,COUNTIF($Q$12:Q106,$D$13:$D$1000&amp;"")+IF($D$13:$D$1000="",1,0),0)),"")</f>
        <v/>
      </c>
      <c r="R107" s="356" t="str">
        <f t="shared" si="5"/>
        <v/>
      </c>
      <c r="S107" s="383" t="str">
        <f t="shared" si="7"/>
        <v/>
      </c>
      <c r="T107" s="384" t="str">
        <f t="shared" si="6"/>
        <v/>
      </c>
      <c r="U107" s="349"/>
      <c r="V107" s="385"/>
      <c r="W107" s="385"/>
      <c r="X107" s="386"/>
    </row>
    <row r="108" spans="1:24" ht="16.5" customHeight="1">
      <c r="A108" s="301"/>
      <c r="B108" s="395"/>
      <c r="C108" s="371"/>
      <c r="D108" s="372" t="str">
        <f>IFERROR(INDEX('[11]Equipment List'!$B$2:$B$2038,MATCH(E108,'[11]Equipment List'!$A$2:$A$2038,0)),"")</f>
        <v/>
      </c>
      <c r="E108" s="388"/>
      <c r="F108" s="374"/>
      <c r="G108" s="375"/>
      <c r="H108" s="397"/>
      <c r="I108" s="377"/>
      <c r="J108" s="378"/>
      <c r="K108" s="379"/>
      <c r="L108" s="387"/>
      <c r="M108" s="380" t="str">
        <f t="array" ref="M108">IF(L108="","",(MAX(IF(AN$15:AN$144=B108,AO$15:AO$144))/60))</f>
        <v/>
      </c>
      <c r="N108" s="387"/>
      <c r="O108" s="387"/>
      <c r="P108" s="381" t="str">
        <f t="shared" si="4"/>
        <v/>
      </c>
      <c r="Q108" s="382" t="str">
        <f t="array" ref="Q108">IFERROR(INDEX($D$13:$D$1000,MATCH(0,COUNTIF($Q$12:Q107,$D$13:$D$1000&amp;"")+IF($D$13:$D$1000="",1,0),0)),"")</f>
        <v/>
      </c>
      <c r="R108" s="356" t="str">
        <f t="shared" si="5"/>
        <v/>
      </c>
      <c r="S108" s="383" t="str">
        <f t="shared" si="7"/>
        <v/>
      </c>
      <c r="T108" s="384" t="str">
        <f t="shared" si="6"/>
        <v/>
      </c>
      <c r="U108" s="349"/>
      <c r="V108" s="385"/>
      <c r="W108" s="385"/>
      <c r="X108" s="386"/>
    </row>
    <row r="109" spans="1:24" ht="16.5" customHeight="1">
      <c r="A109" s="301"/>
      <c r="B109" s="387"/>
      <c r="C109" s="371"/>
      <c r="D109" s="372" t="str">
        <f>IFERROR(INDEX('[11]Equipment List'!$B$2:$B$2038,MATCH(E109,'[11]Equipment List'!$A$2:$A$2038,0)),"")</f>
        <v/>
      </c>
      <c r="E109" s="388"/>
      <c r="F109" s="374"/>
      <c r="G109" s="375"/>
      <c r="H109" s="397"/>
      <c r="I109" s="377"/>
      <c r="J109" s="378"/>
      <c r="K109" s="379"/>
      <c r="L109" s="387"/>
      <c r="M109" s="380" t="str">
        <f t="array" ref="M109">IF(L109="","",(MAX(IF(AN$15:AN$144=B109,AO$15:AO$144))/60))</f>
        <v/>
      </c>
      <c r="N109" s="387"/>
      <c r="O109" s="387"/>
      <c r="P109" s="381" t="str">
        <f t="shared" si="4"/>
        <v/>
      </c>
      <c r="Q109" s="382" t="str">
        <f t="array" ref="Q109">IFERROR(INDEX($D$13:$D$1000,MATCH(0,COUNTIF($Q$12:Q108,$D$13:$D$1000&amp;"")+IF($D$13:$D$1000="",1,0),0)),"")</f>
        <v/>
      </c>
      <c r="R109" s="356" t="str">
        <f t="shared" si="5"/>
        <v/>
      </c>
      <c r="S109" s="383" t="str">
        <f t="shared" si="7"/>
        <v/>
      </c>
      <c r="T109" s="384" t="str">
        <f t="shared" si="6"/>
        <v/>
      </c>
      <c r="U109" s="349"/>
      <c r="V109" s="385"/>
      <c r="W109" s="385"/>
      <c r="X109" s="386"/>
    </row>
    <row r="110" spans="1:24" ht="16.5" customHeight="1">
      <c r="A110" s="301"/>
      <c r="B110" s="395"/>
      <c r="C110" s="371"/>
      <c r="D110" s="372" t="str">
        <f>IFERROR(INDEX('[11]Equipment List'!$B$2:$B$2038,MATCH(E110,'[11]Equipment List'!$A$2:$A$2038,0)),"")</f>
        <v/>
      </c>
      <c r="E110" s="388"/>
      <c r="F110" s="374"/>
      <c r="G110" s="375"/>
      <c r="H110" s="397"/>
      <c r="I110" s="377"/>
      <c r="J110" s="378"/>
      <c r="K110" s="379"/>
      <c r="L110" s="387"/>
      <c r="M110" s="380" t="str">
        <f t="array" ref="M110">IF(L110="","",(MAX(IF(AN$15:AN$144=B110,AO$15:AO$144))/60))</f>
        <v/>
      </c>
      <c r="N110" s="387"/>
      <c r="O110" s="387"/>
      <c r="P110" s="381" t="str">
        <f t="shared" si="4"/>
        <v/>
      </c>
      <c r="Q110" s="382" t="str">
        <f t="array" ref="Q110">IFERROR(INDEX($D$13:$D$1000,MATCH(0,COUNTIF($Q$12:Q109,$D$13:$D$1000&amp;"")+IF($D$13:$D$1000="",1,0),0)),"")</f>
        <v/>
      </c>
      <c r="R110" s="356" t="str">
        <f t="shared" si="5"/>
        <v/>
      </c>
      <c r="S110" s="383" t="str">
        <f t="shared" si="7"/>
        <v/>
      </c>
      <c r="T110" s="384" t="str">
        <f t="shared" si="6"/>
        <v/>
      </c>
      <c r="U110" s="349"/>
      <c r="V110" s="385"/>
      <c r="W110" s="385"/>
      <c r="X110" s="386"/>
    </row>
    <row r="111" spans="1:24" ht="16.5" customHeight="1">
      <c r="A111" s="301"/>
      <c r="B111" s="387"/>
      <c r="C111" s="371"/>
      <c r="D111" s="372" t="str">
        <f>IFERROR(INDEX('[11]Equipment List'!$B$2:$B$2038,MATCH(E111,'[11]Equipment List'!$A$2:$A$2038,0)),"")</f>
        <v/>
      </c>
      <c r="E111" s="388"/>
      <c r="F111" s="374"/>
      <c r="G111" s="375"/>
      <c r="H111" s="397"/>
      <c r="I111" s="377"/>
      <c r="J111" s="378"/>
      <c r="K111" s="379"/>
      <c r="L111" s="387"/>
      <c r="M111" s="380" t="str">
        <f t="array" ref="M111">IF(L111="","",(MAX(IF(AN$15:AN$144=B111,AO$15:AO$144))/60))</f>
        <v/>
      </c>
      <c r="N111" s="387"/>
      <c r="O111" s="387"/>
      <c r="P111" s="381" t="str">
        <f t="shared" si="4"/>
        <v/>
      </c>
      <c r="Q111" s="382" t="str">
        <f t="array" ref="Q111">IFERROR(INDEX($D$13:$D$1000,MATCH(0,COUNTIF($Q$12:Q110,$D$13:$D$1000&amp;"")+IF($D$13:$D$1000="",1,0),0)),"")</f>
        <v/>
      </c>
      <c r="R111" s="356" t="str">
        <f t="shared" si="5"/>
        <v/>
      </c>
      <c r="S111" s="383" t="str">
        <f t="shared" si="7"/>
        <v/>
      </c>
      <c r="T111" s="384" t="str">
        <f t="shared" si="6"/>
        <v/>
      </c>
      <c r="U111" s="349"/>
      <c r="V111" s="385"/>
      <c r="W111" s="385"/>
      <c r="X111" s="386"/>
    </row>
    <row r="112" spans="1:24" ht="16.5" customHeight="1">
      <c r="A112" s="301"/>
      <c r="B112" s="395"/>
      <c r="C112" s="371"/>
      <c r="D112" s="372" t="str">
        <f>IFERROR(INDEX('[11]Equipment List'!$B$2:$B$2038,MATCH(E112,'[11]Equipment List'!$A$2:$A$2038,0)),"")</f>
        <v/>
      </c>
      <c r="E112" s="388"/>
      <c r="F112" s="374"/>
      <c r="G112" s="375"/>
      <c r="H112" s="397"/>
      <c r="I112" s="377"/>
      <c r="J112" s="378"/>
      <c r="K112" s="379"/>
      <c r="L112" s="387"/>
      <c r="M112" s="380" t="str">
        <f t="array" ref="M112">IF(L112="","",(MAX(IF(AN$15:AN$144=B112,AO$15:AO$144))/60))</f>
        <v/>
      </c>
      <c r="N112" s="387"/>
      <c r="O112" s="387"/>
      <c r="P112" s="381" t="str">
        <f t="shared" si="4"/>
        <v/>
      </c>
      <c r="Q112" s="382" t="str">
        <f t="array" ref="Q112">IFERROR(INDEX($D$13:$D$1000,MATCH(0,COUNTIF($Q$12:Q111,$D$13:$D$1000&amp;"")+IF($D$13:$D$1000="",1,0),0)),"")</f>
        <v/>
      </c>
      <c r="R112" s="356" t="str">
        <f t="shared" si="5"/>
        <v/>
      </c>
      <c r="S112" s="383" t="str">
        <f t="shared" si="7"/>
        <v/>
      </c>
      <c r="T112" s="384" t="str">
        <f t="shared" si="6"/>
        <v/>
      </c>
      <c r="U112" s="349"/>
      <c r="V112" s="385"/>
      <c r="W112" s="385"/>
      <c r="X112" s="386"/>
    </row>
    <row r="113" spans="1:24" ht="16.5" customHeight="1">
      <c r="A113" s="301"/>
      <c r="B113" s="387"/>
      <c r="C113" s="371"/>
      <c r="D113" s="372" t="str">
        <f>IFERROR(INDEX('[11]Equipment List'!$B$2:$B$2038,MATCH(E113,'[11]Equipment List'!$A$2:$A$2038,0)),"")</f>
        <v/>
      </c>
      <c r="E113" s="388"/>
      <c r="F113" s="374"/>
      <c r="G113" s="375"/>
      <c r="H113" s="397"/>
      <c r="I113" s="377"/>
      <c r="J113" s="378"/>
      <c r="K113" s="379"/>
      <c r="L113" s="387"/>
      <c r="M113" s="380" t="str">
        <f t="array" ref="M113">IF(L113="","",(MAX(IF(AN$15:AN$144=B113,AO$15:AO$144))/60))</f>
        <v/>
      </c>
      <c r="N113" s="387"/>
      <c r="O113" s="387"/>
      <c r="P113" s="381" t="str">
        <f t="shared" si="4"/>
        <v/>
      </c>
      <c r="Q113" s="382" t="str">
        <f t="array" ref="Q113">IFERROR(INDEX($D$13:$D$1000,MATCH(0,COUNTIF($Q$12:Q112,$D$13:$D$1000&amp;"")+IF($D$13:$D$1000="",1,0),0)),"")</f>
        <v/>
      </c>
      <c r="R113" s="356" t="str">
        <f t="shared" si="5"/>
        <v/>
      </c>
      <c r="S113" s="383" t="str">
        <f t="shared" si="7"/>
        <v/>
      </c>
      <c r="T113" s="384" t="str">
        <f t="shared" si="6"/>
        <v/>
      </c>
      <c r="U113" s="349"/>
      <c r="V113" s="385"/>
      <c r="W113" s="385"/>
      <c r="X113" s="386"/>
    </row>
    <row r="114" spans="1:24" ht="16.5" customHeight="1">
      <c r="A114" s="301"/>
      <c r="B114" s="395"/>
      <c r="C114" s="371"/>
      <c r="D114" s="372" t="str">
        <f>IFERROR(INDEX('[11]Equipment List'!$B$2:$B$2038,MATCH(E114,'[11]Equipment List'!$A$2:$A$2038,0)),"")</f>
        <v/>
      </c>
      <c r="E114" s="388"/>
      <c r="F114" s="374"/>
      <c r="G114" s="375"/>
      <c r="H114" s="397"/>
      <c r="I114" s="377"/>
      <c r="J114" s="378"/>
      <c r="K114" s="379"/>
      <c r="L114" s="387"/>
      <c r="M114" s="380" t="str">
        <f t="array" ref="M114">IF(L114="","",(MAX(IF(AN$15:AN$144=B114,AO$15:AO$144))/60))</f>
        <v/>
      </c>
      <c r="N114" s="387"/>
      <c r="O114" s="387"/>
      <c r="P114" s="381" t="str">
        <f t="shared" si="4"/>
        <v/>
      </c>
      <c r="Q114" s="382" t="str">
        <f t="array" ref="Q114">IFERROR(INDEX($D$13:$D$1000,MATCH(0,COUNTIF($Q$12:Q113,$D$13:$D$1000&amp;"")+IF($D$13:$D$1000="",1,0),0)),"")</f>
        <v/>
      </c>
      <c r="R114" s="356" t="str">
        <f t="shared" si="5"/>
        <v/>
      </c>
      <c r="S114" s="383" t="str">
        <f t="shared" si="7"/>
        <v/>
      </c>
      <c r="T114" s="384" t="str">
        <f t="shared" si="6"/>
        <v/>
      </c>
      <c r="U114" s="349"/>
      <c r="V114" s="385"/>
      <c r="W114" s="385"/>
      <c r="X114" s="386"/>
    </row>
    <row r="115" spans="1:24" ht="16.5" customHeight="1">
      <c r="A115" s="301"/>
      <c r="B115" s="387"/>
      <c r="C115" s="371"/>
      <c r="D115" s="372" t="str">
        <f>IFERROR(INDEX('[11]Equipment List'!$B$2:$B$2038,MATCH(E115,'[11]Equipment List'!$A$2:$A$2038,0)),"")</f>
        <v/>
      </c>
      <c r="E115" s="388"/>
      <c r="F115" s="374"/>
      <c r="G115" s="375"/>
      <c r="H115" s="397"/>
      <c r="I115" s="377"/>
      <c r="J115" s="378"/>
      <c r="K115" s="379"/>
      <c r="L115" s="387"/>
      <c r="M115" s="380" t="str">
        <f t="array" ref="M115">IF(L115="","",(MAX(IF(AN$15:AN$144=B115,AO$15:AO$144))/60))</f>
        <v/>
      </c>
      <c r="N115" s="387"/>
      <c r="O115" s="387"/>
      <c r="P115" s="381" t="str">
        <f t="shared" si="4"/>
        <v/>
      </c>
      <c r="Q115" s="382" t="str">
        <f t="array" ref="Q115">IFERROR(INDEX($D$13:$D$1000,MATCH(0,COUNTIF($Q$12:Q114,$D$13:$D$1000&amp;"")+IF($D$13:$D$1000="",1,0),0)),"")</f>
        <v/>
      </c>
      <c r="R115" s="356" t="str">
        <f t="shared" si="5"/>
        <v/>
      </c>
      <c r="S115" s="383" t="str">
        <f t="shared" si="7"/>
        <v/>
      </c>
      <c r="T115" s="384" t="str">
        <f t="shared" si="6"/>
        <v/>
      </c>
      <c r="U115" s="349"/>
      <c r="V115" s="385"/>
      <c r="W115" s="385"/>
      <c r="X115" s="386"/>
    </row>
    <row r="116" spans="1:24" ht="16.5" customHeight="1">
      <c r="A116" s="301"/>
      <c r="B116" s="395"/>
      <c r="C116" s="371"/>
      <c r="D116" s="372" t="str">
        <f>IFERROR(INDEX('[11]Equipment List'!$B$2:$B$2038,MATCH(E116,'[11]Equipment List'!$A$2:$A$2038,0)),"")</f>
        <v/>
      </c>
      <c r="E116" s="388"/>
      <c r="F116" s="374"/>
      <c r="G116" s="375"/>
      <c r="H116" s="397"/>
      <c r="I116" s="377"/>
      <c r="J116" s="378"/>
      <c r="K116" s="379"/>
      <c r="L116" s="387"/>
      <c r="M116" s="380" t="str">
        <f t="array" ref="M116">IF(L116="","",(MAX(IF(AN$15:AN$144=B116,AO$15:AO$144))/60))</f>
        <v/>
      </c>
      <c r="N116" s="387"/>
      <c r="O116" s="387"/>
      <c r="P116" s="381" t="str">
        <f t="shared" si="4"/>
        <v/>
      </c>
      <c r="Q116" s="382" t="str">
        <f t="array" ref="Q116">IFERROR(INDEX($D$13:$D$1000,MATCH(0,COUNTIF($Q$12:Q115,$D$13:$D$1000&amp;"")+IF($D$13:$D$1000="",1,0),0)),"")</f>
        <v/>
      </c>
      <c r="R116" s="356" t="str">
        <f t="shared" si="5"/>
        <v/>
      </c>
      <c r="S116" s="383" t="str">
        <f t="shared" si="7"/>
        <v/>
      </c>
      <c r="T116" s="384" t="str">
        <f t="shared" si="6"/>
        <v/>
      </c>
      <c r="U116" s="349"/>
      <c r="V116" s="385"/>
      <c r="W116" s="385"/>
      <c r="X116" s="386"/>
    </row>
    <row r="117" spans="1:24" ht="16.5" customHeight="1">
      <c r="A117" s="301"/>
      <c r="B117" s="387"/>
      <c r="C117" s="371"/>
      <c r="D117" s="372" t="str">
        <f>IFERROR(INDEX('[11]Equipment List'!$B$2:$B$2038,MATCH(E117,'[11]Equipment List'!$A$2:$A$2038,0)),"")</f>
        <v/>
      </c>
      <c r="E117" s="388"/>
      <c r="F117" s="374"/>
      <c r="G117" s="375"/>
      <c r="H117" s="397"/>
      <c r="I117" s="377"/>
      <c r="J117" s="378"/>
      <c r="K117" s="379"/>
      <c r="L117" s="387"/>
      <c r="M117" s="380" t="str">
        <f t="array" ref="M117">IF(L117="","",(MAX(IF(AN$15:AN$144=B117,AO$15:AO$144))/60))</f>
        <v/>
      </c>
      <c r="N117" s="387"/>
      <c r="O117" s="387"/>
      <c r="P117" s="381" t="str">
        <f t="shared" si="4"/>
        <v/>
      </c>
      <c r="Q117" s="382" t="str">
        <f t="array" ref="Q117">IFERROR(INDEX($D$13:$D$1000,MATCH(0,COUNTIF($Q$12:Q116,$D$13:$D$1000&amp;"")+IF($D$13:$D$1000="",1,0),0)),"")</f>
        <v/>
      </c>
      <c r="R117" s="356" t="str">
        <f t="shared" si="5"/>
        <v/>
      </c>
      <c r="S117" s="383" t="str">
        <f t="shared" si="7"/>
        <v/>
      </c>
      <c r="T117" s="384" t="str">
        <f t="shared" si="6"/>
        <v/>
      </c>
      <c r="U117" s="349"/>
      <c r="V117" s="385"/>
      <c r="W117" s="385"/>
      <c r="X117" s="386"/>
    </row>
    <row r="118" spans="1:24" ht="16.5" customHeight="1">
      <c r="A118" s="301"/>
      <c r="B118" s="395"/>
      <c r="C118" s="371"/>
      <c r="D118" s="372" t="str">
        <f>IFERROR(INDEX('[11]Equipment List'!$B$2:$B$2038,MATCH(E118,'[11]Equipment List'!$A$2:$A$2038,0)),"")</f>
        <v/>
      </c>
      <c r="E118" s="388"/>
      <c r="F118" s="374"/>
      <c r="G118" s="375"/>
      <c r="H118" s="397"/>
      <c r="I118" s="377"/>
      <c r="J118" s="378"/>
      <c r="K118" s="379"/>
      <c r="L118" s="387"/>
      <c r="M118" s="380" t="str">
        <f t="array" ref="M118">IF(L118="","",(MAX(IF(AN$15:AN$144=B118,AO$15:AO$144))/60))</f>
        <v/>
      </c>
      <c r="N118" s="387"/>
      <c r="O118" s="387"/>
      <c r="P118" s="381" t="str">
        <f t="shared" si="4"/>
        <v/>
      </c>
      <c r="Q118" s="382" t="str">
        <f t="array" ref="Q118">IFERROR(INDEX($D$13:$D$1000,MATCH(0,COUNTIF($Q$12:Q117,$D$13:$D$1000&amp;"")+IF($D$13:$D$1000="",1,0),0)),"")</f>
        <v/>
      </c>
      <c r="R118" s="356" t="str">
        <f t="shared" si="5"/>
        <v/>
      </c>
      <c r="S118" s="383" t="str">
        <f t="shared" si="7"/>
        <v/>
      </c>
      <c r="T118" s="384" t="str">
        <f t="shared" si="6"/>
        <v/>
      </c>
      <c r="U118" s="349"/>
      <c r="V118" s="385"/>
      <c r="W118" s="385"/>
      <c r="X118" s="386"/>
    </row>
    <row r="119" spans="1:24" ht="16.5" customHeight="1">
      <c r="A119" s="301"/>
      <c r="B119" s="387"/>
      <c r="C119" s="371"/>
      <c r="D119" s="372" t="str">
        <f>IFERROR(INDEX('[11]Equipment List'!$B$2:$B$2038,MATCH(E119,'[11]Equipment List'!$A$2:$A$2038,0)),"")</f>
        <v/>
      </c>
      <c r="E119" s="388"/>
      <c r="F119" s="374"/>
      <c r="G119" s="375"/>
      <c r="H119" s="397"/>
      <c r="I119" s="377"/>
      <c r="J119" s="378"/>
      <c r="K119" s="379"/>
      <c r="L119" s="387"/>
      <c r="M119" s="380" t="str">
        <f t="array" ref="M119">IF(L119="","",(MAX(IF(AN$15:AN$144=B119,AO$15:AO$144))/60))</f>
        <v/>
      </c>
      <c r="N119" s="387"/>
      <c r="O119" s="387"/>
      <c r="P119" s="381" t="str">
        <f t="shared" si="4"/>
        <v/>
      </c>
      <c r="Q119" s="382" t="str">
        <f t="array" ref="Q119">IFERROR(INDEX($D$13:$D$1000,MATCH(0,COUNTIF($Q$12:Q118,$D$13:$D$1000&amp;"")+IF($D$13:$D$1000="",1,0),0)),"")</f>
        <v/>
      </c>
      <c r="R119" s="356" t="str">
        <f t="shared" si="5"/>
        <v/>
      </c>
      <c r="S119" s="383" t="str">
        <f t="shared" si="7"/>
        <v/>
      </c>
      <c r="T119" s="384" t="str">
        <f t="shared" si="6"/>
        <v/>
      </c>
      <c r="U119" s="349"/>
      <c r="V119" s="385"/>
      <c r="W119" s="385"/>
      <c r="X119" s="386"/>
    </row>
    <row r="120" spans="1:24" ht="16.5" customHeight="1">
      <c r="A120" s="301"/>
      <c r="B120" s="395"/>
      <c r="C120" s="371"/>
      <c r="D120" s="372" t="str">
        <f>IFERROR(INDEX('[11]Equipment List'!$B$2:$B$2038,MATCH(E120,'[11]Equipment List'!$A$2:$A$2038,0)),"")</f>
        <v/>
      </c>
      <c r="E120" s="388"/>
      <c r="F120" s="374"/>
      <c r="G120" s="375"/>
      <c r="H120" s="397"/>
      <c r="I120" s="377"/>
      <c r="J120" s="378"/>
      <c r="K120" s="379"/>
      <c r="L120" s="387"/>
      <c r="M120" s="380" t="str">
        <f t="array" ref="M120">IF(L120="","",(MAX(IF(AN$15:AN$144=B120,AO$15:AO$144))/60))</f>
        <v/>
      </c>
      <c r="N120" s="387"/>
      <c r="O120" s="387"/>
      <c r="P120" s="381" t="str">
        <f t="shared" si="4"/>
        <v/>
      </c>
      <c r="Q120" s="382" t="str">
        <f t="array" ref="Q120">IFERROR(INDEX($D$13:$D$1000,MATCH(0,COUNTIF($Q$12:Q119,$D$13:$D$1000&amp;"")+IF($D$13:$D$1000="",1,0),0)),"")</f>
        <v/>
      </c>
      <c r="R120" s="356" t="str">
        <f t="shared" si="5"/>
        <v/>
      </c>
      <c r="S120" s="383" t="str">
        <f t="shared" si="7"/>
        <v/>
      </c>
      <c r="T120" s="384" t="str">
        <f t="shared" si="6"/>
        <v/>
      </c>
      <c r="U120" s="349"/>
      <c r="V120" s="385"/>
      <c r="W120" s="385"/>
      <c r="X120" s="386"/>
    </row>
    <row r="121" spans="1:24" ht="16.5" customHeight="1">
      <c r="A121" s="301"/>
      <c r="B121" s="387"/>
      <c r="C121" s="371"/>
      <c r="D121" s="372" t="str">
        <f>IFERROR(INDEX('[11]Equipment List'!$B$2:$B$2038,MATCH(E121,'[11]Equipment List'!$A$2:$A$2038,0)),"")</f>
        <v/>
      </c>
      <c r="E121" s="388"/>
      <c r="F121" s="374"/>
      <c r="G121" s="375"/>
      <c r="H121" s="397"/>
      <c r="I121" s="377"/>
      <c r="J121" s="378"/>
      <c r="K121" s="379"/>
      <c r="L121" s="387"/>
      <c r="M121" s="380" t="str">
        <f t="array" ref="M121">IF(L121="","",(MAX(IF(AN$15:AN$144=B121,AO$15:AO$144))/60))</f>
        <v/>
      </c>
      <c r="N121" s="387"/>
      <c r="O121" s="387"/>
      <c r="P121" s="381" t="str">
        <f t="shared" si="4"/>
        <v/>
      </c>
      <c r="Q121" s="382" t="str">
        <f t="array" ref="Q121">IFERROR(INDEX($D$13:$D$1000,MATCH(0,COUNTIF($Q$12:Q120,$D$13:$D$1000&amp;"")+IF($D$13:$D$1000="",1,0),0)),"")</f>
        <v/>
      </c>
      <c r="R121" s="356" t="str">
        <f t="shared" si="5"/>
        <v/>
      </c>
      <c r="S121" s="383" t="str">
        <f t="shared" si="7"/>
        <v/>
      </c>
      <c r="T121" s="384" t="str">
        <f t="shared" si="6"/>
        <v/>
      </c>
      <c r="U121" s="349"/>
      <c r="V121" s="385"/>
      <c r="W121" s="385"/>
      <c r="X121" s="386"/>
    </row>
    <row r="122" spans="1:24" ht="16.5" customHeight="1">
      <c r="A122" s="301"/>
      <c r="B122" s="395"/>
      <c r="C122" s="371"/>
      <c r="D122" s="372" t="str">
        <f>IFERROR(INDEX('[11]Equipment List'!$B$2:$B$2038,MATCH(E122,'[11]Equipment List'!$A$2:$A$2038,0)),"")</f>
        <v/>
      </c>
      <c r="E122" s="388"/>
      <c r="F122" s="374"/>
      <c r="G122" s="375"/>
      <c r="H122" s="397"/>
      <c r="I122" s="377"/>
      <c r="J122" s="378"/>
      <c r="K122" s="379"/>
      <c r="L122" s="387"/>
      <c r="M122" s="380" t="str">
        <f t="array" ref="M122">IF(L122="","",(MAX(IF(AN$15:AN$144=B122,AO$15:AO$144))/60))</f>
        <v/>
      </c>
      <c r="N122" s="387"/>
      <c r="O122" s="387"/>
      <c r="P122" s="381" t="str">
        <f t="shared" si="4"/>
        <v/>
      </c>
      <c r="Q122" s="382" t="str">
        <f t="array" ref="Q122">IFERROR(INDEX($D$13:$D$1000,MATCH(0,COUNTIF($Q$12:Q121,$D$13:$D$1000&amp;"")+IF($D$13:$D$1000="",1,0),0)),"")</f>
        <v/>
      </c>
      <c r="R122" s="356" t="str">
        <f t="shared" si="5"/>
        <v/>
      </c>
      <c r="S122" s="383" t="str">
        <f t="shared" si="7"/>
        <v/>
      </c>
      <c r="T122" s="384" t="str">
        <f t="shared" si="6"/>
        <v/>
      </c>
      <c r="U122" s="349"/>
      <c r="V122" s="385"/>
      <c r="W122" s="385"/>
      <c r="X122" s="386"/>
    </row>
    <row r="123" spans="1:24" ht="16.5" customHeight="1">
      <c r="A123" s="301"/>
      <c r="B123" s="387"/>
      <c r="C123" s="371"/>
      <c r="D123" s="372" t="str">
        <f>IFERROR(INDEX('[11]Equipment List'!$B$2:$B$2038,MATCH(E123,'[11]Equipment List'!$A$2:$A$2038,0)),"")</f>
        <v/>
      </c>
      <c r="E123" s="388"/>
      <c r="F123" s="374"/>
      <c r="G123" s="375"/>
      <c r="H123" s="397"/>
      <c r="I123" s="377"/>
      <c r="J123" s="378"/>
      <c r="K123" s="379"/>
      <c r="L123" s="387"/>
      <c r="M123" s="380" t="str">
        <f t="array" ref="M123">IF(L123="","",(MAX(IF(AN$15:AN$144=B123,AO$15:AO$144))/60))</f>
        <v/>
      </c>
      <c r="N123" s="387"/>
      <c r="O123" s="387"/>
      <c r="P123" s="381" t="str">
        <f t="shared" si="4"/>
        <v/>
      </c>
      <c r="Q123" s="382" t="str">
        <f t="array" ref="Q123">IFERROR(INDEX($D$13:$D$1000,MATCH(0,COUNTIF($Q$12:Q122,$D$13:$D$1000&amp;"")+IF($D$13:$D$1000="",1,0),0)),"")</f>
        <v/>
      </c>
      <c r="R123" s="356" t="str">
        <f t="shared" si="5"/>
        <v/>
      </c>
      <c r="S123" s="383" t="str">
        <f t="shared" si="7"/>
        <v/>
      </c>
      <c r="T123" s="384" t="str">
        <f t="shared" si="6"/>
        <v/>
      </c>
      <c r="U123" s="349"/>
      <c r="V123" s="385"/>
      <c r="W123" s="385"/>
      <c r="X123" s="386"/>
    </row>
    <row r="124" spans="1:24" ht="16.5" customHeight="1">
      <c r="A124" s="301"/>
      <c r="B124" s="395"/>
      <c r="C124" s="371"/>
      <c r="D124" s="372" t="str">
        <f>IFERROR(INDEX('[11]Equipment List'!$B$2:$B$2038,MATCH(E124,'[11]Equipment List'!$A$2:$A$2038,0)),"")</f>
        <v/>
      </c>
      <c r="E124" s="388"/>
      <c r="F124" s="374"/>
      <c r="G124" s="375"/>
      <c r="H124" s="397"/>
      <c r="I124" s="377"/>
      <c r="J124" s="378"/>
      <c r="K124" s="379"/>
      <c r="L124" s="387"/>
      <c r="M124" s="380" t="str">
        <f t="array" ref="M124">IF(L124="","",(MAX(IF(AN$15:AN$144=B124,AO$15:AO$144))/60))</f>
        <v/>
      </c>
      <c r="N124" s="387"/>
      <c r="O124" s="387"/>
      <c r="P124" s="381" t="str">
        <f t="shared" si="4"/>
        <v/>
      </c>
      <c r="Q124" s="382" t="str">
        <f t="array" ref="Q124">IFERROR(INDEX($D$13:$D$1000,MATCH(0,COUNTIF($Q$12:Q123,$D$13:$D$1000&amp;"")+IF($D$13:$D$1000="",1,0),0)),"")</f>
        <v/>
      </c>
      <c r="R124" s="356" t="str">
        <f t="shared" si="5"/>
        <v/>
      </c>
      <c r="S124" s="383" t="str">
        <f t="shared" si="7"/>
        <v/>
      </c>
      <c r="T124" s="384" t="str">
        <f t="shared" si="6"/>
        <v/>
      </c>
      <c r="U124" s="349"/>
      <c r="V124" s="385"/>
      <c r="W124" s="385"/>
      <c r="X124" s="386"/>
    </row>
    <row r="125" spans="1:24" ht="16.5" customHeight="1">
      <c r="A125" s="301"/>
      <c r="B125" s="387"/>
      <c r="C125" s="371"/>
      <c r="D125" s="372" t="str">
        <f>IFERROR(INDEX('[11]Equipment List'!$B$2:$B$2038,MATCH(E125,'[11]Equipment List'!$A$2:$A$2038,0)),"")</f>
        <v/>
      </c>
      <c r="E125" s="388"/>
      <c r="F125" s="374"/>
      <c r="G125" s="375"/>
      <c r="H125" s="397"/>
      <c r="I125" s="377"/>
      <c r="J125" s="378"/>
      <c r="K125" s="379"/>
      <c r="L125" s="387"/>
      <c r="M125" s="380" t="str">
        <f t="array" ref="M125">IF(L125="","",(MAX(IF(AN$15:AN$144=B125,AO$15:AO$144))/60))</f>
        <v/>
      </c>
      <c r="N125" s="387"/>
      <c r="O125" s="387"/>
      <c r="P125" s="381" t="str">
        <f t="shared" si="4"/>
        <v/>
      </c>
      <c r="Q125" s="382" t="str">
        <f t="array" ref="Q125">IFERROR(INDEX($D$13:$D$1000,MATCH(0,COUNTIF($Q$12:Q124,$D$13:$D$1000&amp;"")+IF($D$13:$D$1000="",1,0),0)),"")</f>
        <v/>
      </c>
      <c r="R125" s="356" t="str">
        <f t="shared" si="5"/>
        <v/>
      </c>
      <c r="S125" s="383" t="str">
        <f t="shared" si="7"/>
        <v/>
      </c>
      <c r="T125" s="384" t="str">
        <f t="shared" si="6"/>
        <v/>
      </c>
      <c r="U125" s="349"/>
      <c r="V125" s="385"/>
      <c r="W125" s="385"/>
      <c r="X125" s="386"/>
    </row>
    <row r="126" spans="1:24" ht="16.5" customHeight="1">
      <c r="A126" s="301"/>
      <c r="B126" s="395"/>
      <c r="C126" s="371"/>
      <c r="D126" s="372" t="str">
        <f>IFERROR(INDEX('[11]Equipment List'!$B$2:$B$2038,MATCH(E126,'[11]Equipment List'!$A$2:$A$2038,0)),"")</f>
        <v/>
      </c>
      <c r="E126" s="388"/>
      <c r="F126" s="374"/>
      <c r="G126" s="375"/>
      <c r="H126" s="397"/>
      <c r="I126" s="377"/>
      <c r="J126" s="378"/>
      <c r="K126" s="379"/>
      <c r="L126" s="387"/>
      <c r="M126" s="380" t="str">
        <f t="array" ref="M126">IF(L126="","",(MAX(IF(AN$15:AN$144=B126,AO$15:AO$144))/60))</f>
        <v/>
      </c>
      <c r="N126" s="387"/>
      <c r="O126" s="387"/>
      <c r="P126" s="381" t="str">
        <f t="shared" si="4"/>
        <v/>
      </c>
      <c r="Q126" s="382" t="str">
        <f t="array" ref="Q126">IFERROR(INDEX($D$13:$D$1000,MATCH(0,COUNTIF($Q$12:Q125,$D$13:$D$1000&amp;"")+IF($D$13:$D$1000="",1,0),0)),"")</f>
        <v/>
      </c>
      <c r="R126" s="356" t="str">
        <f t="shared" si="5"/>
        <v/>
      </c>
      <c r="S126" s="383" t="str">
        <f t="shared" si="7"/>
        <v/>
      </c>
      <c r="T126" s="384" t="str">
        <f t="shared" si="6"/>
        <v/>
      </c>
      <c r="U126" s="349"/>
      <c r="V126" s="385"/>
      <c r="W126" s="385"/>
      <c r="X126" s="386"/>
    </row>
    <row r="127" spans="1:24" ht="16.5" customHeight="1">
      <c r="A127" s="301"/>
      <c r="B127" s="387"/>
      <c r="C127" s="371"/>
      <c r="D127" s="372" t="str">
        <f>IFERROR(INDEX('[11]Equipment List'!$B$2:$B$2038,MATCH(E127,'[11]Equipment List'!$A$2:$A$2038,0)),"")</f>
        <v/>
      </c>
      <c r="E127" s="388"/>
      <c r="F127" s="374"/>
      <c r="G127" s="375"/>
      <c r="H127" s="397"/>
      <c r="I127" s="377"/>
      <c r="J127" s="378"/>
      <c r="K127" s="379"/>
      <c r="L127" s="387"/>
      <c r="M127" s="380" t="str">
        <f t="array" ref="M127">IF(L127="","",(MAX(IF(AN$15:AN$144=B127,AO$15:AO$144))/60))</f>
        <v/>
      </c>
      <c r="N127" s="387"/>
      <c r="O127" s="387"/>
      <c r="P127" s="381" t="str">
        <f t="shared" si="4"/>
        <v/>
      </c>
      <c r="Q127" s="382" t="str">
        <f t="array" ref="Q127">IFERROR(INDEX($D$13:$D$1000,MATCH(0,COUNTIF($Q$12:Q126,$D$13:$D$1000&amp;"")+IF($D$13:$D$1000="",1,0),0)),"")</f>
        <v/>
      </c>
      <c r="R127" s="356" t="str">
        <f t="shared" si="5"/>
        <v/>
      </c>
      <c r="S127" s="383" t="str">
        <f t="shared" si="7"/>
        <v/>
      </c>
      <c r="T127" s="384" t="str">
        <f t="shared" si="6"/>
        <v/>
      </c>
      <c r="U127" s="349"/>
      <c r="V127" s="385"/>
      <c r="W127" s="385"/>
      <c r="X127" s="386"/>
    </row>
    <row r="128" spans="1:24" ht="16.5" customHeight="1">
      <c r="A128" s="301"/>
      <c r="B128" s="395"/>
      <c r="C128" s="371"/>
      <c r="D128" s="372" t="str">
        <f>IFERROR(INDEX('[11]Equipment List'!$B$2:$B$2038,MATCH(E128,'[11]Equipment List'!$A$2:$A$2038,0)),"")</f>
        <v/>
      </c>
      <c r="E128" s="388"/>
      <c r="F128" s="374"/>
      <c r="G128" s="375"/>
      <c r="H128" s="397"/>
      <c r="I128" s="377"/>
      <c r="J128" s="378"/>
      <c r="K128" s="379"/>
      <c r="L128" s="387"/>
      <c r="M128" s="380" t="str">
        <f t="array" ref="M128">IF(L128="","",(MAX(IF(AN$15:AN$144=B128,AO$15:AO$144))/60))</f>
        <v/>
      </c>
      <c r="N128" s="387"/>
      <c r="O128" s="387"/>
      <c r="P128" s="381" t="str">
        <f t="shared" si="4"/>
        <v/>
      </c>
      <c r="Q128" s="382" t="str">
        <f t="array" ref="Q128">IFERROR(INDEX($D$13:$D$1000,MATCH(0,COUNTIF($Q$12:Q127,$D$13:$D$1000&amp;"")+IF($D$13:$D$1000="",1,0),0)),"")</f>
        <v/>
      </c>
      <c r="R128" s="356" t="str">
        <f t="shared" si="5"/>
        <v/>
      </c>
      <c r="S128" s="383" t="str">
        <f t="shared" si="7"/>
        <v/>
      </c>
      <c r="T128" s="384" t="str">
        <f t="shared" si="6"/>
        <v/>
      </c>
      <c r="U128" s="349"/>
      <c r="V128" s="385"/>
      <c r="W128" s="385"/>
      <c r="X128" s="386"/>
    </row>
    <row r="129" spans="1:24" ht="16.5" customHeight="1">
      <c r="A129" s="301"/>
      <c r="B129" s="387"/>
      <c r="C129" s="371"/>
      <c r="D129" s="372" t="str">
        <f>IFERROR(INDEX('[11]Equipment List'!$B$2:$B$2038,MATCH(E129,'[11]Equipment List'!$A$2:$A$2038,0)),"")</f>
        <v/>
      </c>
      <c r="E129" s="388"/>
      <c r="F129" s="374"/>
      <c r="G129" s="375"/>
      <c r="H129" s="397"/>
      <c r="I129" s="377"/>
      <c r="J129" s="378"/>
      <c r="K129" s="379"/>
      <c r="L129" s="387"/>
      <c r="M129" s="380" t="str">
        <f t="array" ref="M129">IF(L129="","",(MAX(IF(AN$15:AN$144=B129,AO$15:AO$144))/60))</f>
        <v/>
      </c>
      <c r="N129" s="387"/>
      <c r="O129" s="387"/>
      <c r="P129" s="381" t="str">
        <f t="shared" si="4"/>
        <v/>
      </c>
      <c r="Q129" s="382" t="str">
        <f t="array" ref="Q129">IFERROR(INDEX($D$13:$D$1000,MATCH(0,COUNTIF($Q$12:Q128,$D$13:$D$1000&amp;"")+IF($D$13:$D$1000="",1,0),0)),"")</f>
        <v/>
      </c>
      <c r="R129" s="356" t="str">
        <f t="shared" si="5"/>
        <v/>
      </c>
      <c r="S129" s="383" t="str">
        <f t="shared" si="7"/>
        <v/>
      </c>
      <c r="T129" s="384" t="str">
        <f t="shared" si="6"/>
        <v/>
      </c>
      <c r="U129" s="349"/>
      <c r="V129" s="385"/>
      <c r="W129" s="385"/>
      <c r="X129" s="386"/>
    </row>
    <row r="130" spans="1:24" ht="16.5" customHeight="1">
      <c r="A130" s="301"/>
      <c r="B130" s="395"/>
      <c r="C130" s="371"/>
      <c r="D130" s="372" t="str">
        <f>IFERROR(INDEX('[11]Equipment List'!$B$2:$B$2038,MATCH(E130,'[11]Equipment List'!$A$2:$A$2038,0)),"")</f>
        <v/>
      </c>
      <c r="E130" s="388"/>
      <c r="F130" s="374"/>
      <c r="G130" s="375"/>
      <c r="H130" s="397"/>
      <c r="I130" s="377"/>
      <c r="J130" s="378"/>
      <c r="K130" s="379"/>
      <c r="L130" s="387"/>
      <c r="M130" s="380" t="str">
        <f t="array" ref="M130">IF(L130="","",(MAX(IF(AN$15:AN$144=B130,AO$15:AO$144))/60))</f>
        <v/>
      </c>
      <c r="N130" s="387"/>
      <c r="O130" s="387"/>
      <c r="P130" s="381" t="str">
        <f t="shared" si="4"/>
        <v/>
      </c>
      <c r="Q130" s="382" t="str">
        <f t="array" ref="Q130">IFERROR(INDEX($D$13:$D$1000,MATCH(0,COUNTIF($Q$12:Q129,$D$13:$D$1000&amp;"")+IF($D$13:$D$1000="",1,0),0)),"")</f>
        <v/>
      </c>
      <c r="R130" s="356" t="str">
        <f t="shared" si="5"/>
        <v/>
      </c>
      <c r="S130" s="383" t="str">
        <f t="shared" si="7"/>
        <v/>
      </c>
      <c r="T130" s="384" t="str">
        <f t="shared" si="6"/>
        <v/>
      </c>
      <c r="U130" s="349"/>
      <c r="V130" s="385"/>
      <c r="W130" s="385"/>
      <c r="X130" s="386"/>
    </row>
    <row r="131" spans="1:24" ht="16.5" customHeight="1">
      <c r="A131" s="301"/>
      <c r="B131" s="387"/>
      <c r="C131" s="371"/>
      <c r="D131" s="372" t="str">
        <f>IFERROR(INDEX('[11]Equipment List'!$B$2:$B$2038,MATCH(E131,'[11]Equipment List'!$A$2:$A$2038,0)),"")</f>
        <v/>
      </c>
      <c r="E131" s="388"/>
      <c r="F131" s="374"/>
      <c r="G131" s="375"/>
      <c r="H131" s="397"/>
      <c r="I131" s="377"/>
      <c r="J131" s="378"/>
      <c r="K131" s="379"/>
      <c r="L131" s="387"/>
      <c r="M131" s="380" t="str">
        <f t="array" ref="M131">IF(L131="","",(MAX(IF(AN$15:AN$144=B131,AO$15:AO$144))/60))</f>
        <v/>
      </c>
      <c r="N131" s="387"/>
      <c r="O131" s="387"/>
      <c r="P131" s="381" t="str">
        <f t="shared" si="4"/>
        <v/>
      </c>
      <c r="Q131" s="382" t="str">
        <f t="array" ref="Q131">IFERROR(INDEX($D$13:$D$1000,MATCH(0,COUNTIF($Q$12:Q130,$D$13:$D$1000&amp;"")+IF($D$13:$D$1000="",1,0),0)),"")</f>
        <v/>
      </c>
      <c r="R131" s="356" t="str">
        <f t="shared" si="5"/>
        <v/>
      </c>
      <c r="S131" s="383" t="str">
        <f t="shared" si="7"/>
        <v/>
      </c>
      <c r="T131" s="384" t="str">
        <f t="shared" si="6"/>
        <v/>
      </c>
      <c r="U131" s="349"/>
      <c r="V131" s="385"/>
      <c r="W131" s="385"/>
      <c r="X131" s="386"/>
    </row>
    <row r="132" spans="1:24" ht="16.5" customHeight="1">
      <c r="A132" s="301"/>
      <c r="B132" s="395"/>
      <c r="C132" s="371"/>
      <c r="D132" s="372" t="str">
        <f>IFERROR(INDEX('[11]Equipment List'!$B$2:$B$2038,MATCH(E132,'[11]Equipment List'!$A$2:$A$2038,0)),"")</f>
        <v/>
      </c>
      <c r="E132" s="388"/>
      <c r="F132" s="374"/>
      <c r="G132" s="375"/>
      <c r="H132" s="397"/>
      <c r="I132" s="377"/>
      <c r="J132" s="378"/>
      <c r="K132" s="379"/>
      <c r="L132" s="387"/>
      <c r="M132" s="380" t="str">
        <f t="array" ref="M132">IF(L132="","",(MAX(IF(AN$15:AN$144=B132,AO$15:AO$144))/60))</f>
        <v/>
      </c>
      <c r="N132" s="387"/>
      <c r="O132" s="387"/>
      <c r="P132" s="381" t="str">
        <f t="shared" si="4"/>
        <v/>
      </c>
      <c r="Q132" s="382" t="str">
        <f t="array" ref="Q132">IFERROR(INDEX($D$13:$D$1000,MATCH(0,COUNTIF($Q$12:Q131,$D$13:$D$1000&amp;"")+IF($D$13:$D$1000="",1,0),0)),"")</f>
        <v/>
      </c>
      <c r="R132" s="356" t="str">
        <f t="shared" si="5"/>
        <v/>
      </c>
      <c r="S132" s="383" t="str">
        <f t="shared" si="7"/>
        <v/>
      </c>
      <c r="T132" s="384" t="str">
        <f t="shared" si="6"/>
        <v/>
      </c>
      <c r="U132" s="349"/>
      <c r="V132" s="385"/>
      <c r="W132" s="385"/>
      <c r="X132" s="386"/>
    </row>
    <row r="133" spans="1:24" ht="16.5" customHeight="1">
      <c r="A133" s="301"/>
      <c r="B133" s="387"/>
      <c r="C133" s="371"/>
      <c r="D133" s="372" t="str">
        <f>IFERROR(INDEX('[11]Equipment List'!$B$2:$B$2038,MATCH(E133,'[11]Equipment List'!$A$2:$A$2038,0)),"")</f>
        <v/>
      </c>
      <c r="E133" s="388"/>
      <c r="F133" s="374"/>
      <c r="G133" s="375"/>
      <c r="H133" s="397"/>
      <c r="I133" s="377"/>
      <c r="J133" s="378"/>
      <c r="K133" s="379"/>
      <c r="L133" s="387"/>
      <c r="M133" s="380" t="str">
        <f t="array" ref="M133">IF(L133="","",(MAX(IF(AN$15:AN$144=B133,AO$15:AO$144))/60))</f>
        <v/>
      </c>
      <c r="N133" s="387"/>
      <c r="O133" s="387"/>
      <c r="P133" s="381" t="str">
        <f t="shared" si="4"/>
        <v/>
      </c>
      <c r="Q133" s="382" t="str">
        <f t="array" ref="Q133">IFERROR(INDEX($D$13:$D$1000,MATCH(0,COUNTIF($Q$12:Q132,$D$13:$D$1000&amp;"")+IF($D$13:$D$1000="",1,0),0)),"")</f>
        <v/>
      </c>
      <c r="R133" s="356" t="str">
        <f t="shared" si="5"/>
        <v/>
      </c>
      <c r="S133" s="383" t="str">
        <f t="shared" si="7"/>
        <v/>
      </c>
      <c r="T133" s="384" t="str">
        <f t="shared" si="6"/>
        <v/>
      </c>
      <c r="U133" s="349"/>
      <c r="V133" s="385"/>
      <c r="W133" s="385"/>
      <c r="X133" s="386"/>
    </row>
    <row r="134" spans="1:24" ht="16.5" customHeight="1">
      <c r="A134" s="301"/>
      <c r="B134" s="395"/>
      <c r="C134" s="371"/>
      <c r="D134" s="372" t="str">
        <f>IFERROR(INDEX('[11]Equipment List'!$B$2:$B$2038,MATCH(E134,'[11]Equipment List'!$A$2:$A$2038,0)),"")</f>
        <v/>
      </c>
      <c r="E134" s="388"/>
      <c r="F134" s="374"/>
      <c r="G134" s="375"/>
      <c r="H134" s="397"/>
      <c r="I134" s="377"/>
      <c r="J134" s="378"/>
      <c r="K134" s="379"/>
      <c r="L134" s="387"/>
      <c r="M134" s="380" t="str">
        <f t="array" ref="M134">IF(L134="","",(MAX(IF(AN$15:AN$144=B134,AO$15:AO$144))/60))</f>
        <v/>
      </c>
      <c r="N134" s="387"/>
      <c r="O134" s="387"/>
      <c r="P134" s="381" t="str">
        <f t="shared" si="4"/>
        <v/>
      </c>
      <c r="Q134" s="382" t="str">
        <f t="array" ref="Q134">IFERROR(INDEX($D$13:$D$1000,MATCH(0,COUNTIF($Q$12:Q133,$D$13:$D$1000&amp;"")+IF($D$13:$D$1000="",1,0),0)),"")</f>
        <v/>
      </c>
      <c r="R134" s="356" t="str">
        <f t="shared" si="5"/>
        <v/>
      </c>
      <c r="S134" s="383" t="str">
        <f t="shared" si="7"/>
        <v/>
      </c>
      <c r="T134" s="384" t="str">
        <f t="shared" si="6"/>
        <v/>
      </c>
      <c r="U134" s="349"/>
      <c r="V134" s="385"/>
      <c r="W134" s="385"/>
      <c r="X134" s="386"/>
    </row>
    <row r="135" spans="1:24" ht="16.5" customHeight="1">
      <c r="A135" s="301"/>
      <c r="B135" s="387"/>
      <c r="C135" s="371"/>
      <c r="D135" s="372" t="str">
        <f>IFERROR(INDEX('[11]Equipment List'!$B$2:$B$2038,MATCH(E135,'[11]Equipment List'!$A$2:$A$2038,0)),"")</f>
        <v/>
      </c>
      <c r="E135" s="388"/>
      <c r="F135" s="374"/>
      <c r="G135" s="375"/>
      <c r="H135" s="397"/>
      <c r="I135" s="377"/>
      <c r="J135" s="378"/>
      <c r="K135" s="379"/>
      <c r="L135" s="387"/>
      <c r="M135" s="380" t="str">
        <f t="array" ref="M135">IF(L135="","",(MAX(IF(AN$15:AN$144=B135,AO$15:AO$144))/60))</f>
        <v/>
      </c>
      <c r="N135" s="387"/>
      <c r="O135" s="387"/>
      <c r="P135" s="381" t="str">
        <f t="shared" si="4"/>
        <v/>
      </c>
      <c r="Q135" s="382" t="str">
        <f t="array" ref="Q135">IFERROR(INDEX($D$13:$D$1000,MATCH(0,COUNTIF($Q$12:Q134,$D$13:$D$1000&amp;"")+IF($D$13:$D$1000="",1,0),0)),"")</f>
        <v/>
      </c>
      <c r="R135" s="356" t="str">
        <f t="shared" si="5"/>
        <v/>
      </c>
      <c r="S135" s="383" t="str">
        <f t="shared" si="7"/>
        <v/>
      </c>
      <c r="T135" s="384" t="str">
        <f t="shared" si="6"/>
        <v/>
      </c>
      <c r="U135" s="349"/>
      <c r="V135" s="385"/>
      <c r="W135" s="385"/>
      <c r="X135" s="386"/>
    </row>
    <row r="136" spans="1:24" ht="16.5" customHeight="1">
      <c r="A136" s="301"/>
      <c r="B136" s="395"/>
      <c r="C136" s="371"/>
      <c r="D136" s="372" t="str">
        <f>IFERROR(INDEX('[11]Equipment List'!$B$2:$B$2038,MATCH(E136,'[11]Equipment List'!$A$2:$A$2038,0)),"")</f>
        <v/>
      </c>
      <c r="E136" s="388"/>
      <c r="F136" s="374"/>
      <c r="G136" s="375"/>
      <c r="H136" s="397"/>
      <c r="I136" s="377"/>
      <c r="J136" s="378"/>
      <c r="K136" s="379"/>
      <c r="L136" s="387"/>
      <c r="M136" s="380" t="str">
        <f t="array" ref="M136">IF(L136="","",(MAX(IF(AN$15:AN$144=B136,AO$15:AO$144))/60))</f>
        <v/>
      </c>
      <c r="N136" s="387"/>
      <c r="O136" s="387"/>
      <c r="P136" s="381" t="str">
        <f t="shared" si="4"/>
        <v/>
      </c>
      <c r="Q136" s="382" t="str">
        <f t="array" ref="Q136">IFERROR(INDEX($D$13:$D$1000,MATCH(0,COUNTIF($Q$12:Q135,$D$13:$D$1000&amp;"")+IF($D$13:$D$1000="",1,0),0)),"")</f>
        <v/>
      </c>
      <c r="R136" s="356" t="str">
        <f t="shared" si="5"/>
        <v/>
      </c>
      <c r="S136" s="383" t="str">
        <f t="shared" si="7"/>
        <v/>
      </c>
      <c r="T136" s="384" t="str">
        <f t="shared" si="6"/>
        <v/>
      </c>
      <c r="U136" s="349"/>
      <c r="V136" s="385"/>
      <c r="W136" s="385"/>
      <c r="X136" s="386"/>
    </row>
    <row r="137" spans="1:24" ht="16.5" customHeight="1">
      <c r="A137" s="301"/>
      <c r="B137" s="387"/>
      <c r="C137" s="371"/>
      <c r="D137" s="372" t="str">
        <f>IFERROR(INDEX('[11]Equipment List'!$B$2:$B$2038,MATCH(E137,'[11]Equipment List'!$A$2:$A$2038,0)),"")</f>
        <v/>
      </c>
      <c r="E137" s="388"/>
      <c r="F137" s="374"/>
      <c r="G137" s="375"/>
      <c r="H137" s="397"/>
      <c r="I137" s="377"/>
      <c r="J137" s="378"/>
      <c r="K137" s="379"/>
      <c r="L137" s="387"/>
      <c r="M137" s="380" t="str">
        <f t="array" ref="M137">IF(L137="","",(MAX(IF(AN$15:AN$144=B137,AO$15:AO$144))/60))</f>
        <v/>
      </c>
      <c r="N137" s="387"/>
      <c r="O137" s="387"/>
      <c r="P137" s="381" t="str">
        <f t="shared" si="4"/>
        <v/>
      </c>
      <c r="Q137" s="382" t="str">
        <f t="array" ref="Q137">IFERROR(INDEX($D$13:$D$1000,MATCH(0,COUNTIF($Q$12:Q136,$D$13:$D$1000&amp;"")+IF($D$13:$D$1000="",1,0),0)),"")</f>
        <v/>
      </c>
      <c r="R137" s="356" t="str">
        <f t="shared" si="5"/>
        <v/>
      </c>
      <c r="S137" s="383" t="str">
        <f t="shared" si="7"/>
        <v/>
      </c>
      <c r="T137" s="384" t="str">
        <f t="shared" si="6"/>
        <v/>
      </c>
      <c r="U137" s="349"/>
      <c r="V137" s="385"/>
      <c r="W137" s="385"/>
      <c r="X137" s="386"/>
    </row>
    <row r="138" spans="1:24" ht="16.5" customHeight="1">
      <c r="A138" s="301"/>
      <c r="B138" s="395"/>
      <c r="C138" s="371"/>
      <c r="D138" s="372" t="str">
        <f>IFERROR(INDEX('[11]Equipment List'!$B$2:$B$2038,MATCH(E138,'[11]Equipment List'!$A$2:$A$2038,0)),"")</f>
        <v/>
      </c>
      <c r="E138" s="388"/>
      <c r="F138" s="374"/>
      <c r="G138" s="375"/>
      <c r="H138" s="397"/>
      <c r="I138" s="377"/>
      <c r="J138" s="378"/>
      <c r="K138" s="379"/>
      <c r="L138" s="387"/>
      <c r="M138" s="380" t="str">
        <f t="array" ref="M138">IF(L138="","",(MAX(IF(AN$15:AN$144=B138,AO$15:AO$144))/60))</f>
        <v/>
      </c>
      <c r="N138" s="387"/>
      <c r="O138" s="387"/>
      <c r="P138" s="381" t="str">
        <f t="shared" si="4"/>
        <v/>
      </c>
      <c r="Q138" s="382" t="str">
        <f t="array" ref="Q138">IFERROR(INDEX($D$13:$D$1000,MATCH(0,COUNTIF($Q$12:Q137,$D$13:$D$1000&amp;"")+IF($D$13:$D$1000="",1,0),0)),"")</f>
        <v/>
      </c>
      <c r="R138" s="356" t="str">
        <f t="shared" si="5"/>
        <v/>
      </c>
      <c r="S138" s="383" t="str">
        <f t="shared" si="7"/>
        <v/>
      </c>
      <c r="T138" s="384" t="str">
        <f t="shared" si="6"/>
        <v/>
      </c>
      <c r="U138" s="349"/>
      <c r="V138" s="385"/>
      <c r="W138" s="385"/>
      <c r="X138" s="386"/>
    </row>
    <row r="139" spans="1:24" ht="16.5" customHeight="1">
      <c r="A139" s="301"/>
      <c r="B139" s="387"/>
      <c r="C139" s="371"/>
      <c r="D139" s="372" t="str">
        <f>IFERROR(INDEX('[11]Equipment List'!$B$2:$B$2038,MATCH(E139,'[11]Equipment List'!$A$2:$A$2038,0)),"")</f>
        <v/>
      </c>
      <c r="E139" s="388"/>
      <c r="F139" s="374"/>
      <c r="G139" s="375"/>
      <c r="H139" s="397"/>
      <c r="I139" s="377"/>
      <c r="J139" s="378"/>
      <c r="K139" s="379"/>
      <c r="L139" s="387"/>
      <c r="M139" s="380" t="str">
        <f t="array" ref="M139">IF(L139="","",(MAX(IF(AN$15:AN$144=B139,AO$15:AO$144))/60))</f>
        <v/>
      </c>
      <c r="N139" s="387"/>
      <c r="O139" s="387"/>
      <c r="P139" s="381" t="str">
        <f t="shared" si="4"/>
        <v/>
      </c>
      <c r="Q139" s="382" t="str">
        <f t="array" ref="Q139">IFERROR(INDEX($D$13:$D$1000,MATCH(0,COUNTIF($Q$12:Q138,$D$13:$D$1000&amp;"")+IF($D$13:$D$1000="",1,0),0)),"")</f>
        <v/>
      </c>
      <c r="R139" s="356" t="str">
        <f t="shared" si="5"/>
        <v/>
      </c>
      <c r="S139" s="383" t="str">
        <f t="shared" si="7"/>
        <v/>
      </c>
      <c r="T139" s="384" t="str">
        <f t="shared" si="6"/>
        <v/>
      </c>
      <c r="U139" s="349"/>
      <c r="V139" s="385"/>
      <c r="W139" s="385"/>
      <c r="X139" s="386"/>
    </row>
    <row r="140" spans="1:24" ht="16.5" customHeight="1">
      <c r="A140" s="301"/>
      <c r="B140" s="395"/>
      <c r="C140" s="371"/>
      <c r="D140" s="372" t="str">
        <f>IFERROR(INDEX('[11]Equipment List'!$B$2:$B$2038,MATCH(E140,'[11]Equipment List'!$A$2:$A$2038,0)),"")</f>
        <v/>
      </c>
      <c r="E140" s="388"/>
      <c r="F140" s="374"/>
      <c r="G140" s="375"/>
      <c r="H140" s="397"/>
      <c r="I140" s="377"/>
      <c r="J140" s="378"/>
      <c r="K140" s="379"/>
      <c r="L140" s="387"/>
      <c r="M140" s="380" t="str">
        <f t="array" ref="M140">IF(L140="","",(MAX(IF(AN$15:AN$144=B140,AO$15:AO$144))/60))</f>
        <v/>
      </c>
      <c r="N140" s="387"/>
      <c r="O140" s="387"/>
      <c r="P140" s="381" t="str">
        <f t="shared" ref="P140:P203" si="8">IFERROR((((K140/5/250/$F$8)+(N140*$F$9))/$S$4)*(M140/60),"")</f>
        <v/>
      </c>
      <c r="Q140" s="382" t="str">
        <f t="array" ref="Q140">IFERROR(INDEX($D$13:$D$1000,MATCH(0,COUNTIF($Q$12:Q139,$D$13:$D$1000&amp;"")+IF($D$13:$D$1000="",1,0),0)),"")</f>
        <v/>
      </c>
      <c r="R140" s="356" t="str">
        <f t="shared" si="5"/>
        <v/>
      </c>
      <c r="S140" s="383" t="str">
        <f t="shared" si="7"/>
        <v/>
      </c>
      <c r="T140" s="384" t="str">
        <f t="shared" si="6"/>
        <v/>
      </c>
      <c r="U140" s="349"/>
      <c r="V140" s="385"/>
      <c r="W140" s="385"/>
      <c r="X140" s="386"/>
    </row>
    <row r="141" spans="1:24" ht="16.5" customHeight="1">
      <c r="A141" s="301"/>
      <c r="B141" s="387"/>
      <c r="C141" s="371"/>
      <c r="D141" s="372" t="str">
        <f>IFERROR(INDEX('[11]Equipment List'!$B$2:$B$2038,MATCH(E141,'[11]Equipment List'!$A$2:$A$2038,0)),"")</f>
        <v/>
      </c>
      <c r="E141" s="388"/>
      <c r="F141" s="374"/>
      <c r="G141" s="375"/>
      <c r="H141" s="397"/>
      <c r="I141" s="377"/>
      <c r="J141" s="378"/>
      <c r="K141" s="379"/>
      <c r="L141" s="387"/>
      <c r="M141" s="380" t="str">
        <f t="array" ref="M141">IF(L141="","",(MAX(IF(AN$15:AN$144=B141,AO$15:AO$144))/60))</f>
        <v/>
      </c>
      <c r="N141" s="387"/>
      <c r="O141" s="387"/>
      <c r="P141" s="381" t="str">
        <f t="shared" si="8"/>
        <v/>
      </c>
      <c r="Q141" s="382" t="str">
        <f t="array" ref="Q141">IFERROR(INDEX($D$13:$D$1000,MATCH(0,COUNTIF($Q$12:Q140,$D$13:$D$1000&amp;"")+IF($D$13:$D$1000="",1,0),0)),"")</f>
        <v/>
      </c>
      <c r="R141" s="356" t="str">
        <f t="shared" ref="R141:R204" si="9">IF(Q141="","",COUNTIF($D$13:$D$1000,$Q141))</f>
        <v/>
      </c>
      <c r="S141" s="383" t="str">
        <f t="shared" si="7"/>
        <v/>
      </c>
      <c r="T141" s="384" t="str">
        <f t="shared" ref="T141:T204" si="10">IF($Q141="","",SUMIF($D$13:$D$1000,$Q141,N$13:N$1000))</f>
        <v/>
      </c>
      <c r="U141" s="349"/>
      <c r="V141" s="385"/>
      <c r="W141" s="385"/>
      <c r="X141" s="386"/>
    </row>
    <row r="142" spans="1:24" ht="16.5" customHeight="1">
      <c r="A142" s="301"/>
      <c r="B142" s="395"/>
      <c r="C142" s="371"/>
      <c r="D142" s="372" t="str">
        <f>IFERROR(INDEX('[11]Equipment List'!$B$2:$B$2038,MATCH(E142,'[11]Equipment List'!$A$2:$A$2038,0)),"")</f>
        <v/>
      </c>
      <c r="E142" s="388"/>
      <c r="F142" s="374"/>
      <c r="G142" s="375"/>
      <c r="H142" s="397"/>
      <c r="I142" s="377"/>
      <c r="J142" s="378"/>
      <c r="K142" s="379"/>
      <c r="L142" s="387"/>
      <c r="M142" s="380" t="str">
        <f t="array" ref="M142">IF(L142="","",(MAX(IF(AN$15:AN$144=B142,AO$15:AO$144))/60))</f>
        <v/>
      </c>
      <c r="N142" s="387"/>
      <c r="O142" s="387"/>
      <c r="P142" s="381" t="str">
        <f t="shared" si="8"/>
        <v/>
      </c>
      <c r="Q142" s="382" t="str">
        <f t="array" ref="Q142">IFERROR(INDEX($D$13:$D$1000,MATCH(0,COUNTIF($Q$12:Q141,$D$13:$D$1000&amp;"")+IF($D$13:$D$1000="",1,0),0)),"")</f>
        <v/>
      </c>
      <c r="R142" s="356" t="str">
        <f t="shared" si="9"/>
        <v/>
      </c>
      <c r="S142" s="383" t="str">
        <f t="shared" ref="S142:S205" si="11">IF($Q142="","",SUMIF($D$13:$D$1000,$Q142,K$13:K$1000))</f>
        <v/>
      </c>
      <c r="T142" s="384" t="str">
        <f t="shared" si="10"/>
        <v/>
      </c>
      <c r="U142" s="349"/>
      <c r="V142" s="385"/>
      <c r="W142" s="385"/>
      <c r="X142" s="386"/>
    </row>
    <row r="143" spans="1:24" ht="16.5" customHeight="1">
      <c r="A143" s="301"/>
      <c r="B143" s="387"/>
      <c r="C143" s="371"/>
      <c r="D143" s="372" t="str">
        <f>IFERROR(INDEX('[11]Equipment List'!$B$2:$B$2038,MATCH(E143,'[11]Equipment List'!$A$2:$A$2038,0)),"")</f>
        <v/>
      </c>
      <c r="E143" s="388"/>
      <c r="F143" s="374"/>
      <c r="G143" s="375"/>
      <c r="H143" s="397"/>
      <c r="I143" s="377"/>
      <c r="J143" s="378"/>
      <c r="K143" s="379"/>
      <c r="L143" s="387"/>
      <c r="M143" s="380" t="str">
        <f t="array" ref="M143">IF(L143="","",(MAX(IF(AN$15:AN$144=B143,AO$15:AO$144))/60))</f>
        <v/>
      </c>
      <c r="N143" s="387"/>
      <c r="O143" s="387"/>
      <c r="P143" s="381" t="str">
        <f t="shared" si="8"/>
        <v/>
      </c>
      <c r="Q143" s="382" t="str">
        <f t="array" ref="Q143">IFERROR(INDEX($D$13:$D$1000,MATCH(0,COUNTIF($Q$12:Q142,$D$13:$D$1000&amp;"")+IF($D$13:$D$1000="",1,0),0)),"")</f>
        <v/>
      </c>
      <c r="R143" s="356" t="str">
        <f t="shared" si="9"/>
        <v/>
      </c>
      <c r="S143" s="383" t="str">
        <f t="shared" si="11"/>
        <v/>
      </c>
      <c r="T143" s="384" t="str">
        <f t="shared" si="10"/>
        <v/>
      </c>
      <c r="U143" s="349"/>
      <c r="V143" s="385"/>
      <c r="W143" s="385"/>
      <c r="X143" s="386"/>
    </row>
    <row r="144" spans="1:24" ht="16.5" customHeight="1">
      <c r="A144" s="301"/>
      <c r="B144" s="395"/>
      <c r="C144" s="371"/>
      <c r="D144" s="372" t="str">
        <f>IFERROR(INDEX('[11]Equipment List'!$B$2:$B$2038,MATCH(E144,'[11]Equipment List'!$A$2:$A$2038,0)),"")</f>
        <v/>
      </c>
      <c r="E144" s="388"/>
      <c r="F144" s="374"/>
      <c r="G144" s="375"/>
      <c r="H144" s="397"/>
      <c r="I144" s="377"/>
      <c r="J144" s="378"/>
      <c r="K144" s="379"/>
      <c r="L144" s="387"/>
      <c r="M144" s="380" t="str">
        <f t="array" ref="M144">IF(L144="","",(MAX(IF(AN$15:AN$144=B144,AO$15:AO$144))/60))</f>
        <v/>
      </c>
      <c r="N144" s="387"/>
      <c r="O144" s="387"/>
      <c r="P144" s="381" t="str">
        <f t="shared" si="8"/>
        <v/>
      </c>
      <c r="Q144" s="382" t="str">
        <f t="array" ref="Q144">IFERROR(INDEX($D$13:$D$1000,MATCH(0,COUNTIF($Q$12:Q143,$D$13:$D$1000&amp;"")+IF($D$13:$D$1000="",1,0),0)),"")</f>
        <v/>
      </c>
      <c r="R144" s="356" t="str">
        <f t="shared" si="9"/>
        <v/>
      </c>
      <c r="S144" s="383" t="str">
        <f t="shared" si="11"/>
        <v/>
      </c>
      <c r="T144" s="384" t="str">
        <f t="shared" si="10"/>
        <v/>
      </c>
      <c r="U144" s="349"/>
      <c r="V144" s="385"/>
      <c r="W144" s="385"/>
      <c r="X144" s="386"/>
    </row>
    <row r="145" spans="1:24" ht="16.5" customHeight="1">
      <c r="A145" s="301"/>
      <c r="B145" s="387"/>
      <c r="C145" s="371"/>
      <c r="D145" s="372" t="str">
        <f>IFERROR(INDEX('[11]Equipment List'!$B$2:$B$2038,MATCH(E145,'[11]Equipment List'!$A$2:$A$2038,0)),"")</f>
        <v/>
      </c>
      <c r="E145" s="388"/>
      <c r="F145" s="374"/>
      <c r="G145" s="375"/>
      <c r="H145" s="397"/>
      <c r="I145" s="377"/>
      <c r="J145" s="378"/>
      <c r="K145" s="379"/>
      <c r="L145" s="387"/>
      <c r="M145" s="380" t="str">
        <f t="array" ref="M145">IF(L145="","",(MAX(IF(AN$15:AN$144=B145,AO$15:AO$144))/60))</f>
        <v/>
      </c>
      <c r="N145" s="387"/>
      <c r="O145" s="387"/>
      <c r="P145" s="381" t="str">
        <f t="shared" si="8"/>
        <v/>
      </c>
      <c r="Q145" s="382" t="str">
        <f t="array" ref="Q145">IFERROR(INDEX($D$13:$D$1000,MATCH(0,COUNTIF($Q$12:Q144,$D$13:$D$1000&amp;"")+IF($D$13:$D$1000="",1,0),0)),"")</f>
        <v/>
      </c>
      <c r="R145" s="356" t="str">
        <f t="shared" si="9"/>
        <v/>
      </c>
      <c r="S145" s="383" t="str">
        <f t="shared" si="11"/>
        <v/>
      </c>
      <c r="T145" s="384" t="str">
        <f t="shared" si="10"/>
        <v/>
      </c>
      <c r="U145" s="349"/>
      <c r="V145" s="385"/>
      <c r="W145" s="385"/>
      <c r="X145" s="386"/>
    </row>
    <row r="146" spans="1:24" ht="16.5" customHeight="1">
      <c r="A146" s="301"/>
      <c r="B146" s="395"/>
      <c r="C146" s="371"/>
      <c r="D146" s="372" t="str">
        <f>IFERROR(INDEX('[11]Equipment List'!$B$2:$B$2038,MATCH(E146,'[11]Equipment List'!$A$2:$A$2038,0)),"")</f>
        <v/>
      </c>
      <c r="E146" s="388"/>
      <c r="F146" s="374"/>
      <c r="G146" s="375"/>
      <c r="H146" s="397"/>
      <c r="I146" s="377"/>
      <c r="J146" s="378"/>
      <c r="K146" s="379"/>
      <c r="L146" s="387"/>
      <c r="M146" s="380" t="str">
        <f t="array" ref="M146">IF(L146="","",(MAX(IF(AN$15:AN$144=B146,AO$15:AO$144))/60))</f>
        <v/>
      </c>
      <c r="N146" s="387"/>
      <c r="O146" s="387"/>
      <c r="P146" s="381" t="str">
        <f t="shared" si="8"/>
        <v/>
      </c>
      <c r="Q146" s="382" t="str">
        <f t="array" ref="Q146">IFERROR(INDEX($D$13:$D$1000,MATCH(0,COUNTIF($Q$12:Q145,$D$13:$D$1000&amp;"")+IF($D$13:$D$1000="",1,0),0)),"")</f>
        <v/>
      </c>
      <c r="R146" s="356" t="str">
        <f t="shared" si="9"/>
        <v/>
      </c>
      <c r="S146" s="383" t="str">
        <f t="shared" si="11"/>
        <v/>
      </c>
      <c r="T146" s="384" t="str">
        <f t="shared" si="10"/>
        <v/>
      </c>
      <c r="U146" s="349"/>
      <c r="V146" s="385"/>
      <c r="W146" s="385"/>
      <c r="X146" s="386"/>
    </row>
    <row r="147" spans="1:24" ht="16.5" customHeight="1">
      <c r="A147" s="301"/>
      <c r="B147" s="387"/>
      <c r="C147" s="371"/>
      <c r="D147" s="372" t="str">
        <f>IFERROR(INDEX('[11]Equipment List'!$B$2:$B$2038,MATCH(E147,'[11]Equipment List'!$A$2:$A$2038,0)),"")</f>
        <v/>
      </c>
      <c r="E147" s="388"/>
      <c r="F147" s="374"/>
      <c r="G147" s="375"/>
      <c r="H147" s="397"/>
      <c r="I147" s="377"/>
      <c r="J147" s="378"/>
      <c r="K147" s="379"/>
      <c r="L147" s="387"/>
      <c r="M147" s="380" t="str">
        <f t="array" ref="M147">IF(L147="","",(MAX(IF(AN$15:AN$144=B147,AO$15:AO$144))/60))</f>
        <v/>
      </c>
      <c r="N147" s="387"/>
      <c r="O147" s="387"/>
      <c r="P147" s="381" t="str">
        <f t="shared" si="8"/>
        <v/>
      </c>
      <c r="Q147" s="382" t="str">
        <f t="array" ref="Q147">IFERROR(INDEX($D$13:$D$1000,MATCH(0,COUNTIF($Q$12:Q146,$D$13:$D$1000&amp;"")+IF($D$13:$D$1000="",1,0),0)),"")</f>
        <v/>
      </c>
      <c r="R147" s="356" t="str">
        <f t="shared" si="9"/>
        <v/>
      </c>
      <c r="S147" s="383" t="str">
        <f t="shared" si="11"/>
        <v/>
      </c>
      <c r="T147" s="384" t="str">
        <f t="shared" si="10"/>
        <v/>
      </c>
      <c r="U147" s="349"/>
      <c r="V147" s="385"/>
      <c r="W147" s="385"/>
      <c r="X147" s="386"/>
    </row>
    <row r="148" spans="1:24" ht="16.5" customHeight="1">
      <c r="A148" s="301"/>
      <c r="B148" s="395"/>
      <c r="C148" s="371"/>
      <c r="D148" s="372" t="str">
        <f>IFERROR(INDEX('[11]Equipment List'!$B$2:$B$2038,MATCH(E148,'[11]Equipment List'!$A$2:$A$2038,0)),"")</f>
        <v/>
      </c>
      <c r="E148" s="388"/>
      <c r="F148" s="374"/>
      <c r="G148" s="375"/>
      <c r="H148" s="397"/>
      <c r="I148" s="377"/>
      <c r="J148" s="378"/>
      <c r="K148" s="379"/>
      <c r="L148" s="387"/>
      <c r="M148" s="380" t="str">
        <f t="array" ref="M148">IF(L148="","",(MAX(IF(AN$15:AN$144=B148,AO$15:AO$144))/60))</f>
        <v/>
      </c>
      <c r="N148" s="387"/>
      <c r="O148" s="387"/>
      <c r="P148" s="381" t="str">
        <f t="shared" si="8"/>
        <v/>
      </c>
      <c r="Q148" s="382" t="str">
        <f t="array" ref="Q148">IFERROR(INDEX($D$13:$D$1000,MATCH(0,COUNTIF($Q$12:Q147,$D$13:$D$1000&amp;"")+IF($D$13:$D$1000="",1,0),0)),"")</f>
        <v/>
      </c>
      <c r="R148" s="356" t="str">
        <f t="shared" si="9"/>
        <v/>
      </c>
      <c r="S148" s="383" t="str">
        <f t="shared" si="11"/>
        <v/>
      </c>
      <c r="T148" s="384" t="str">
        <f t="shared" si="10"/>
        <v/>
      </c>
      <c r="U148" s="349"/>
      <c r="V148" s="385"/>
      <c r="W148" s="385"/>
      <c r="X148" s="386"/>
    </row>
    <row r="149" spans="1:24" ht="16.5" customHeight="1">
      <c r="A149" s="301"/>
      <c r="B149" s="387"/>
      <c r="C149" s="371"/>
      <c r="D149" s="372" t="str">
        <f>IFERROR(INDEX('[11]Equipment List'!$B$2:$B$2038,MATCH(E149,'[11]Equipment List'!$A$2:$A$2038,0)),"")</f>
        <v/>
      </c>
      <c r="E149" s="388"/>
      <c r="F149" s="374"/>
      <c r="G149" s="375"/>
      <c r="H149" s="397"/>
      <c r="I149" s="377"/>
      <c r="J149" s="378"/>
      <c r="K149" s="379"/>
      <c r="L149" s="387"/>
      <c r="M149" s="380" t="str">
        <f t="array" ref="M149">IF(L149="","",(MAX(IF(AN$15:AN$144=B149,AO$15:AO$144))/60))</f>
        <v/>
      </c>
      <c r="N149" s="387"/>
      <c r="O149" s="387"/>
      <c r="P149" s="381" t="str">
        <f t="shared" si="8"/>
        <v/>
      </c>
      <c r="Q149" s="382" t="str">
        <f t="array" ref="Q149">IFERROR(INDEX($D$13:$D$1000,MATCH(0,COUNTIF($Q$12:Q148,$D$13:$D$1000&amp;"")+IF($D$13:$D$1000="",1,0),0)),"")</f>
        <v/>
      </c>
      <c r="R149" s="356" t="str">
        <f t="shared" si="9"/>
        <v/>
      </c>
      <c r="S149" s="383" t="str">
        <f t="shared" si="11"/>
        <v/>
      </c>
      <c r="T149" s="384" t="str">
        <f t="shared" si="10"/>
        <v/>
      </c>
      <c r="U149" s="349"/>
      <c r="V149" s="385"/>
      <c r="W149" s="385"/>
      <c r="X149" s="386"/>
    </row>
    <row r="150" spans="1:24" ht="16.5" customHeight="1">
      <c r="A150" s="301"/>
      <c r="B150" s="395"/>
      <c r="C150" s="371"/>
      <c r="D150" s="372" t="str">
        <f>IFERROR(INDEX('[11]Equipment List'!$B$2:$B$2038,MATCH(E150,'[11]Equipment List'!$A$2:$A$2038,0)),"")</f>
        <v/>
      </c>
      <c r="E150" s="388"/>
      <c r="F150" s="374"/>
      <c r="G150" s="375"/>
      <c r="H150" s="397"/>
      <c r="I150" s="377"/>
      <c r="J150" s="378"/>
      <c r="K150" s="379"/>
      <c r="L150" s="387"/>
      <c r="M150" s="380" t="str">
        <f t="array" ref="M150">IF(L150="","",(MAX(IF(AN$15:AN$144=B150,AO$15:AO$144))/60))</f>
        <v/>
      </c>
      <c r="N150" s="387"/>
      <c r="O150" s="387"/>
      <c r="P150" s="381" t="str">
        <f t="shared" si="8"/>
        <v/>
      </c>
      <c r="Q150" s="382" t="str">
        <f t="array" ref="Q150">IFERROR(INDEX($D$13:$D$1000,MATCH(0,COUNTIF($Q$12:Q149,$D$13:$D$1000&amp;"")+IF($D$13:$D$1000="",1,0),0)),"")</f>
        <v/>
      </c>
      <c r="R150" s="356" t="str">
        <f t="shared" si="9"/>
        <v/>
      </c>
      <c r="S150" s="383" t="str">
        <f t="shared" si="11"/>
        <v/>
      </c>
      <c r="T150" s="384" t="str">
        <f t="shared" si="10"/>
        <v/>
      </c>
      <c r="U150" s="349"/>
      <c r="V150" s="385"/>
      <c r="W150" s="385"/>
      <c r="X150" s="386"/>
    </row>
    <row r="151" spans="1:24" ht="16.5" customHeight="1">
      <c r="A151" s="301"/>
      <c r="B151" s="387"/>
      <c r="C151" s="371"/>
      <c r="D151" s="372" t="str">
        <f>IFERROR(INDEX('[11]Equipment List'!$B$2:$B$2038,MATCH(E151,'[11]Equipment List'!$A$2:$A$2038,0)),"")</f>
        <v/>
      </c>
      <c r="E151" s="388"/>
      <c r="F151" s="374"/>
      <c r="G151" s="375"/>
      <c r="H151" s="397"/>
      <c r="I151" s="377"/>
      <c r="J151" s="378"/>
      <c r="K151" s="379"/>
      <c r="L151" s="387"/>
      <c r="M151" s="380" t="str">
        <f t="array" ref="M151">IF(L151="","",(MAX(IF(AN$15:AN$144=B151,AO$15:AO$144))/60))</f>
        <v/>
      </c>
      <c r="N151" s="387"/>
      <c r="O151" s="387"/>
      <c r="P151" s="381" t="str">
        <f t="shared" si="8"/>
        <v/>
      </c>
      <c r="Q151" s="382" t="str">
        <f t="array" ref="Q151">IFERROR(INDEX($D$13:$D$1000,MATCH(0,COUNTIF($Q$12:Q150,$D$13:$D$1000&amp;"")+IF($D$13:$D$1000="",1,0),0)),"")</f>
        <v/>
      </c>
      <c r="R151" s="356" t="str">
        <f t="shared" si="9"/>
        <v/>
      </c>
      <c r="S151" s="383" t="str">
        <f t="shared" si="11"/>
        <v/>
      </c>
      <c r="T151" s="384" t="str">
        <f t="shared" si="10"/>
        <v/>
      </c>
      <c r="U151" s="349"/>
      <c r="V151" s="385"/>
      <c r="W151" s="385"/>
      <c r="X151" s="386"/>
    </row>
    <row r="152" spans="1:24" ht="16.5" customHeight="1">
      <c r="A152" s="301"/>
      <c r="B152" s="395"/>
      <c r="C152" s="371"/>
      <c r="D152" s="372" t="str">
        <f>IFERROR(INDEX('[11]Equipment List'!$B$2:$B$2038,MATCH(E152,'[11]Equipment List'!$A$2:$A$2038,0)),"")</f>
        <v/>
      </c>
      <c r="E152" s="388"/>
      <c r="F152" s="374"/>
      <c r="G152" s="375"/>
      <c r="H152" s="397"/>
      <c r="I152" s="377"/>
      <c r="J152" s="378"/>
      <c r="K152" s="379"/>
      <c r="L152" s="387"/>
      <c r="M152" s="380" t="str">
        <f t="array" ref="M152">IF(L152="","",(MAX(IF(AN$15:AN$144=B152,AO$15:AO$144))/60))</f>
        <v/>
      </c>
      <c r="N152" s="387"/>
      <c r="O152" s="387"/>
      <c r="P152" s="381" t="str">
        <f t="shared" si="8"/>
        <v/>
      </c>
      <c r="Q152" s="382" t="str">
        <f t="array" ref="Q152">IFERROR(INDEX($D$13:$D$1000,MATCH(0,COUNTIF($Q$12:Q151,$D$13:$D$1000&amp;"")+IF($D$13:$D$1000="",1,0),0)),"")</f>
        <v/>
      </c>
      <c r="R152" s="356" t="str">
        <f t="shared" si="9"/>
        <v/>
      </c>
      <c r="S152" s="383" t="str">
        <f t="shared" si="11"/>
        <v/>
      </c>
      <c r="T152" s="384" t="str">
        <f t="shared" si="10"/>
        <v/>
      </c>
      <c r="U152" s="349"/>
      <c r="V152" s="385"/>
      <c r="W152" s="385"/>
      <c r="X152" s="386"/>
    </row>
    <row r="153" spans="1:24" ht="16.5" customHeight="1">
      <c r="A153" s="301"/>
      <c r="B153" s="387"/>
      <c r="C153" s="371"/>
      <c r="D153" s="372" t="str">
        <f>IFERROR(INDEX('[11]Equipment List'!$B$2:$B$2038,MATCH(E153,'[11]Equipment List'!$A$2:$A$2038,0)),"")</f>
        <v/>
      </c>
      <c r="E153" s="388"/>
      <c r="F153" s="374"/>
      <c r="G153" s="375"/>
      <c r="H153" s="397"/>
      <c r="I153" s="377"/>
      <c r="J153" s="378"/>
      <c r="K153" s="379"/>
      <c r="L153" s="387"/>
      <c r="M153" s="380" t="str">
        <f t="array" ref="M153">IF(L153="","",(MAX(IF(AN$15:AN$144=B153,AO$15:AO$144))/60))</f>
        <v/>
      </c>
      <c r="N153" s="387"/>
      <c r="O153" s="387"/>
      <c r="P153" s="381" t="str">
        <f t="shared" si="8"/>
        <v/>
      </c>
      <c r="Q153" s="382" t="str">
        <f t="array" ref="Q153">IFERROR(INDEX($D$13:$D$1000,MATCH(0,COUNTIF($Q$12:Q152,$D$13:$D$1000&amp;"")+IF($D$13:$D$1000="",1,0),0)),"")</f>
        <v/>
      </c>
      <c r="R153" s="356" t="str">
        <f t="shared" si="9"/>
        <v/>
      </c>
      <c r="S153" s="383" t="str">
        <f t="shared" si="11"/>
        <v/>
      </c>
      <c r="T153" s="384" t="str">
        <f t="shared" si="10"/>
        <v/>
      </c>
      <c r="U153" s="349"/>
      <c r="V153" s="385"/>
      <c r="W153" s="385"/>
      <c r="X153" s="386"/>
    </row>
    <row r="154" spans="1:24" ht="16.5" customHeight="1">
      <c r="A154" s="301"/>
      <c r="B154" s="395"/>
      <c r="C154" s="371"/>
      <c r="D154" s="372" t="str">
        <f>IFERROR(INDEX('[11]Equipment List'!$B$2:$B$2038,MATCH(E154,'[11]Equipment List'!$A$2:$A$2038,0)),"")</f>
        <v/>
      </c>
      <c r="E154" s="388"/>
      <c r="F154" s="374"/>
      <c r="G154" s="375"/>
      <c r="H154" s="397"/>
      <c r="I154" s="377"/>
      <c r="J154" s="378"/>
      <c r="K154" s="379"/>
      <c r="L154" s="387"/>
      <c r="M154" s="380" t="str">
        <f t="array" ref="M154">IF(L154="","",(MAX(IF(AN$15:AN$144=B154,AO$15:AO$144))/60))</f>
        <v/>
      </c>
      <c r="N154" s="387"/>
      <c r="O154" s="387"/>
      <c r="P154" s="381" t="str">
        <f t="shared" si="8"/>
        <v/>
      </c>
      <c r="Q154" s="382" t="str">
        <f t="array" ref="Q154">IFERROR(INDEX($D$13:$D$1000,MATCH(0,COUNTIF($Q$12:Q153,$D$13:$D$1000&amp;"")+IF($D$13:$D$1000="",1,0),0)),"")</f>
        <v/>
      </c>
      <c r="R154" s="356" t="str">
        <f t="shared" si="9"/>
        <v/>
      </c>
      <c r="S154" s="383" t="str">
        <f t="shared" si="11"/>
        <v/>
      </c>
      <c r="T154" s="384" t="str">
        <f t="shared" si="10"/>
        <v/>
      </c>
      <c r="U154" s="349"/>
      <c r="V154" s="385"/>
      <c r="W154" s="385"/>
      <c r="X154" s="386"/>
    </row>
    <row r="155" spans="1:24" ht="16.5" customHeight="1">
      <c r="A155" s="301"/>
      <c r="B155" s="387"/>
      <c r="C155" s="371"/>
      <c r="D155" s="372" t="str">
        <f>IFERROR(INDEX('[11]Equipment List'!$B$2:$B$2038,MATCH(E155,'[11]Equipment List'!$A$2:$A$2038,0)),"")</f>
        <v/>
      </c>
      <c r="E155" s="388"/>
      <c r="F155" s="374"/>
      <c r="G155" s="375"/>
      <c r="H155" s="397"/>
      <c r="I155" s="377"/>
      <c r="J155" s="378"/>
      <c r="K155" s="379"/>
      <c r="L155" s="387"/>
      <c r="M155" s="380" t="str">
        <f t="array" ref="M155">IF(L155="","",(MAX(IF(AN$15:AN$144=B155,AO$15:AO$144))/60))</f>
        <v/>
      </c>
      <c r="N155" s="387"/>
      <c r="O155" s="387"/>
      <c r="P155" s="381" t="str">
        <f t="shared" si="8"/>
        <v/>
      </c>
      <c r="Q155" s="382" t="str">
        <f t="array" ref="Q155">IFERROR(INDEX($D$13:$D$1000,MATCH(0,COUNTIF($Q$12:Q154,$D$13:$D$1000&amp;"")+IF($D$13:$D$1000="",1,0),0)),"")</f>
        <v/>
      </c>
      <c r="R155" s="356" t="str">
        <f t="shared" si="9"/>
        <v/>
      </c>
      <c r="S155" s="383" t="str">
        <f t="shared" si="11"/>
        <v/>
      </c>
      <c r="T155" s="384" t="str">
        <f t="shared" si="10"/>
        <v/>
      </c>
      <c r="U155" s="349"/>
      <c r="V155" s="385"/>
      <c r="W155" s="385"/>
      <c r="X155" s="386"/>
    </row>
    <row r="156" spans="1:24" ht="16.5" customHeight="1">
      <c r="A156" s="301"/>
      <c r="B156" s="395"/>
      <c r="C156" s="371"/>
      <c r="D156" s="372" t="str">
        <f>IFERROR(INDEX('[11]Equipment List'!$B$2:$B$2038,MATCH(E156,'[11]Equipment List'!$A$2:$A$2038,0)),"")</f>
        <v/>
      </c>
      <c r="E156" s="388"/>
      <c r="F156" s="374"/>
      <c r="G156" s="375"/>
      <c r="H156" s="397"/>
      <c r="I156" s="377"/>
      <c r="J156" s="378"/>
      <c r="K156" s="379"/>
      <c r="L156" s="387"/>
      <c r="M156" s="380" t="str">
        <f t="array" ref="M156">IF(L156="","",(MAX(IF(AN$15:AN$144=B156,AO$15:AO$144))/60))</f>
        <v/>
      </c>
      <c r="N156" s="387"/>
      <c r="O156" s="387"/>
      <c r="P156" s="381" t="str">
        <f t="shared" si="8"/>
        <v/>
      </c>
      <c r="Q156" s="382" t="str">
        <f t="array" ref="Q156">IFERROR(INDEX($D$13:$D$1000,MATCH(0,COUNTIF($Q$12:Q155,$D$13:$D$1000&amp;"")+IF($D$13:$D$1000="",1,0),0)),"")</f>
        <v/>
      </c>
      <c r="R156" s="356" t="str">
        <f t="shared" si="9"/>
        <v/>
      </c>
      <c r="S156" s="383" t="str">
        <f t="shared" si="11"/>
        <v/>
      </c>
      <c r="T156" s="384" t="str">
        <f t="shared" si="10"/>
        <v/>
      </c>
      <c r="U156" s="349"/>
      <c r="V156" s="385"/>
      <c r="W156" s="385"/>
      <c r="X156" s="386"/>
    </row>
    <row r="157" spans="1:24" ht="16.5" customHeight="1">
      <c r="A157" s="301"/>
      <c r="B157" s="387"/>
      <c r="C157" s="371"/>
      <c r="D157" s="372" t="str">
        <f>IFERROR(INDEX('[11]Equipment List'!$B$2:$B$2038,MATCH(E157,'[11]Equipment List'!$A$2:$A$2038,0)),"")</f>
        <v/>
      </c>
      <c r="E157" s="388"/>
      <c r="F157" s="374"/>
      <c r="G157" s="375"/>
      <c r="H157" s="397"/>
      <c r="I157" s="377"/>
      <c r="J157" s="378"/>
      <c r="K157" s="379"/>
      <c r="L157" s="387"/>
      <c r="M157" s="380" t="str">
        <f t="array" ref="M157">IF(L157="","",(MAX(IF(AN$15:AN$144=B157,AO$15:AO$144))/60))</f>
        <v/>
      </c>
      <c r="N157" s="387"/>
      <c r="O157" s="387"/>
      <c r="P157" s="381" t="str">
        <f t="shared" si="8"/>
        <v/>
      </c>
      <c r="Q157" s="382" t="str">
        <f t="array" ref="Q157">IFERROR(INDEX($D$13:$D$1000,MATCH(0,COUNTIF($Q$12:Q156,$D$13:$D$1000&amp;"")+IF($D$13:$D$1000="",1,0),0)),"")</f>
        <v/>
      </c>
      <c r="R157" s="356" t="str">
        <f t="shared" si="9"/>
        <v/>
      </c>
      <c r="S157" s="383" t="str">
        <f t="shared" si="11"/>
        <v/>
      </c>
      <c r="T157" s="384" t="str">
        <f t="shared" si="10"/>
        <v/>
      </c>
      <c r="U157" s="349"/>
      <c r="V157" s="385"/>
      <c r="W157" s="385"/>
      <c r="X157" s="386"/>
    </row>
    <row r="158" spans="1:24" ht="16.5" customHeight="1">
      <c r="A158" s="301"/>
      <c r="B158" s="395"/>
      <c r="C158" s="371"/>
      <c r="D158" s="372" t="str">
        <f>IFERROR(INDEX('[11]Equipment List'!$B$2:$B$2038,MATCH(E158,'[11]Equipment List'!$A$2:$A$2038,0)),"")</f>
        <v/>
      </c>
      <c r="E158" s="388"/>
      <c r="F158" s="374"/>
      <c r="G158" s="375"/>
      <c r="H158" s="397"/>
      <c r="I158" s="377"/>
      <c r="J158" s="378"/>
      <c r="K158" s="379"/>
      <c r="L158" s="387"/>
      <c r="M158" s="380" t="str">
        <f t="array" ref="M158">IF(L158="","",(MAX(IF(AN$15:AN$144=B158,AO$15:AO$144))/60))</f>
        <v/>
      </c>
      <c r="N158" s="387"/>
      <c r="O158" s="387"/>
      <c r="P158" s="381" t="str">
        <f t="shared" si="8"/>
        <v/>
      </c>
      <c r="Q158" s="382" t="str">
        <f t="array" ref="Q158">IFERROR(INDEX($D$13:$D$1000,MATCH(0,COUNTIF($Q$12:Q157,$D$13:$D$1000&amp;"")+IF($D$13:$D$1000="",1,0),0)),"")</f>
        <v/>
      </c>
      <c r="R158" s="356" t="str">
        <f t="shared" si="9"/>
        <v/>
      </c>
      <c r="S158" s="383" t="str">
        <f t="shared" si="11"/>
        <v/>
      </c>
      <c r="T158" s="384" t="str">
        <f t="shared" si="10"/>
        <v/>
      </c>
      <c r="U158" s="349"/>
      <c r="V158" s="385"/>
      <c r="W158" s="385"/>
      <c r="X158" s="386"/>
    </row>
    <row r="159" spans="1:24" ht="16.5" customHeight="1">
      <c r="A159" s="301"/>
      <c r="B159" s="387"/>
      <c r="C159" s="371"/>
      <c r="D159" s="372" t="str">
        <f>IFERROR(INDEX('[11]Equipment List'!$B$2:$B$2038,MATCH(E159,'[11]Equipment List'!$A$2:$A$2038,0)),"")</f>
        <v/>
      </c>
      <c r="E159" s="388"/>
      <c r="F159" s="374"/>
      <c r="G159" s="375"/>
      <c r="H159" s="397"/>
      <c r="I159" s="377"/>
      <c r="J159" s="378"/>
      <c r="K159" s="379"/>
      <c r="L159" s="387"/>
      <c r="M159" s="380" t="str">
        <f t="array" ref="M159">IF(L159="","",(MAX(IF(AN$15:AN$144=B159,AO$15:AO$144))/60))</f>
        <v/>
      </c>
      <c r="N159" s="387"/>
      <c r="O159" s="387"/>
      <c r="P159" s="381" t="str">
        <f t="shared" si="8"/>
        <v/>
      </c>
      <c r="Q159" s="382" t="str">
        <f t="array" ref="Q159">IFERROR(INDEX($D$13:$D$1000,MATCH(0,COUNTIF($Q$12:Q158,$D$13:$D$1000&amp;"")+IF($D$13:$D$1000="",1,0),0)),"")</f>
        <v/>
      </c>
      <c r="R159" s="356" t="str">
        <f t="shared" si="9"/>
        <v/>
      </c>
      <c r="S159" s="383" t="str">
        <f t="shared" si="11"/>
        <v/>
      </c>
      <c r="T159" s="384" t="str">
        <f t="shared" si="10"/>
        <v/>
      </c>
      <c r="U159" s="349"/>
      <c r="V159" s="385"/>
      <c r="W159" s="385"/>
      <c r="X159" s="386"/>
    </row>
    <row r="160" spans="1:24" ht="16.5" customHeight="1">
      <c r="A160" s="301"/>
      <c r="B160" s="395"/>
      <c r="C160" s="371"/>
      <c r="D160" s="372" t="str">
        <f>IFERROR(INDEX('[11]Equipment List'!$B$2:$B$2038,MATCH(E160,'[11]Equipment List'!$A$2:$A$2038,0)),"")</f>
        <v/>
      </c>
      <c r="E160" s="388"/>
      <c r="F160" s="374"/>
      <c r="G160" s="375"/>
      <c r="H160" s="397"/>
      <c r="I160" s="377"/>
      <c r="J160" s="378"/>
      <c r="K160" s="379"/>
      <c r="L160" s="387"/>
      <c r="M160" s="380" t="str">
        <f t="array" ref="M160">IF(L160="","",(MAX(IF(AN$15:AN$144=B160,AO$15:AO$144))/60))</f>
        <v/>
      </c>
      <c r="N160" s="387"/>
      <c r="O160" s="387"/>
      <c r="P160" s="381" t="str">
        <f t="shared" si="8"/>
        <v/>
      </c>
      <c r="Q160" s="382" t="str">
        <f t="array" ref="Q160">IFERROR(INDEX($D$13:$D$1000,MATCH(0,COUNTIF($Q$12:Q159,$D$13:$D$1000&amp;"")+IF($D$13:$D$1000="",1,0),0)),"")</f>
        <v/>
      </c>
      <c r="R160" s="356" t="str">
        <f t="shared" si="9"/>
        <v/>
      </c>
      <c r="S160" s="383" t="str">
        <f t="shared" si="11"/>
        <v/>
      </c>
      <c r="T160" s="384" t="str">
        <f t="shared" si="10"/>
        <v/>
      </c>
      <c r="U160" s="349"/>
      <c r="V160" s="385"/>
      <c r="W160" s="385"/>
      <c r="X160" s="386"/>
    </row>
    <row r="161" spans="1:24" ht="16.5" customHeight="1">
      <c r="A161" s="301"/>
      <c r="B161" s="387"/>
      <c r="C161" s="371"/>
      <c r="D161" s="372" t="str">
        <f>IFERROR(INDEX('[11]Equipment List'!$B$2:$B$2038,MATCH(E161,'[11]Equipment List'!$A$2:$A$2038,0)),"")</f>
        <v/>
      </c>
      <c r="E161" s="388"/>
      <c r="F161" s="374"/>
      <c r="G161" s="375"/>
      <c r="H161" s="397"/>
      <c r="I161" s="377"/>
      <c r="J161" s="378"/>
      <c r="K161" s="379"/>
      <c r="L161" s="387"/>
      <c r="M161" s="380" t="str">
        <f t="array" ref="M161">IF(L161="","",(MAX(IF(AN$15:AN$144=B161,AO$15:AO$144))/60))</f>
        <v/>
      </c>
      <c r="N161" s="387"/>
      <c r="O161" s="387"/>
      <c r="P161" s="381" t="str">
        <f t="shared" si="8"/>
        <v/>
      </c>
      <c r="Q161" s="382" t="str">
        <f t="array" ref="Q161">IFERROR(INDEX($D$13:$D$1000,MATCH(0,COUNTIF($Q$12:Q160,$D$13:$D$1000&amp;"")+IF($D$13:$D$1000="",1,0),0)),"")</f>
        <v/>
      </c>
      <c r="R161" s="356" t="str">
        <f t="shared" si="9"/>
        <v/>
      </c>
      <c r="S161" s="383" t="str">
        <f t="shared" si="11"/>
        <v/>
      </c>
      <c r="T161" s="384" t="str">
        <f t="shared" si="10"/>
        <v/>
      </c>
      <c r="U161" s="349"/>
      <c r="V161" s="385"/>
      <c r="W161" s="385"/>
      <c r="X161" s="386"/>
    </row>
    <row r="162" spans="1:24" ht="16.5" customHeight="1">
      <c r="A162" s="301"/>
      <c r="B162" s="395"/>
      <c r="C162" s="371"/>
      <c r="D162" s="372" t="str">
        <f>IFERROR(INDEX('[11]Equipment List'!$B$2:$B$2038,MATCH(E162,'[11]Equipment List'!$A$2:$A$2038,0)),"")</f>
        <v/>
      </c>
      <c r="E162" s="388"/>
      <c r="F162" s="374"/>
      <c r="G162" s="375"/>
      <c r="H162" s="397"/>
      <c r="I162" s="377"/>
      <c r="J162" s="378"/>
      <c r="K162" s="379"/>
      <c r="L162" s="387"/>
      <c r="M162" s="380" t="str">
        <f t="array" ref="M162">IF(L162="","",(MAX(IF(AN$15:AN$144=B162,AO$15:AO$144))/60))</f>
        <v/>
      </c>
      <c r="N162" s="387"/>
      <c r="O162" s="387"/>
      <c r="P162" s="381" t="str">
        <f t="shared" si="8"/>
        <v/>
      </c>
      <c r="Q162" s="382" t="str">
        <f t="array" ref="Q162">IFERROR(INDEX($D$13:$D$1000,MATCH(0,COUNTIF($Q$12:Q161,$D$13:$D$1000&amp;"")+IF($D$13:$D$1000="",1,0),0)),"")</f>
        <v/>
      </c>
      <c r="R162" s="356" t="str">
        <f t="shared" si="9"/>
        <v/>
      </c>
      <c r="S162" s="383" t="str">
        <f t="shared" si="11"/>
        <v/>
      </c>
      <c r="T162" s="384" t="str">
        <f t="shared" si="10"/>
        <v/>
      </c>
      <c r="U162" s="349"/>
      <c r="V162" s="385"/>
      <c r="W162" s="385"/>
      <c r="X162" s="386"/>
    </row>
    <row r="163" spans="1:24" ht="16.5" customHeight="1">
      <c r="A163" s="301"/>
      <c r="B163" s="387"/>
      <c r="C163" s="371"/>
      <c r="D163" s="372" t="str">
        <f>IFERROR(INDEX('[11]Equipment List'!$B$2:$B$2038,MATCH(E163,'[11]Equipment List'!$A$2:$A$2038,0)),"")</f>
        <v/>
      </c>
      <c r="E163" s="388"/>
      <c r="F163" s="374"/>
      <c r="G163" s="375"/>
      <c r="H163" s="397"/>
      <c r="I163" s="377"/>
      <c r="J163" s="378"/>
      <c r="K163" s="379"/>
      <c r="L163" s="387"/>
      <c r="M163" s="380" t="str">
        <f t="array" ref="M163">IF(L163="","",(MAX(IF(AN$15:AN$144=B163,AO$15:AO$144))/60))</f>
        <v/>
      </c>
      <c r="N163" s="387"/>
      <c r="O163" s="387"/>
      <c r="P163" s="381" t="str">
        <f t="shared" si="8"/>
        <v/>
      </c>
      <c r="Q163" s="382" t="str">
        <f t="array" ref="Q163">IFERROR(INDEX($D$13:$D$1000,MATCH(0,COUNTIF($Q$12:Q162,$D$13:$D$1000&amp;"")+IF($D$13:$D$1000="",1,0),0)),"")</f>
        <v/>
      </c>
      <c r="R163" s="356" t="str">
        <f t="shared" si="9"/>
        <v/>
      </c>
      <c r="S163" s="383" t="str">
        <f t="shared" si="11"/>
        <v/>
      </c>
      <c r="T163" s="384" t="str">
        <f t="shared" si="10"/>
        <v/>
      </c>
      <c r="U163" s="349"/>
      <c r="V163" s="385"/>
      <c r="W163" s="385"/>
      <c r="X163" s="386"/>
    </row>
    <row r="164" spans="1:24" ht="16.5" customHeight="1">
      <c r="A164" s="301"/>
      <c r="B164" s="395"/>
      <c r="C164" s="371"/>
      <c r="D164" s="372" t="str">
        <f>IFERROR(INDEX('[11]Equipment List'!$B$2:$B$2038,MATCH(E164,'[11]Equipment List'!$A$2:$A$2038,0)),"")</f>
        <v/>
      </c>
      <c r="E164" s="388"/>
      <c r="F164" s="374"/>
      <c r="G164" s="375"/>
      <c r="H164" s="397"/>
      <c r="I164" s="377"/>
      <c r="J164" s="378"/>
      <c r="K164" s="379"/>
      <c r="L164" s="387"/>
      <c r="M164" s="380" t="str">
        <f t="array" ref="M164">IF(L164="","",(MAX(IF(AN$15:AN$144=B164,AO$15:AO$144))/60))</f>
        <v/>
      </c>
      <c r="N164" s="387"/>
      <c r="O164" s="387"/>
      <c r="P164" s="381" t="str">
        <f t="shared" si="8"/>
        <v/>
      </c>
      <c r="Q164" s="382" t="str">
        <f t="array" ref="Q164">IFERROR(INDEX($D$13:$D$1000,MATCH(0,COUNTIF($Q$12:Q163,$D$13:$D$1000&amp;"")+IF($D$13:$D$1000="",1,0),0)),"")</f>
        <v/>
      </c>
      <c r="R164" s="356" t="str">
        <f t="shared" si="9"/>
        <v/>
      </c>
      <c r="S164" s="383" t="str">
        <f t="shared" si="11"/>
        <v/>
      </c>
      <c r="T164" s="384" t="str">
        <f t="shared" si="10"/>
        <v/>
      </c>
      <c r="U164" s="349"/>
      <c r="V164" s="385"/>
      <c r="W164" s="385"/>
      <c r="X164" s="386"/>
    </row>
    <row r="165" spans="1:24" ht="16.5" customHeight="1">
      <c r="A165" s="301"/>
      <c r="B165" s="387"/>
      <c r="C165" s="371"/>
      <c r="D165" s="372" t="str">
        <f>IFERROR(INDEX('[11]Equipment List'!$B$2:$B$2038,MATCH(E165,'[11]Equipment List'!$A$2:$A$2038,0)),"")</f>
        <v/>
      </c>
      <c r="E165" s="388"/>
      <c r="F165" s="374"/>
      <c r="G165" s="375"/>
      <c r="H165" s="397"/>
      <c r="I165" s="377"/>
      <c r="J165" s="378"/>
      <c r="K165" s="379"/>
      <c r="L165" s="387"/>
      <c r="M165" s="380" t="str">
        <f t="array" ref="M165">IF(L165="","",(MAX(IF(AN$15:AN$144=B165,AO$15:AO$144))/60))</f>
        <v/>
      </c>
      <c r="N165" s="387"/>
      <c r="O165" s="387"/>
      <c r="P165" s="381" t="str">
        <f t="shared" si="8"/>
        <v/>
      </c>
      <c r="Q165" s="382" t="str">
        <f t="array" ref="Q165">IFERROR(INDEX($D$13:$D$1000,MATCH(0,COUNTIF($Q$12:Q164,$D$13:$D$1000&amp;"")+IF($D$13:$D$1000="",1,0),0)),"")</f>
        <v/>
      </c>
      <c r="R165" s="356" t="str">
        <f t="shared" si="9"/>
        <v/>
      </c>
      <c r="S165" s="383" t="str">
        <f t="shared" si="11"/>
        <v/>
      </c>
      <c r="T165" s="384" t="str">
        <f t="shared" si="10"/>
        <v/>
      </c>
      <c r="U165" s="349"/>
      <c r="V165" s="385"/>
      <c r="W165" s="385"/>
      <c r="X165" s="386"/>
    </row>
    <row r="166" spans="1:24" ht="16.5" customHeight="1">
      <c r="A166" s="301"/>
      <c r="B166" s="395"/>
      <c r="C166" s="371"/>
      <c r="D166" s="372" t="str">
        <f>IFERROR(INDEX('[11]Equipment List'!$B$2:$B$2038,MATCH(E166,'[11]Equipment List'!$A$2:$A$2038,0)),"")</f>
        <v/>
      </c>
      <c r="E166" s="388"/>
      <c r="F166" s="374"/>
      <c r="G166" s="375"/>
      <c r="H166" s="397"/>
      <c r="I166" s="377"/>
      <c r="J166" s="378"/>
      <c r="K166" s="379"/>
      <c r="L166" s="387"/>
      <c r="M166" s="380" t="str">
        <f t="array" ref="M166">IF(L166="","",(MAX(IF(AN$15:AN$144=B166,AO$15:AO$144))/60))</f>
        <v/>
      </c>
      <c r="N166" s="387"/>
      <c r="O166" s="387"/>
      <c r="P166" s="381" t="str">
        <f t="shared" si="8"/>
        <v/>
      </c>
      <c r="Q166" s="382" t="str">
        <f t="array" ref="Q166">IFERROR(INDEX($D$13:$D$1000,MATCH(0,COUNTIF($Q$12:Q165,$D$13:$D$1000&amp;"")+IF($D$13:$D$1000="",1,0),0)),"")</f>
        <v/>
      </c>
      <c r="R166" s="356" t="str">
        <f t="shared" si="9"/>
        <v/>
      </c>
      <c r="S166" s="383" t="str">
        <f t="shared" si="11"/>
        <v/>
      </c>
      <c r="T166" s="384" t="str">
        <f t="shared" si="10"/>
        <v/>
      </c>
      <c r="U166" s="349"/>
      <c r="V166" s="385"/>
      <c r="W166" s="385"/>
      <c r="X166" s="386"/>
    </row>
    <row r="167" spans="1:24" ht="16.5" customHeight="1">
      <c r="A167" s="301"/>
      <c r="B167" s="387"/>
      <c r="C167" s="371"/>
      <c r="D167" s="372" t="str">
        <f>IFERROR(INDEX('[11]Equipment List'!$B$2:$B$2038,MATCH(E167,'[11]Equipment List'!$A$2:$A$2038,0)),"")</f>
        <v/>
      </c>
      <c r="E167" s="388"/>
      <c r="F167" s="374"/>
      <c r="G167" s="375"/>
      <c r="H167" s="397"/>
      <c r="I167" s="377"/>
      <c r="J167" s="378"/>
      <c r="K167" s="379"/>
      <c r="L167" s="387"/>
      <c r="M167" s="380" t="str">
        <f t="array" ref="M167">IF(L167="","",(MAX(IF(AN$15:AN$144=B167,AO$15:AO$144))/60))</f>
        <v/>
      </c>
      <c r="N167" s="387"/>
      <c r="O167" s="387"/>
      <c r="P167" s="381" t="str">
        <f t="shared" si="8"/>
        <v/>
      </c>
      <c r="Q167" s="382" t="str">
        <f t="array" ref="Q167">IFERROR(INDEX($D$13:$D$1000,MATCH(0,COUNTIF($Q$12:Q166,$D$13:$D$1000&amp;"")+IF($D$13:$D$1000="",1,0),0)),"")</f>
        <v/>
      </c>
      <c r="R167" s="356" t="str">
        <f t="shared" si="9"/>
        <v/>
      </c>
      <c r="S167" s="383" t="str">
        <f t="shared" si="11"/>
        <v/>
      </c>
      <c r="T167" s="384" t="str">
        <f t="shared" si="10"/>
        <v/>
      </c>
      <c r="U167" s="349"/>
      <c r="V167" s="385"/>
      <c r="W167" s="385"/>
      <c r="X167" s="386"/>
    </row>
    <row r="168" spans="1:24" ht="16.5" customHeight="1">
      <c r="A168" s="301"/>
      <c r="B168" s="395"/>
      <c r="C168" s="371"/>
      <c r="D168" s="372" t="str">
        <f>IFERROR(INDEX('[11]Equipment List'!$B$2:$B$2038,MATCH(E168,'[11]Equipment List'!$A$2:$A$2038,0)),"")</f>
        <v/>
      </c>
      <c r="E168" s="388"/>
      <c r="F168" s="374"/>
      <c r="G168" s="375"/>
      <c r="H168" s="397"/>
      <c r="I168" s="377"/>
      <c r="J168" s="378"/>
      <c r="K168" s="379"/>
      <c r="L168" s="387"/>
      <c r="M168" s="380" t="str">
        <f t="array" ref="M168">IF(L168="","",(MAX(IF(AN$15:AN$144=B168,AO$15:AO$144))/60))</f>
        <v/>
      </c>
      <c r="N168" s="387"/>
      <c r="O168" s="387"/>
      <c r="P168" s="381" t="str">
        <f t="shared" si="8"/>
        <v/>
      </c>
      <c r="Q168" s="382" t="str">
        <f t="array" ref="Q168">IFERROR(INDEX($D$13:$D$1000,MATCH(0,COUNTIF($Q$12:Q167,$D$13:$D$1000&amp;"")+IF($D$13:$D$1000="",1,0),0)),"")</f>
        <v/>
      </c>
      <c r="R168" s="356" t="str">
        <f t="shared" si="9"/>
        <v/>
      </c>
      <c r="S168" s="383" t="str">
        <f t="shared" si="11"/>
        <v/>
      </c>
      <c r="T168" s="384" t="str">
        <f t="shared" si="10"/>
        <v/>
      </c>
      <c r="U168" s="349"/>
      <c r="V168" s="385"/>
      <c r="W168" s="385"/>
      <c r="X168" s="386"/>
    </row>
    <row r="169" spans="1:24" ht="16.5" customHeight="1">
      <c r="A169" s="301"/>
      <c r="B169" s="387"/>
      <c r="C169" s="371"/>
      <c r="D169" s="372" t="str">
        <f>IFERROR(INDEX('[11]Equipment List'!$B$2:$B$2038,MATCH(E169,'[11]Equipment List'!$A$2:$A$2038,0)),"")</f>
        <v/>
      </c>
      <c r="E169" s="388"/>
      <c r="F169" s="374"/>
      <c r="G169" s="375"/>
      <c r="H169" s="397"/>
      <c r="I169" s="377"/>
      <c r="J169" s="378"/>
      <c r="K169" s="379"/>
      <c r="L169" s="387"/>
      <c r="M169" s="380" t="str">
        <f t="array" ref="M169">IF(L169="","",(MAX(IF(AN$15:AN$144=B169,AO$15:AO$144))/60))</f>
        <v/>
      </c>
      <c r="N169" s="387"/>
      <c r="O169" s="387"/>
      <c r="P169" s="381" t="str">
        <f t="shared" si="8"/>
        <v/>
      </c>
      <c r="Q169" s="382" t="str">
        <f t="array" ref="Q169">IFERROR(INDEX($D$13:$D$1000,MATCH(0,COUNTIF($Q$12:Q168,$D$13:$D$1000&amp;"")+IF($D$13:$D$1000="",1,0),0)),"")</f>
        <v/>
      </c>
      <c r="R169" s="356" t="str">
        <f t="shared" si="9"/>
        <v/>
      </c>
      <c r="S169" s="383" t="str">
        <f t="shared" si="11"/>
        <v/>
      </c>
      <c r="T169" s="384" t="str">
        <f t="shared" si="10"/>
        <v/>
      </c>
      <c r="U169" s="349"/>
      <c r="V169" s="385"/>
      <c r="W169" s="385"/>
      <c r="X169" s="386"/>
    </row>
    <row r="170" spans="1:24" ht="16.5" customHeight="1">
      <c r="A170" s="301"/>
      <c r="B170" s="395"/>
      <c r="C170" s="371"/>
      <c r="D170" s="372" t="str">
        <f>IFERROR(INDEX('[11]Equipment List'!$B$2:$B$2038,MATCH(E170,'[11]Equipment List'!$A$2:$A$2038,0)),"")</f>
        <v/>
      </c>
      <c r="E170" s="388"/>
      <c r="F170" s="374"/>
      <c r="G170" s="375"/>
      <c r="H170" s="397"/>
      <c r="I170" s="377"/>
      <c r="J170" s="378"/>
      <c r="K170" s="379"/>
      <c r="L170" s="387"/>
      <c r="M170" s="380" t="str">
        <f t="array" ref="M170">IF(L170="","",(MAX(IF(AN$15:AN$144=B170,AO$15:AO$144))/60))</f>
        <v/>
      </c>
      <c r="N170" s="387"/>
      <c r="O170" s="387"/>
      <c r="P170" s="381" t="str">
        <f t="shared" si="8"/>
        <v/>
      </c>
      <c r="Q170" s="382" t="str">
        <f t="array" ref="Q170">IFERROR(INDEX($D$13:$D$1000,MATCH(0,COUNTIF($Q$12:Q169,$D$13:$D$1000&amp;"")+IF($D$13:$D$1000="",1,0),0)),"")</f>
        <v/>
      </c>
      <c r="R170" s="356" t="str">
        <f t="shared" si="9"/>
        <v/>
      </c>
      <c r="S170" s="383" t="str">
        <f t="shared" si="11"/>
        <v/>
      </c>
      <c r="T170" s="384" t="str">
        <f t="shared" si="10"/>
        <v/>
      </c>
      <c r="U170" s="349"/>
      <c r="V170" s="385"/>
      <c r="W170" s="385"/>
      <c r="X170" s="386"/>
    </row>
    <row r="171" spans="1:24" ht="16.5" customHeight="1">
      <c r="A171" s="301"/>
      <c r="B171" s="387"/>
      <c r="C171" s="371"/>
      <c r="D171" s="372" t="str">
        <f>IFERROR(INDEX('[11]Equipment List'!$B$2:$B$2038,MATCH(E171,'[11]Equipment List'!$A$2:$A$2038,0)),"")</f>
        <v/>
      </c>
      <c r="E171" s="388"/>
      <c r="F171" s="374"/>
      <c r="G171" s="375"/>
      <c r="H171" s="397"/>
      <c r="I171" s="377"/>
      <c r="J171" s="378"/>
      <c r="K171" s="379"/>
      <c r="L171" s="387"/>
      <c r="M171" s="380" t="str">
        <f t="array" ref="M171">IF(L171="","",(MAX(IF(AN$15:AN$144=B171,AO$15:AO$144))/60))</f>
        <v/>
      </c>
      <c r="N171" s="387"/>
      <c r="O171" s="387"/>
      <c r="P171" s="381" t="str">
        <f t="shared" si="8"/>
        <v/>
      </c>
      <c r="Q171" s="382" t="str">
        <f t="array" ref="Q171">IFERROR(INDEX($D$13:$D$1000,MATCH(0,COUNTIF($Q$12:Q170,$D$13:$D$1000&amp;"")+IF($D$13:$D$1000="",1,0),0)),"")</f>
        <v/>
      </c>
      <c r="R171" s="356" t="str">
        <f t="shared" si="9"/>
        <v/>
      </c>
      <c r="S171" s="383" t="str">
        <f t="shared" si="11"/>
        <v/>
      </c>
      <c r="T171" s="384" t="str">
        <f t="shared" si="10"/>
        <v/>
      </c>
      <c r="U171" s="349"/>
      <c r="V171" s="385"/>
      <c r="W171" s="385"/>
      <c r="X171" s="386"/>
    </row>
    <row r="172" spans="1:24" ht="16.5" customHeight="1">
      <c r="A172" s="301"/>
      <c r="B172" s="395"/>
      <c r="C172" s="371"/>
      <c r="D172" s="372" t="str">
        <f>IFERROR(INDEX('[11]Equipment List'!$B$2:$B$2038,MATCH(E172,'[11]Equipment List'!$A$2:$A$2038,0)),"")</f>
        <v/>
      </c>
      <c r="E172" s="388"/>
      <c r="F172" s="374"/>
      <c r="G172" s="375"/>
      <c r="H172" s="397"/>
      <c r="I172" s="377"/>
      <c r="J172" s="378"/>
      <c r="K172" s="379"/>
      <c r="L172" s="387"/>
      <c r="M172" s="380" t="str">
        <f t="array" ref="M172">IF(L172="","",(MAX(IF(AN$15:AN$144=B172,AO$15:AO$144))/60))</f>
        <v/>
      </c>
      <c r="N172" s="387"/>
      <c r="O172" s="387"/>
      <c r="P172" s="381" t="str">
        <f t="shared" si="8"/>
        <v/>
      </c>
      <c r="Q172" s="382" t="str">
        <f t="array" ref="Q172">IFERROR(INDEX($D$13:$D$1000,MATCH(0,COUNTIF($Q$12:Q171,$D$13:$D$1000&amp;"")+IF($D$13:$D$1000="",1,0),0)),"")</f>
        <v/>
      </c>
      <c r="R172" s="356" t="str">
        <f t="shared" si="9"/>
        <v/>
      </c>
      <c r="S172" s="383" t="str">
        <f t="shared" si="11"/>
        <v/>
      </c>
      <c r="T172" s="384" t="str">
        <f t="shared" si="10"/>
        <v/>
      </c>
      <c r="U172" s="349"/>
      <c r="V172" s="385"/>
      <c r="W172" s="385"/>
      <c r="X172" s="386"/>
    </row>
    <row r="173" spans="1:24" ht="16.5" customHeight="1">
      <c r="A173" s="301"/>
      <c r="B173" s="387"/>
      <c r="C173" s="371"/>
      <c r="D173" s="372" t="str">
        <f>IFERROR(INDEX('[11]Equipment List'!$B$2:$B$2038,MATCH(E173,'[11]Equipment List'!$A$2:$A$2038,0)),"")</f>
        <v/>
      </c>
      <c r="E173" s="388"/>
      <c r="F173" s="374"/>
      <c r="G173" s="375"/>
      <c r="H173" s="397"/>
      <c r="I173" s="377"/>
      <c r="J173" s="378"/>
      <c r="K173" s="379"/>
      <c r="L173" s="387"/>
      <c r="M173" s="380" t="str">
        <f t="array" ref="M173">IF(L173="","",(MAX(IF(AN$15:AN$144=B173,AO$15:AO$144))/60))</f>
        <v/>
      </c>
      <c r="N173" s="387"/>
      <c r="O173" s="387"/>
      <c r="P173" s="381" t="str">
        <f t="shared" si="8"/>
        <v/>
      </c>
      <c r="Q173" s="382" t="str">
        <f t="array" ref="Q173">IFERROR(INDEX($D$13:$D$1000,MATCH(0,COUNTIF($Q$12:Q172,$D$13:$D$1000&amp;"")+IF($D$13:$D$1000="",1,0),0)),"")</f>
        <v/>
      </c>
      <c r="R173" s="356" t="str">
        <f t="shared" si="9"/>
        <v/>
      </c>
      <c r="S173" s="383" t="str">
        <f t="shared" si="11"/>
        <v/>
      </c>
      <c r="T173" s="384" t="str">
        <f t="shared" si="10"/>
        <v/>
      </c>
      <c r="U173" s="349"/>
      <c r="V173" s="385"/>
      <c r="W173" s="385"/>
      <c r="X173" s="386"/>
    </row>
    <row r="174" spans="1:24" ht="16.5" customHeight="1">
      <c r="A174" s="301"/>
      <c r="B174" s="395"/>
      <c r="C174" s="371"/>
      <c r="D174" s="372" t="str">
        <f>IFERROR(INDEX('[11]Equipment List'!$B$2:$B$2038,MATCH(E174,'[11]Equipment List'!$A$2:$A$2038,0)),"")</f>
        <v/>
      </c>
      <c r="E174" s="388"/>
      <c r="F174" s="374"/>
      <c r="G174" s="375"/>
      <c r="H174" s="397"/>
      <c r="I174" s="377"/>
      <c r="J174" s="378"/>
      <c r="K174" s="379"/>
      <c r="L174" s="387"/>
      <c r="M174" s="380" t="str">
        <f t="array" ref="M174">IF(L174="","",(MAX(IF(AN$15:AN$144=B174,AO$15:AO$144))/60))</f>
        <v/>
      </c>
      <c r="N174" s="387"/>
      <c r="O174" s="387"/>
      <c r="P174" s="381" t="str">
        <f t="shared" si="8"/>
        <v/>
      </c>
      <c r="Q174" s="382" t="str">
        <f t="array" ref="Q174">IFERROR(INDEX($D$13:$D$1000,MATCH(0,COUNTIF($Q$12:Q173,$D$13:$D$1000&amp;"")+IF($D$13:$D$1000="",1,0),0)),"")</f>
        <v/>
      </c>
      <c r="R174" s="356" t="str">
        <f t="shared" si="9"/>
        <v/>
      </c>
      <c r="S174" s="383" t="str">
        <f t="shared" si="11"/>
        <v/>
      </c>
      <c r="T174" s="384" t="str">
        <f t="shared" si="10"/>
        <v/>
      </c>
      <c r="U174" s="349"/>
      <c r="V174" s="385"/>
      <c r="W174" s="385"/>
      <c r="X174" s="386"/>
    </row>
    <row r="175" spans="1:24" ht="16.5" customHeight="1">
      <c r="A175" s="301"/>
      <c r="B175" s="387"/>
      <c r="C175" s="371"/>
      <c r="D175" s="372" t="str">
        <f>IFERROR(INDEX('[11]Equipment List'!$B$2:$B$2038,MATCH(E175,'[11]Equipment List'!$A$2:$A$2038,0)),"")</f>
        <v/>
      </c>
      <c r="E175" s="388"/>
      <c r="F175" s="374"/>
      <c r="G175" s="375"/>
      <c r="H175" s="397"/>
      <c r="I175" s="377"/>
      <c r="J175" s="378"/>
      <c r="K175" s="379"/>
      <c r="L175" s="387"/>
      <c r="M175" s="380" t="str">
        <f t="array" ref="M175">IF(L175="","",(MAX(IF(AN$15:AN$144=B175,AO$15:AO$144))/60))</f>
        <v/>
      </c>
      <c r="N175" s="387"/>
      <c r="O175" s="387"/>
      <c r="P175" s="381" t="str">
        <f t="shared" si="8"/>
        <v/>
      </c>
      <c r="Q175" s="382" t="str">
        <f t="array" ref="Q175">IFERROR(INDEX($D$13:$D$1000,MATCH(0,COUNTIF($Q$12:Q174,$D$13:$D$1000&amp;"")+IF($D$13:$D$1000="",1,0),0)),"")</f>
        <v/>
      </c>
      <c r="R175" s="356" t="str">
        <f t="shared" si="9"/>
        <v/>
      </c>
      <c r="S175" s="383" t="str">
        <f t="shared" si="11"/>
        <v/>
      </c>
      <c r="T175" s="384" t="str">
        <f t="shared" si="10"/>
        <v/>
      </c>
      <c r="U175" s="349"/>
      <c r="V175" s="385"/>
      <c r="W175" s="385"/>
      <c r="X175" s="386"/>
    </row>
    <row r="176" spans="1:24" ht="16.5" customHeight="1">
      <c r="A176" s="301"/>
      <c r="B176" s="395"/>
      <c r="C176" s="371"/>
      <c r="D176" s="372" t="str">
        <f>IFERROR(INDEX('[11]Equipment List'!$B$2:$B$2038,MATCH(E176,'[11]Equipment List'!$A$2:$A$2038,0)),"")</f>
        <v/>
      </c>
      <c r="E176" s="388"/>
      <c r="F176" s="374"/>
      <c r="G176" s="375"/>
      <c r="H176" s="397"/>
      <c r="I176" s="377"/>
      <c r="J176" s="378"/>
      <c r="K176" s="379"/>
      <c r="L176" s="387"/>
      <c r="M176" s="380" t="str">
        <f t="array" ref="M176">IF(L176="","",(MAX(IF(AN$15:AN$144=B176,AO$15:AO$144))/60))</f>
        <v/>
      </c>
      <c r="N176" s="387"/>
      <c r="O176" s="387"/>
      <c r="P176" s="381" t="str">
        <f t="shared" si="8"/>
        <v/>
      </c>
      <c r="Q176" s="382" t="str">
        <f t="array" ref="Q176">IFERROR(INDEX($D$13:$D$1000,MATCH(0,COUNTIF($Q$12:Q175,$D$13:$D$1000&amp;"")+IF($D$13:$D$1000="",1,0),0)),"")</f>
        <v/>
      </c>
      <c r="R176" s="356" t="str">
        <f t="shared" si="9"/>
        <v/>
      </c>
      <c r="S176" s="383" t="str">
        <f t="shared" si="11"/>
        <v/>
      </c>
      <c r="T176" s="384" t="str">
        <f t="shared" si="10"/>
        <v/>
      </c>
      <c r="U176" s="349"/>
      <c r="V176" s="385"/>
      <c r="W176" s="385"/>
      <c r="X176" s="386"/>
    </row>
    <row r="177" spans="1:24" ht="16.5" customHeight="1">
      <c r="A177" s="301"/>
      <c r="B177" s="387"/>
      <c r="C177" s="371"/>
      <c r="D177" s="372" t="str">
        <f>IFERROR(INDEX('[11]Equipment List'!$B$2:$B$2038,MATCH(E177,'[11]Equipment List'!$A$2:$A$2038,0)),"")</f>
        <v/>
      </c>
      <c r="E177" s="388"/>
      <c r="F177" s="374"/>
      <c r="G177" s="375"/>
      <c r="H177" s="397"/>
      <c r="I177" s="377"/>
      <c r="J177" s="378"/>
      <c r="K177" s="379"/>
      <c r="L177" s="387"/>
      <c r="M177" s="380" t="str">
        <f t="array" ref="M177">IF(L177="","",(MAX(IF(AN$15:AN$144=B177,AO$15:AO$144))/60))</f>
        <v/>
      </c>
      <c r="N177" s="387"/>
      <c r="O177" s="387"/>
      <c r="P177" s="381" t="str">
        <f t="shared" si="8"/>
        <v/>
      </c>
      <c r="Q177" s="382" t="str">
        <f t="array" ref="Q177">IFERROR(INDEX($D$13:$D$1000,MATCH(0,COUNTIF($Q$12:Q176,$D$13:$D$1000&amp;"")+IF($D$13:$D$1000="",1,0),0)),"")</f>
        <v/>
      </c>
      <c r="R177" s="356" t="str">
        <f t="shared" si="9"/>
        <v/>
      </c>
      <c r="S177" s="383" t="str">
        <f t="shared" si="11"/>
        <v/>
      </c>
      <c r="T177" s="384" t="str">
        <f t="shared" si="10"/>
        <v/>
      </c>
      <c r="U177" s="349"/>
      <c r="V177" s="385"/>
      <c r="W177" s="385"/>
      <c r="X177" s="386"/>
    </row>
    <row r="178" spans="1:24" ht="16.5" customHeight="1">
      <c r="A178" s="301"/>
      <c r="B178" s="395"/>
      <c r="C178" s="371"/>
      <c r="D178" s="372" t="str">
        <f>IFERROR(INDEX('[11]Equipment List'!$B$2:$B$2038,MATCH(E178,'[11]Equipment List'!$A$2:$A$2038,0)),"")</f>
        <v/>
      </c>
      <c r="E178" s="388"/>
      <c r="F178" s="374"/>
      <c r="G178" s="375"/>
      <c r="H178" s="397"/>
      <c r="I178" s="377"/>
      <c r="J178" s="378"/>
      <c r="K178" s="379"/>
      <c r="L178" s="387"/>
      <c r="M178" s="380" t="str">
        <f t="array" ref="M178">IF(L178="","",(MAX(IF(AN$15:AN$144=B178,AO$15:AO$144))/60))</f>
        <v/>
      </c>
      <c r="N178" s="387"/>
      <c r="O178" s="387"/>
      <c r="P178" s="381" t="str">
        <f t="shared" si="8"/>
        <v/>
      </c>
      <c r="Q178" s="382" t="str">
        <f t="array" ref="Q178">IFERROR(INDEX($D$13:$D$1000,MATCH(0,COUNTIF($Q$12:Q177,$D$13:$D$1000&amp;"")+IF($D$13:$D$1000="",1,0),0)),"")</f>
        <v/>
      </c>
      <c r="R178" s="356" t="str">
        <f t="shared" si="9"/>
        <v/>
      </c>
      <c r="S178" s="383" t="str">
        <f t="shared" si="11"/>
        <v/>
      </c>
      <c r="T178" s="384" t="str">
        <f t="shared" si="10"/>
        <v/>
      </c>
      <c r="U178" s="349"/>
      <c r="V178" s="385"/>
      <c r="W178" s="385"/>
      <c r="X178" s="386"/>
    </row>
    <row r="179" spans="1:24" ht="16.5" customHeight="1">
      <c r="A179" s="301"/>
      <c r="B179" s="387"/>
      <c r="C179" s="371"/>
      <c r="D179" s="372" t="str">
        <f>IFERROR(INDEX('[11]Equipment List'!$B$2:$B$2038,MATCH(E179,'[11]Equipment List'!$A$2:$A$2038,0)),"")</f>
        <v/>
      </c>
      <c r="E179" s="388"/>
      <c r="F179" s="374"/>
      <c r="G179" s="375"/>
      <c r="H179" s="397"/>
      <c r="I179" s="377"/>
      <c r="J179" s="378"/>
      <c r="K179" s="379"/>
      <c r="L179" s="387"/>
      <c r="M179" s="380" t="str">
        <f t="array" ref="M179">IF(L179="","",(MAX(IF(AN$15:AN$144=B179,AO$15:AO$144))/60))</f>
        <v/>
      </c>
      <c r="N179" s="387"/>
      <c r="O179" s="387"/>
      <c r="P179" s="381" t="str">
        <f t="shared" si="8"/>
        <v/>
      </c>
      <c r="Q179" s="382" t="str">
        <f t="array" ref="Q179">IFERROR(INDEX($D$13:$D$1000,MATCH(0,COUNTIF($Q$12:Q178,$D$13:$D$1000&amp;"")+IF($D$13:$D$1000="",1,0),0)),"")</f>
        <v/>
      </c>
      <c r="R179" s="356" t="str">
        <f t="shared" si="9"/>
        <v/>
      </c>
      <c r="S179" s="383" t="str">
        <f t="shared" si="11"/>
        <v/>
      </c>
      <c r="T179" s="384" t="str">
        <f t="shared" si="10"/>
        <v/>
      </c>
      <c r="U179" s="349"/>
      <c r="V179" s="385"/>
      <c r="W179" s="385"/>
      <c r="X179" s="386"/>
    </row>
    <row r="180" spans="1:24" ht="16.5" customHeight="1">
      <c r="A180" s="301"/>
      <c r="B180" s="395"/>
      <c r="C180" s="371"/>
      <c r="D180" s="372" t="str">
        <f>IFERROR(INDEX('[11]Equipment List'!$B$2:$B$2038,MATCH(E180,'[11]Equipment List'!$A$2:$A$2038,0)),"")</f>
        <v/>
      </c>
      <c r="E180" s="388"/>
      <c r="F180" s="374"/>
      <c r="G180" s="375"/>
      <c r="H180" s="397"/>
      <c r="I180" s="377"/>
      <c r="J180" s="378"/>
      <c r="K180" s="379"/>
      <c r="L180" s="387"/>
      <c r="M180" s="380" t="str">
        <f t="array" ref="M180">IF(L180="","",(MAX(IF(AN$15:AN$144=B180,AO$15:AO$144))/60))</f>
        <v/>
      </c>
      <c r="N180" s="387"/>
      <c r="O180" s="387"/>
      <c r="P180" s="381" t="str">
        <f t="shared" si="8"/>
        <v/>
      </c>
      <c r="Q180" s="382" t="str">
        <f t="array" ref="Q180">IFERROR(INDEX($D$13:$D$1000,MATCH(0,COUNTIF($Q$12:Q179,$D$13:$D$1000&amp;"")+IF($D$13:$D$1000="",1,0),0)),"")</f>
        <v/>
      </c>
      <c r="R180" s="356" t="str">
        <f t="shared" si="9"/>
        <v/>
      </c>
      <c r="S180" s="383" t="str">
        <f t="shared" si="11"/>
        <v/>
      </c>
      <c r="T180" s="384" t="str">
        <f t="shared" si="10"/>
        <v/>
      </c>
      <c r="U180" s="349"/>
      <c r="V180" s="385"/>
      <c r="W180" s="385"/>
      <c r="X180" s="386"/>
    </row>
    <row r="181" spans="1:24" ht="16.5" customHeight="1">
      <c r="A181" s="301"/>
      <c r="B181" s="387"/>
      <c r="C181" s="371"/>
      <c r="D181" s="372" t="str">
        <f>IFERROR(INDEX('[11]Equipment List'!$B$2:$B$2038,MATCH(E181,'[11]Equipment List'!$A$2:$A$2038,0)),"")</f>
        <v/>
      </c>
      <c r="E181" s="388"/>
      <c r="F181" s="374"/>
      <c r="G181" s="375"/>
      <c r="H181" s="397"/>
      <c r="I181" s="377"/>
      <c r="J181" s="378"/>
      <c r="K181" s="379"/>
      <c r="L181" s="387"/>
      <c r="M181" s="380" t="str">
        <f t="array" ref="M181">IF(L181="","",(MAX(IF(AN$15:AN$144=B181,AO$15:AO$144))/60))</f>
        <v/>
      </c>
      <c r="N181" s="387"/>
      <c r="O181" s="387"/>
      <c r="P181" s="381" t="str">
        <f t="shared" si="8"/>
        <v/>
      </c>
      <c r="Q181" s="382" t="str">
        <f t="array" ref="Q181">IFERROR(INDEX($D$13:$D$1000,MATCH(0,COUNTIF($Q$12:Q180,$D$13:$D$1000&amp;"")+IF($D$13:$D$1000="",1,0),0)),"")</f>
        <v/>
      </c>
      <c r="R181" s="356" t="str">
        <f t="shared" si="9"/>
        <v/>
      </c>
      <c r="S181" s="383" t="str">
        <f t="shared" si="11"/>
        <v/>
      </c>
      <c r="T181" s="384" t="str">
        <f t="shared" si="10"/>
        <v/>
      </c>
      <c r="U181" s="349"/>
      <c r="V181" s="385"/>
      <c r="W181" s="385"/>
      <c r="X181" s="386"/>
    </row>
    <row r="182" spans="1:24" ht="16.5" customHeight="1">
      <c r="A182" s="301"/>
      <c r="B182" s="395"/>
      <c r="C182" s="371"/>
      <c r="D182" s="372" t="str">
        <f>IFERROR(INDEX('[11]Equipment List'!$B$2:$B$2038,MATCH(E182,'[11]Equipment List'!$A$2:$A$2038,0)),"")</f>
        <v/>
      </c>
      <c r="E182" s="388"/>
      <c r="F182" s="374"/>
      <c r="G182" s="375"/>
      <c r="H182" s="397"/>
      <c r="I182" s="377"/>
      <c r="J182" s="378"/>
      <c r="K182" s="379"/>
      <c r="L182" s="387"/>
      <c r="M182" s="380" t="str">
        <f t="array" ref="M182">IF(L182="","",(MAX(IF(AN$15:AN$144=B182,AO$15:AO$144))/60))</f>
        <v/>
      </c>
      <c r="N182" s="387"/>
      <c r="O182" s="387"/>
      <c r="P182" s="381" t="str">
        <f t="shared" si="8"/>
        <v/>
      </c>
      <c r="Q182" s="382" t="str">
        <f t="array" ref="Q182">IFERROR(INDEX($D$13:$D$1000,MATCH(0,COUNTIF($Q$12:Q181,$D$13:$D$1000&amp;"")+IF($D$13:$D$1000="",1,0),0)),"")</f>
        <v/>
      </c>
      <c r="R182" s="356" t="str">
        <f t="shared" si="9"/>
        <v/>
      </c>
      <c r="S182" s="383" t="str">
        <f t="shared" si="11"/>
        <v/>
      </c>
      <c r="T182" s="384" t="str">
        <f t="shared" si="10"/>
        <v/>
      </c>
      <c r="U182" s="349"/>
      <c r="V182" s="385"/>
      <c r="W182" s="385"/>
      <c r="X182" s="386"/>
    </row>
    <row r="183" spans="1:24" ht="16.5" customHeight="1">
      <c r="A183" s="301"/>
      <c r="B183" s="387"/>
      <c r="C183" s="371"/>
      <c r="D183" s="372" t="str">
        <f>IFERROR(INDEX('[11]Equipment List'!$B$2:$B$2038,MATCH(E183,'[11]Equipment List'!$A$2:$A$2038,0)),"")</f>
        <v/>
      </c>
      <c r="E183" s="388"/>
      <c r="F183" s="374"/>
      <c r="G183" s="375"/>
      <c r="H183" s="397"/>
      <c r="I183" s="377"/>
      <c r="J183" s="378"/>
      <c r="K183" s="379"/>
      <c r="L183" s="387"/>
      <c r="M183" s="380" t="str">
        <f t="array" ref="M183">IF(L183="","",(MAX(IF(AN$15:AN$144=B183,AO$15:AO$144))/60))</f>
        <v/>
      </c>
      <c r="N183" s="387"/>
      <c r="O183" s="387"/>
      <c r="P183" s="381" t="str">
        <f t="shared" si="8"/>
        <v/>
      </c>
      <c r="Q183" s="382" t="str">
        <f t="array" ref="Q183">IFERROR(INDEX($D$13:$D$1000,MATCH(0,COUNTIF($Q$12:Q182,$D$13:$D$1000&amp;"")+IF($D$13:$D$1000="",1,0),0)),"")</f>
        <v/>
      </c>
      <c r="R183" s="356" t="str">
        <f t="shared" si="9"/>
        <v/>
      </c>
      <c r="S183" s="383" t="str">
        <f t="shared" si="11"/>
        <v/>
      </c>
      <c r="T183" s="384" t="str">
        <f t="shared" si="10"/>
        <v/>
      </c>
      <c r="U183" s="349"/>
      <c r="V183" s="385"/>
      <c r="W183" s="385"/>
      <c r="X183" s="386"/>
    </row>
    <row r="184" spans="1:24" ht="16.5" customHeight="1">
      <c r="A184" s="301"/>
      <c r="B184" s="395"/>
      <c r="C184" s="371"/>
      <c r="D184" s="372" t="str">
        <f>IFERROR(INDEX('[11]Equipment List'!$B$2:$B$2038,MATCH(E184,'[11]Equipment List'!$A$2:$A$2038,0)),"")</f>
        <v/>
      </c>
      <c r="E184" s="388"/>
      <c r="F184" s="374"/>
      <c r="G184" s="375"/>
      <c r="H184" s="397"/>
      <c r="I184" s="377"/>
      <c r="J184" s="378"/>
      <c r="K184" s="379"/>
      <c r="L184" s="387"/>
      <c r="M184" s="380" t="str">
        <f t="array" ref="M184">IF(L184="","",(MAX(IF(AN$15:AN$144=B184,AO$15:AO$144))/60))</f>
        <v/>
      </c>
      <c r="N184" s="387"/>
      <c r="O184" s="387"/>
      <c r="P184" s="381" t="str">
        <f t="shared" si="8"/>
        <v/>
      </c>
      <c r="Q184" s="382" t="str">
        <f t="array" ref="Q184">IFERROR(INDEX($D$13:$D$1000,MATCH(0,COUNTIF($Q$12:Q183,$D$13:$D$1000&amp;"")+IF($D$13:$D$1000="",1,0),0)),"")</f>
        <v/>
      </c>
      <c r="R184" s="356" t="str">
        <f t="shared" si="9"/>
        <v/>
      </c>
      <c r="S184" s="383" t="str">
        <f t="shared" si="11"/>
        <v/>
      </c>
      <c r="T184" s="384" t="str">
        <f t="shared" si="10"/>
        <v/>
      </c>
      <c r="U184" s="349"/>
      <c r="V184" s="385"/>
      <c r="W184" s="385"/>
      <c r="X184" s="386"/>
    </row>
    <row r="185" spans="1:24" ht="16.5" customHeight="1">
      <c r="A185" s="301"/>
      <c r="B185" s="387"/>
      <c r="C185" s="371"/>
      <c r="D185" s="372" t="str">
        <f>IFERROR(INDEX('[11]Equipment List'!$B$2:$B$2038,MATCH(E185,'[11]Equipment List'!$A$2:$A$2038,0)),"")</f>
        <v/>
      </c>
      <c r="E185" s="388"/>
      <c r="F185" s="374"/>
      <c r="G185" s="375"/>
      <c r="H185" s="397"/>
      <c r="I185" s="377"/>
      <c r="J185" s="378"/>
      <c r="K185" s="379"/>
      <c r="L185" s="387"/>
      <c r="M185" s="380" t="str">
        <f t="array" ref="M185">IF(L185="","",(MAX(IF(AN$15:AN$144=B185,AO$15:AO$144))/60))</f>
        <v/>
      </c>
      <c r="N185" s="387"/>
      <c r="O185" s="387"/>
      <c r="P185" s="381" t="str">
        <f t="shared" si="8"/>
        <v/>
      </c>
      <c r="Q185" s="382" t="str">
        <f t="array" ref="Q185">IFERROR(INDEX($D$13:$D$1000,MATCH(0,COUNTIF($Q$12:Q184,$D$13:$D$1000&amp;"")+IF($D$13:$D$1000="",1,0),0)),"")</f>
        <v/>
      </c>
      <c r="R185" s="356" t="str">
        <f t="shared" si="9"/>
        <v/>
      </c>
      <c r="S185" s="383" t="str">
        <f t="shared" si="11"/>
        <v/>
      </c>
      <c r="T185" s="384" t="str">
        <f t="shared" si="10"/>
        <v/>
      </c>
      <c r="U185" s="349"/>
      <c r="V185" s="385"/>
      <c r="W185" s="385"/>
      <c r="X185" s="386"/>
    </row>
    <row r="186" spans="1:24" ht="16.5" customHeight="1">
      <c r="A186" s="301"/>
      <c r="B186" s="395"/>
      <c r="C186" s="371"/>
      <c r="D186" s="372" t="str">
        <f>IFERROR(INDEX('[11]Equipment List'!$B$2:$B$2038,MATCH(E186,'[11]Equipment List'!$A$2:$A$2038,0)),"")</f>
        <v/>
      </c>
      <c r="E186" s="388"/>
      <c r="F186" s="374"/>
      <c r="G186" s="375"/>
      <c r="H186" s="397"/>
      <c r="I186" s="377"/>
      <c r="J186" s="378"/>
      <c r="K186" s="379"/>
      <c r="L186" s="387"/>
      <c r="M186" s="380" t="str">
        <f t="array" ref="M186">IF(L186="","",(MAX(IF(AN$15:AN$144=B186,AO$15:AO$144))/60))</f>
        <v/>
      </c>
      <c r="N186" s="387"/>
      <c r="O186" s="387"/>
      <c r="P186" s="381" t="str">
        <f t="shared" si="8"/>
        <v/>
      </c>
      <c r="Q186" s="382" t="str">
        <f t="array" ref="Q186">IFERROR(INDEX($D$13:$D$1000,MATCH(0,COUNTIF($Q$12:Q185,$D$13:$D$1000&amp;"")+IF($D$13:$D$1000="",1,0),0)),"")</f>
        <v/>
      </c>
      <c r="R186" s="356" t="str">
        <f t="shared" si="9"/>
        <v/>
      </c>
      <c r="S186" s="383" t="str">
        <f t="shared" si="11"/>
        <v/>
      </c>
      <c r="T186" s="384" t="str">
        <f t="shared" si="10"/>
        <v/>
      </c>
      <c r="U186" s="349"/>
      <c r="V186" s="385"/>
      <c r="W186" s="385"/>
      <c r="X186" s="386"/>
    </row>
    <row r="187" spans="1:24" ht="16.5" customHeight="1">
      <c r="A187" s="301"/>
      <c r="B187" s="387"/>
      <c r="C187" s="371"/>
      <c r="D187" s="372" t="str">
        <f>IFERROR(INDEX('[11]Equipment List'!$B$2:$B$2038,MATCH(E187,'[11]Equipment List'!$A$2:$A$2038,0)),"")</f>
        <v/>
      </c>
      <c r="E187" s="388"/>
      <c r="F187" s="374"/>
      <c r="G187" s="375"/>
      <c r="H187" s="397"/>
      <c r="I187" s="377"/>
      <c r="J187" s="378"/>
      <c r="K187" s="379"/>
      <c r="L187" s="387"/>
      <c r="M187" s="380" t="str">
        <f t="array" ref="M187">IF(L187="","",(MAX(IF(AN$15:AN$144=B187,AO$15:AO$144))/60))</f>
        <v/>
      </c>
      <c r="N187" s="387"/>
      <c r="O187" s="387"/>
      <c r="P187" s="381" t="str">
        <f t="shared" si="8"/>
        <v/>
      </c>
      <c r="Q187" s="382" t="str">
        <f t="array" ref="Q187">IFERROR(INDEX($D$13:$D$1000,MATCH(0,COUNTIF($Q$12:Q186,$D$13:$D$1000&amp;"")+IF($D$13:$D$1000="",1,0),0)),"")</f>
        <v/>
      </c>
      <c r="R187" s="356" t="str">
        <f t="shared" si="9"/>
        <v/>
      </c>
      <c r="S187" s="383" t="str">
        <f t="shared" si="11"/>
        <v/>
      </c>
      <c r="T187" s="384" t="str">
        <f t="shared" si="10"/>
        <v/>
      </c>
      <c r="U187" s="349"/>
      <c r="V187" s="385"/>
      <c r="W187" s="385"/>
      <c r="X187" s="386"/>
    </row>
    <row r="188" spans="1:24" ht="16.5" customHeight="1">
      <c r="A188" s="301"/>
      <c r="B188" s="395"/>
      <c r="C188" s="371"/>
      <c r="D188" s="372" t="str">
        <f>IFERROR(INDEX('[11]Equipment List'!$B$2:$B$2038,MATCH(E188,'[11]Equipment List'!$A$2:$A$2038,0)),"")</f>
        <v/>
      </c>
      <c r="E188" s="388"/>
      <c r="F188" s="374"/>
      <c r="G188" s="375"/>
      <c r="H188" s="397"/>
      <c r="I188" s="377"/>
      <c r="J188" s="378"/>
      <c r="K188" s="379"/>
      <c r="L188" s="387"/>
      <c r="M188" s="380" t="str">
        <f t="array" ref="M188">IF(L188="","",(MAX(IF(AN$15:AN$144=B188,AO$15:AO$144))/60))</f>
        <v/>
      </c>
      <c r="N188" s="387"/>
      <c r="O188" s="387"/>
      <c r="P188" s="381" t="str">
        <f t="shared" si="8"/>
        <v/>
      </c>
      <c r="Q188" s="382" t="str">
        <f t="array" ref="Q188">IFERROR(INDEX($D$13:$D$1000,MATCH(0,COUNTIF($Q$12:Q187,$D$13:$D$1000&amp;"")+IF($D$13:$D$1000="",1,0),0)),"")</f>
        <v/>
      </c>
      <c r="R188" s="356" t="str">
        <f t="shared" si="9"/>
        <v/>
      </c>
      <c r="S188" s="383" t="str">
        <f t="shared" si="11"/>
        <v/>
      </c>
      <c r="T188" s="384" t="str">
        <f t="shared" si="10"/>
        <v/>
      </c>
      <c r="U188" s="349"/>
      <c r="V188" s="385"/>
      <c r="W188" s="385"/>
      <c r="X188" s="386"/>
    </row>
    <row r="189" spans="1:24" ht="16.5" customHeight="1">
      <c r="A189" s="301"/>
      <c r="B189" s="387"/>
      <c r="C189" s="371"/>
      <c r="D189" s="372" t="str">
        <f>IFERROR(INDEX('[11]Equipment List'!$B$2:$B$2038,MATCH(E189,'[11]Equipment List'!$A$2:$A$2038,0)),"")</f>
        <v/>
      </c>
      <c r="E189" s="388"/>
      <c r="F189" s="374"/>
      <c r="G189" s="375"/>
      <c r="H189" s="397"/>
      <c r="I189" s="377"/>
      <c r="J189" s="378"/>
      <c r="K189" s="379"/>
      <c r="L189" s="387"/>
      <c r="M189" s="380" t="str">
        <f t="array" ref="M189">IF(L189="","",(MAX(IF(AN$15:AN$144=B189,AO$15:AO$144))/60))</f>
        <v/>
      </c>
      <c r="N189" s="387"/>
      <c r="O189" s="387"/>
      <c r="P189" s="381" t="str">
        <f t="shared" si="8"/>
        <v/>
      </c>
      <c r="Q189" s="382" t="str">
        <f t="array" ref="Q189">IFERROR(INDEX($D$13:$D$1000,MATCH(0,COUNTIF($Q$12:Q188,$D$13:$D$1000&amp;"")+IF($D$13:$D$1000="",1,0),0)),"")</f>
        <v/>
      </c>
      <c r="R189" s="356" t="str">
        <f t="shared" si="9"/>
        <v/>
      </c>
      <c r="S189" s="383" t="str">
        <f t="shared" si="11"/>
        <v/>
      </c>
      <c r="T189" s="384" t="str">
        <f t="shared" si="10"/>
        <v/>
      </c>
      <c r="U189" s="349"/>
      <c r="V189" s="385"/>
      <c r="W189" s="385"/>
      <c r="X189" s="386"/>
    </row>
    <row r="190" spans="1:24" ht="16.5" customHeight="1">
      <c r="A190" s="301"/>
      <c r="B190" s="395"/>
      <c r="C190" s="371"/>
      <c r="D190" s="372" t="str">
        <f>IFERROR(INDEX('[11]Equipment List'!$B$2:$B$2038,MATCH(E190,'[11]Equipment List'!$A$2:$A$2038,0)),"")</f>
        <v/>
      </c>
      <c r="E190" s="388"/>
      <c r="F190" s="374"/>
      <c r="G190" s="375"/>
      <c r="H190" s="397"/>
      <c r="I190" s="377"/>
      <c r="J190" s="378"/>
      <c r="K190" s="379"/>
      <c r="L190" s="387"/>
      <c r="M190" s="380" t="str">
        <f t="array" ref="M190">IF(L190="","",(MAX(IF(AN$15:AN$144=B190,AO$15:AO$144))/60))</f>
        <v/>
      </c>
      <c r="N190" s="387"/>
      <c r="O190" s="387"/>
      <c r="P190" s="381" t="str">
        <f t="shared" si="8"/>
        <v/>
      </c>
      <c r="Q190" s="382" t="str">
        <f t="array" ref="Q190">IFERROR(INDEX($D$13:$D$1000,MATCH(0,COUNTIF($Q$12:Q189,$D$13:$D$1000&amp;"")+IF($D$13:$D$1000="",1,0),0)),"")</f>
        <v/>
      </c>
      <c r="R190" s="356" t="str">
        <f t="shared" si="9"/>
        <v/>
      </c>
      <c r="S190" s="383" t="str">
        <f t="shared" si="11"/>
        <v/>
      </c>
      <c r="T190" s="384" t="str">
        <f t="shared" si="10"/>
        <v/>
      </c>
      <c r="U190" s="349"/>
      <c r="V190" s="385"/>
      <c r="W190" s="385"/>
      <c r="X190" s="386"/>
    </row>
    <row r="191" spans="1:24" ht="16.5" customHeight="1">
      <c r="A191" s="301"/>
      <c r="B191" s="387"/>
      <c r="C191" s="371"/>
      <c r="D191" s="372" t="str">
        <f>IFERROR(INDEX('[11]Equipment List'!$B$2:$B$2038,MATCH(E191,'[11]Equipment List'!$A$2:$A$2038,0)),"")</f>
        <v/>
      </c>
      <c r="E191" s="388"/>
      <c r="F191" s="374"/>
      <c r="G191" s="375"/>
      <c r="H191" s="397"/>
      <c r="I191" s="377"/>
      <c r="J191" s="378"/>
      <c r="K191" s="379"/>
      <c r="L191" s="387"/>
      <c r="M191" s="380" t="str">
        <f t="array" ref="M191">IF(L191="","",(MAX(IF(AN$15:AN$144=B191,AO$15:AO$144))/60))</f>
        <v/>
      </c>
      <c r="N191" s="387"/>
      <c r="O191" s="387"/>
      <c r="P191" s="381" t="str">
        <f t="shared" si="8"/>
        <v/>
      </c>
      <c r="Q191" s="382" t="str">
        <f t="array" ref="Q191">IFERROR(INDEX($D$13:$D$1000,MATCH(0,COUNTIF($Q$12:Q190,$D$13:$D$1000&amp;"")+IF($D$13:$D$1000="",1,0),0)),"")</f>
        <v/>
      </c>
      <c r="R191" s="356" t="str">
        <f t="shared" si="9"/>
        <v/>
      </c>
      <c r="S191" s="383" t="str">
        <f t="shared" si="11"/>
        <v/>
      </c>
      <c r="T191" s="384" t="str">
        <f t="shared" si="10"/>
        <v/>
      </c>
      <c r="U191" s="349"/>
      <c r="V191" s="385"/>
      <c r="W191" s="385"/>
      <c r="X191" s="386"/>
    </row>
    <row r="192" spans="1:24" ht="16.5" customHeight="1">
      <c r="A192" s="301"/>
      <c r="B192" s="395"/>
      <c r="C192" s="371"/>
      <c r="D192" s="372" t="str">
        <f>IFERROR(INDEX('[11]Equipment List'!$B$2:$B$2038,MATCH(E192,'[11]Equipment List'!$A$2:$A$2038,0)),"")</f>
        <v/>
      </c>
      <c r="E192" s="388"/>
      <c r="F192" s="374"/>
      <c r="G192" s="375"/>
      <c r="H192" s="397"/>
      <c r="I192" s="377"/>
      <c r="J192" s="378"/>
      <c r="K192" s="379"/>
      <c r="L192" s="387"/>
      <c r="M192" s="380" t="str">
        <f t="array" ref="M192">IF(L192="","",(MAX(IF(AN$15:AN$144=B192,AO$15:AO$144))/60))</f>
        <v/>
      </c>
      <c r="N192" s="387"/>
      <c r="O192" s="387"/>
      <c r="P192" s="381" t="str">
        <f t="shared" si="8"/>
        <v/>
      </c>
      <c r="Q192" s="382" t="str">
        <f t="array" ref="Q192">IFERROR(INDEX($D$13:$D$1000,MATCH(0,COUNTIF($Q$12:Q191,$D$13:$D$1000&amp;"")+IF($D$13:$D$1000="",1,0),0)),"")</f>
        <v/>
      </c>
      <c r="R192" s="356" t="str">
        <f t="shared" si="9"/>
        <v/>
      </c>
      <c r="S192" s="383" t="str">
        <f t="shared" si="11"/>
        <v/>
      </c>
      <c r="T192" s="384" t="str">
        <f t="shared" si="10"/>
        <v/>
      </c>
      <c r="U192" s="349"/>
      <c r="V192" s="385"/>
      <c r="W192" s="385"/>
      <c r="X192" s="386"/>
    </row>
    <row r="193" spans="1:24" ht="16.5" customHeight="1">
      <c r="A193" s="301"/>
      <c r="B193" s="387"/>
      <c r="C193" s="371"/>
      <c r="D193" s="372" t="str">
        <f>IFERROR(INDEX('[11]Equipment List'!$B$2:$B$2038,MATCH(E193,'[11]Equipment List'!$A$2:$A$2038,0)),"")</f>
        <v/>
      </c>
      <c r="E193" s="388"/>
      <c r="F193" s="374"/>
      <c r="G193" s="375"/>
      <c r="H193" s="397"/>
      <c r="I193" s="377"/>
      <c r="J193" s="378"/>
      <c r="K193" s="379"/>
      <c r="L193" s="387"/>
      <c r="M193" s="380" t="str">
        <f t="array" ref="M193">IF(L193="","",(MAX(IF(AN$15:AN$144=B193,AO$15:AO$144))/60))</f>
        <v/>
      </c>
      <c r="N193" s="387"/>
      <c r="O193" s="387"/>
      <c r="P193" s="381" t="str">
        <f t="shared" si="8"/>
        <v/>
      </c>
      <c r="Q193" s="382" t="str">
        <f t="array" ref="Q193">IFERROR(INDEX($D$13:$D$1000,MATCH(0,COUNTIF($Q$12:Q192,$D$13:$D$1000&amp;"")+IF($D$13:$D$1000="",1,0),0)),"")</f>
        <v/>
      </c>
      <c r="R193" s="356" t="str">
        <f t="shared" si="9"/>
        <v/>
      </c>
      <c r="S193" s="383" t="str">
        <f t="shared" si="11"/>
        <v/>
      </c>
      <c r="T193" s="384" t="str">
        <f t="shared" si="10"/>
        <v/>
      </c>
      <c r="U193" s="349"/>
      <c r="V193" s="385"/>
      <c r="W193" s="385"/>
      <c r="X193" s="386"/>
    </row>
    <row r="194" spans="1:24" ht="16.5" customHeight="1">
      <c r="A194" s="301"/>
      <c r="B194" s="395"/>
      <c r="C194" s="371"/>
      <c r="D194" s="372" t="str">
        <f>IFERROR(INDEX('[11]Equipment List'!$B$2:$B$2038,MATCH(E194,'[11]Equipment List'!$A$2:$A$2038,0)),"")</f>
        <v/>
      </c>
      <c r="E194" s="388"/>
      <c r="F194" s="374"/>
      <c r="G194" s="375"/>
      <c r="H194" s="397"/>
      <c r="I194" s="377"/>
      <c r="J194" s="378"/>
      <c r="K194" s="379"/>
      <c r="L194" s="387"/>
      <c r="M194" s="380" t="str">
        <f t="array" ref="M194">IF(L194="","",(MAX(IF(AN$15:AN$144=B194,AO$15:AO$144))/60))</f>
        <v/>
      </c>
      <c r="N194" s="387"/>
      <c r="O194" s="387"/>
      <c r="P194" s="381" t="str">
        <f t="shared" si="8"/>
        <v/>
      </c>
      <c r="Q194" s="382" t="str">
        <f t="array" ref="Q194">IFERROR(INDEX($D$13:$D$1000,MATCH(0,COUNTIF($Q$12:Q193,$D$13:$D$1000&amp;"")+IF($D$13:$D$1000="",1,0),0)),"")</f>
        <v/>
      </c>
      <c r="R194" s="356" t="str">
        <f t="shared" si="9"/>
        <v/>
      </c>
      <c r="S194" s="383" t="str">
        <f t="shared" si="11"/>
        <v/>
      </c>
      <c r="T194" s="384" t="str">
        <f t="shared" si="10"/>
        <v/>
      </c>
      <c r="U194" s="349"/>
      <c r="V194" s="385"/>
      <c r="W194" s="385"/>
      <c r="X194" s="386"/>
    </row>
    <row r="195" spans="1:24" ht="16.5" customHeight="1">
      <c r="A195" s="301"/>
      <c r="B195" s="387"/>
      <c r="C195" s="371"/>
      <c r="D195" s="372" t="str">
        <f>IFERROR(INDEX('[11]Equipment List'!$B$2:$B$2038,MATCH(E195,'[11]Equipment List'!$A$2:$A$2038,0)),"")</f>
        <v/>
      </c>
      <c r="E195" s="388"/>
      <c r="F195" s="374"/>
      <c r="G195" s="375"/>
      <c r="H195" s="397"/>
      <c r="I195" s="377"/>
      <c r="J195" s="378"/>
      <c r="K195" s="379"/>
      <c r="L195" s="387"/>
      <c r="M195" s="380" t="str">
        <f t="array" ref="M195">IF(L195="","",(MAX(IF(AN$15:AN$144=B195,AO$15:AO$144))/60))</f>
        <v/>
      </c>
      <c r="N195" s="387"/>
      <c r="O195" s="387"/>
      <c r="P195" s="381" t="str">
        <f t="shared" si="8"/>
        <v/>
      </c>
      <c r="Q195" s="382" t="str">
        <f t="array" ref="Q195">IFERROR(INDEX($D$13:$D$1000,MATCH(0,COUNTIF($Q$12:Q194,$D$13:$D$1000&amp;"")+IF($D$13:$D$1000="",1,0),0)),"")</f>
        <v/>
      </c>
      <c r="R195" s="356" t="str">
        <f t="shared" si="9"/>
        <v/>
      </c>
      <c r="S195" s="383" t="str">
        <f t="shared" si="11"/>
        <v/>
      </c>
      <c r="T195" s="384" t="str">
        <f t="shared" si="10"/>
        <v/>
      </c>
      <c r="U195" s="349"/>
      <c r="V195" s="385"/>
      <c r="W195" s="385"/>
      <c r="X195" s="386"/>
    </row>
    <row r="196" spans="1:24" ht="16.5" customHeight="1">
      <c r="A196" s="301"/>
      <c r="B196" s="395"/>
      <c r="C196" s="371"/>
      <c r="D196" s="372" t="str">
        <f>IFERROR(INDEX('[11]Equipment List'!$B$2:$B$2038,MATCH(E196,'[11]Equipment List'!$A$2:$A$2038,0)),"")</f>
        <v/>
      </c>
      <c r="E196" s="388"/>
      <c r="F196" s="374"/>
      <c r="G196" s="375"/>
      <c r="H196" s="397"/>
      <c r="I196" s="377"/>
      <c r="J196" s="378"/>
      <c r="K196" s="379"/>
      <c r="L196" s="387"/>
      <c r="M196" s="380" t="str">
        <f t="array" ref="M196">IF(L196="","",(MAX(IF(AN$15:AN$144=B196,AO$15:AO$144))/60))</f>
        <v/>
      </c>
      <c r="N196" s="387"/>
      <c r="O196" s="387"/>
      <c r="P196" s="381" t="str">
        <f t="shared" si="8"/>
        <v/>
      </c>
      <c r="Q196" s="382" t="str">
        <f t="array" ref="Q196">IFERROR(INDEX($D$13:$D$1000,MATCH(0,COUNTIF($Q$12:Q195,$D$13:$D$1000&amp;"")+IF($D$13:$D$1000="",1,0),0)),"")</f>
        <v/>
      </c>
      <c r="R196" s="356" t="str">
        <f t="shared" si="9"/>
        <v/>
      </c>
      <c r="S196" s="383" t="str">
        <f t="shared" si="11"/>
        <v/>
      </c>
      <c r="T196" s="384" t="str">
        <f t="shared" si="10"/>
        <v/>
      </c>
      <c r="U196" s="349"/>
      <c r="V196" s="385"/>
      <c r="W196" s="385"/>
      <c r="X196" s="386"/>
    </row>
    <row r="197" spans="1:24" ht="16.5" customHeight="1">
      <c r="A197" s="301"/>
      <c r="B197" s="387"/>
      <c r="C197" s="371"/>
      <c r="D197" s="372" t="str">
        <f>IFERROR(INDEX('[11]Equipment List'!$B$2:$B$2038,MATCH(E197,'[11]Equipment List'!$A$2:$A$2038,0)),"")</f>
        <v/>
      </c>
      <c r="E197" s="388"/>
      <c r="F197" s="374"/>
      <c r="G197" s="375"/>
      <c r="H197" s="397"/>
      <c r="I197" s="377"/>
      <c r="J197" s="378"/>
      <c r="K197" s="379"/>
      <c r="L197" s="387"/>
      <c r="M197" s="380" t="str">
        <f t="array" ref="M197">IF(L197="","",(MAX(IF(AN$15:AN$144=B197,AO$15:AO$144))/60))</f>
        <v/>
      </c>
      <c r="N197" s="387"/>
      <c r="O197" s="387"/>
      <c r="P197" s="381" t="str">
        <f t="shared" si="8"/>
        <v/>
      </c>
      <c r="Q197" s="382" t="str">
        <f t="array" ref="Q197">IFERROR(INDEX($D$13:$D$1000,MATCH(0,COUNTIF($Q$12:Q196,$D$13:$D$1000&amp;"")+IF($D$13:$D$1000="",1,0),0)),"")</f>
        <v/>
      </c>
      <c r="R197" s="356" t="str">
        <f t="shared" si="9"/>
        <v/>
      </c>
      <c r="S197" s="383" t="str">
        <f t="shared" si="11"/>
        <v/>
      </c>
      <c r="T197" s="384" t="str">
        <f t="shared" si="10"/>
        <v/>
      </c>
      <c r="U197" s="349"/>
      <c r="V197" s="385"/>
      <c r="W197" s="385"/>
      <c r="X197" s="386"/>
    </row>
    <row r="198" spans="1:24" ht="16.5" customHeight="1">
      <c r="A198" s="301"/>
      <c r="B198" s="395"/>
      <c r="C198" s="371"/>
      <c r="D198" s="372" t="str">
        <f>IFERROR(INDEX('[11]Equipment List'!$B$2:$B$2038,MATCH(E198,'[11]Equipment List'!$A$2:$A$2038,0)),"")</f>
        <v/>
      </c>
      <c r="E198" s="388"/>
      <c r="F198" s="374"/>
      <c r="G198" s="375"/>
      <c r="H198" s="397"/>
      <c r="I198" s="377"/>
      <c r="J198" s="378"/>
      <c r="K198" s="379"/>
      <c r="L198" s="387"/>
      <c r="M198" s="380" t="str">
        <f t="array" ref="M198">IF(L198="","",(MAX(IF(AN$15:AN$144=B198,AO$15:AO$144))/60))</f>
        <v/>
      </c>
      <c r="N198" s="387"/>
      <c r="O198" s="387"/>
      <c r="P198" s="381" t="str">
        <f t="shared" si="8"/>
        <v/>
      </c>
      <c r="Q198" s="382" t="str">
        <f t="array" ref="Q198">IFERROR(INDEX($D$13:$D$1000,MATCH(0,COUNTIF($Q$12:Q197,$D$13:$D$1000&amp;"")+IF($D$13:$D$1000="",1,0),0)),"")</f>
        <v/>
      </c>
      <c r="R198" s="356" t="str">
        <f t="shared" si="9"/>
        <v/>
      </c>
      <c r="S198" s="383" t="str">
        <f t="shared" si="11"/>
        <v/>
      </c>
      <c r="T198" s="384" t="str">
        <f t="shared" si="10"/>
        <v/>
      </c>
      <c r="U198" s="349"/>
      <c r="V198" s="385"/>
      <c r="W198" s="385"/>
      <c r="X198" s="386"/>
    </row>
    <row r="199" spans="1:24" ht="16.5" customHeight="1">
      <c r="A199" s="301"/>
      <c r="B199" s="387"/>
      <c r="C199" s="371"/>
      <c r="D199" s="372" t="str">
        <f>IFERROR(INDEX('[11]Equipment List'!$B$2:$B$2038,MATCH(E199,'[11]Equipment List'!$A$2:$A$2038,0)),"")</f>
        <v/>
      </c>
      <c r="E199" s="388"/>
      <c r="F199" s="374"/>
      <c r="G199" s="375"/>
      <c r="H199" s="397"/>
      <c r="I199" s="377"/>
      <c r="J199" s="378"/>
      <c r="K199" s="379"/>
      <c r="L199" s="387"/>
      <c r="M199" s="380" t="str">
        <f t="array" ref="M199">IF(L199="","",(MAX(IF(AN$15:AN$144=B199,AO$15:AO$144))/60))</f>
        <v/>
      </c>
      <c r="N199" s="387"/>
      <c r="O199" s="387"/>
      <c r="P199" s="381" t="str">
        <f t="shared" si="8"/>
        <v/>
      </c>
      <c r="Q199" s="382" t="str">
        <f t="array" ref="Q199">IFERROR(INDEX($D$13:$D$1000,MATCH(0,COUNTIF($Q$12:Q198,$D$13:$D$1000&amp;"")+IF($D$13:$D$1000="",1,0),0)),"")</f>
        <v/>
      </c>
      <c r="R199" s="356" t="str">
        <f t="shared" si="9"/>
        <v/>
      </c>
      <c r="S199" s="383" t="str">
        <f t="shared" si="11"/>
        <v/>
      </c>
      <c r="T199" s="384" t="str">
        <f t="shared" si="10"/>
        <v/>
      </c>
      <c r="U199" s="349"/>
      <c r="V199" s="385"/>
      <c r="W199" s="385"/>
      <c r="X199" s="386"/>
    </row>
    <row r="200" spans="1:24" ht="16.5" customHeight="1">
      <c r="A200" s="301"/>
      <c r="B200" s="395"/>
      <c r="C200" s="371"/>
      <c r="D200" s="372" t="str">
        <f>IFERROR(INDEX('[11]Equipment List'!$B$2:$B$2038,MATCH(E200,'[11]Equipment List'!$A$2:$A$2038,0)),"")</f>
        <v/>
      </c>
      <c r="E200" s="388"/>
      <c r="F200" s="374"/>
      <c r="G200" s="375"/>
      <c r="H200" s="397"/>
      <c r="I200" s="377"/>
      <c r="J200" s="378"/>
      <c r="K200" s="379"/>
      <c r="L200" s="387"/>
      <c r="M200" s="380" t="str">
        <f t="array" ref="M200">IF(L200="","",(MAX(IF(AN$15:AN$144=B200,AO$15:AO$144))/60))</f>
        <v/>
      </c>
      <c r="N200" s="387"/>
      <c r="O200" s="387"/>
      <c r="P200" s="381" t="str">
        <f t="shared" si="8"/>
        <v/>
      </c>
      <c r="Q200" s="382" t="str">
        <f t="array" ref="Q200">IFERROR(INDEX($D$13:$D$1000,MATCH(0,COUNTIF($Q$12:Q199,$D$13:$D$1000&amp;"")+IF($D$13:$D$1000="",1,0),0)),"")</f>
        <v/>
      </c>
      <c r="R200" s="356" t="str">
        <f t="shared" si="9"/>
        <v/>
      </c>
      <c r="S200" s="383" t="str">
        <f t="shared" si="11"/>
        <v/>
      </c>
      <c r="T200" s="384" t="str">
        <f t="shared" si="10"/>
        <v/>
      </c>
      <c r="U200" s="349"/>
      <c r="V200" s="385"/>
      <c r="W200" s="385"/>
      <c r="X200" s="386"/>
    </row>
    <row r="201" spans="1:24" ht="16.5" customHeight="1">
      <c r="A201" s="301"/>
      <c r="B201" s="395"/>
      <c r="C201" s="371"/>
      <c r="D201" s="372" t="str">
        <f>IFERROR(INDEX('[11]Equipment List'!$B$2:$B$2038,MATCH(E201,'[11]Equipment List'!$A$2:$A$2038,0)),"")</f>
        <v/>
      </c>
      <c r="E201" s="388"/>
      <c r="F201" s="374"/>
      <c r="G201" s="375"/>
      <c r="H201" s="397"/>
      <c r="I201" s="377"/>
      <c r="J201" s="378"/>
      <c r="K201" s="379"/>
      <c r="L201" s="387"/>
      <c r="M201" s="380" t="str">
        <f t="array" ref="M201">IF(L201="","",(MAX(IF(AN$15:AN$144=B201,AO$15:AO$144))/60))</f>
        <v/>
      </c>
      <c r="N201" s="387"/>
      <c r="O201" s="387"/>
      <c r="P201" s="381" t="str">
        <f t="shared" si="8"/>
        <v/>
      </c>
      <c r="Q201" s="382" t="str">
        <f t="array" ref="Q201">IFERROR(INDEX($D$13:$D$1000,MATCH(0,COUNTIF($Q$12:Q200,$D$13:$D$1000&amp;"")+IF($D$13:$D$1000="",1,0),0)),"")</f>
        <v/>
      </c>
      <c r="R201" s="356" t="str">
        <f t="shared" si="9"/>
        <v/>
      </c>
      <c r="S201" s="383" t="str">
        <f t="shared" si="11"/>
        <v/>
      </c>
      <c r="T201" s="384" t="str">
        <f t="shared" si="10"/>
        <v/>
      </c>
      <c r="U201" s="349"/>
      <c r="V201" s="385"/>
      <c r="W201" s="385"/>
      <c r="X201" s="386"/>
    </row>
    <row r="202" spans="1:24" ht="16.5" customHeight="1">
      <c r="A202" s="301"/>
      <c r="B202" s="395"/>
      <c r="C202" s="371"/>
      <c r="D202" s="372" t="str">
        <f>IFERROR(INDEX('[11]Equipment List'!$B$2:$B$2038,MATCH(E202,'[11]Equipment List'!$A$2:$A$2038,0)),"")</f>
        <v/>
      </c>
      <c r="E202" s="388"/>
      <c r="F202" s="374"/>
      <c r="G202" s="375"/>
      <c r="H202" s="397"/>
      <c r="I202" s="377"/>
      <c r="J202" s="378"/>
      <c r="K202" s="379"/>
      <c r="L202" s="387"/>
      <c r="M202" s="380" t="str">
        <f t="array" ref="M202">IF(L202="","",(MAX(IF(AN$15:AN$144=B202,AO$15:AO$144))/60))</f>
        <v/>
      </c>
      <c r="N202" s="387"/>
      <c r="O202" s="387"/>
      <c r="P202" s="381" t="str">
        <f t="shared" si="8"/>
        <v/>
      </c>
      <c r="Q202" s="382" t="str">
        <f t="array" ref="Q202">IFERROR(INDEX($D$13:$D$1000,MATCH(0,COUNTIF($Q$12:Q201,$D$13:$D$1000&amp;"")+IF($D$13:$D$1000="",1,0),0)),"")</f>
        <v/>
      </c>
      <c r="R202" s="356" t="str">
        <f t="shared" si="9"/>
        <v/>
      </c>
      <c r="S202" s="383" t="str">
        <f t="shared" si="11"/>
        <v/>
      </c>
      <c r="T202" s="384" t="str">
        <f t="shared" si="10"/>
        <v/>
      </c>
      <c r="U202" s="349"/>
      <c r="V202" s="385"/>
      <c r="W202" s="385"/>
      <c r="X202" s="386"/>
    </row>
    <row r="203" spans="1:24" ht="16.5" customHeight="1">
      <c r="A203" s="301"/>
      <c r="B203" s="395"/>
      <c r="C203" s="371"/>
      <c r="D203" s="372" t="str">
        <f>IFERROR(INDEX('[11]Equipment List'!$B$2:$B$2038,MATCH(E203,'[11]Equipment List'!$A$2:$A$2038,0)),"")</f>
        <v/>
      </c>
      <c r="E203" s="388"/>
      <c r="F203" s="374"/>
      <c r="G203" s="375"/>
      <c r="H203" s="397"/>
      <c r="I203" s="377"/>
      <c r="J203" s="378"/>
      <c r="K203" s="379"/>
      <c r="L203" s="387"/>
      <c r="M203" s="380" t="str">
        <f t="array" ref="M203">IF(L203="","",(MAX(IF(AN$15:AN$144=B203,AO$15:AO$144))/60))</f>
        <v/>
      </c>
      <c r="N203" s="387"/>
      <c r="O203" s="387"/>
      <c r="P203" s="381" t="str">
        <f t="shared" si="8"/>
        <v/>
      </c>
      <c r="Q203" s="382" t="str">
        <f t="array" ref="Q203">IFERROR(INDEX($D$13:$D$1000,MATCH(0,COUNTIF($Q$12:Q202,$D$13:$D$1000&amp;"")+IF($D$13:$D$1000="",1,0),0)),"")</f>
        <v/>
      </c>
      <c r="R203" s="356" t="str">
        <f t="shared" si="9"/>
        <v/>
      </c>
      <c r="S203" s="383" t="str">
        <f t="shared" si="11"/>
        <v/>
      </c>
      <c r="T203" s="384" t="str">
        <f t="shared" si="10"/>
        <v/>
      </c>
      <c r="U203" s="349"/>
      <c r="V203" s="385"/>
      <c r="W203" s="385"/>
      <c r="X203" s="386"/>
    </row>
    <row r="204" spans="1:24" ht="16.5" customHeight="1">
      <c r="A204" s="301"/>
      <c r="B204" s="395"/>
      <c r="C204" s="371"/>
      <c r="D204" s="372" t="str">
        <f>IFERROR(INDEX('[11]Equipment List'!$B$2:$B$2038,MATCH(E204,'[11]Equipment List'!$A$2:$A$2038,0)),"")</f>
        <v/>
      </c>
      <c r="E204" s="388"/>
      <c r="F204" s="374"/>
      <c r="G204" s="375"/>
      <c r="H204" s="397"/>
      <c r="I204" s="377"/>
      <c r="J204" s="378"/>
      <c r="K204" s="379"/>
      <c r="L204" s="387"/>
      <c r="M204" s="380" t="str">
        <f t="array" ref="M204">IF(L204="","",(MAX(IF(AN$15:AN$144=B204,AO$15:AO$144))/60))</f>
        <v/>
      </c>
      <c r="N204" s="387"/>
      <c r="O204" s="387"/>
      <c r="P204" s="381" t="str">
        <f t="shared" ref="P204:P267" si="12">IFERROR((((K204/5/250/$F$8)+(N204*$F$9))/$S$4)*(M204/60),"")</f>
        <v/>
      </c>
      <c r="Q204" s="382" t="str">
        <f t="array" ref="Q204">IFERROR(INDEX($D$13:$D$1000,MATCH(0,COUNTIF($Q$12:Q203,$D$13:$D$1000&amp;"")+IF($D$13:$D$1000="",1,0),0)),"")</f>
        <v/>
      </c>
      <c r="R204" s="356" t="str">
        <f t="shared" si="9"/>
        <v/>
      </c>
      <c r="S204" s="383" t="str">
        <f t="shared" si="11"/>
        <v/>
      </c>
      <c r="T204" s="384" t="str">
        <f t="shared" si="10"/>
        <v/>
      </c>
      <c r="U204" s="349"/>
      <c r="V204" s="385"/>
      <c r="W204" s="385"/>
      <c r="X204" s="386"/>
    </row>
    <row r="205" spans="1:24" ht="16.5" customHeight="1">
      <c r="A205" s="301"/>
      <c r="B205" s="395"/>
      <c r="C205" s="371"/>
      <c r="D205" s="372" t="str">
        <f>IFERROR(INDEX('[11]Equipment List'!$B$2:$B$2038,MATCH(E205,'[11]Equipment List'!$A$2:$A$2038,0)),"")</f>
        <v/>
      </c>
      <c r="E205" s="388"/>
      <c r="F205" s="374"/>
      <c r="G205" s="375"/>
      <c r="H205" s="397"/>
      <c r="I205" s="377"/>
      <c r="J205" s="378"/>
      <c r="K205" s="379"/>
      <c r="L205" s="387"/>
      <c r="M205" s="380" t="str">
        <f t="array" ref="M205">IF(L205="","",(MAX(IF(AN$15:AN$144=B205,AO$15:AO$144))/60))</f>
        <v/>
      </c>
      <c r="N205" s="387"/>
      <c r="O205" s="387"/>
      <c r="P205" s="381" t="str">
        <f t="shared" si="12"/>
        <v/>
      </c>
      <c r="Q205" s="382" t="str">
        <f t="array" ref="Q205">IFERROR(INDEX($D$13:$D$1000,MATCH(0,COUNTIF($Q$12:Q204,$D$13:$D$1000&amp;"")+IF($D$13:$D$1000="",1,0),0)),"")</f>
        <v/>
      </c>
      <c r="R205" s="356" t="str">
        <f t="shared" ref="R205:R268" si="13">IF(Q205="","",COUNTIF($D$13:$D$1000,$Q205))</f>
        <v/>
      </c>
      <c r="S205" s="383" t="str">
        <f t="shared" si="11"/>
        <v/>
      </c>
      <c r="T205" s="384" t="str">
        <f t="shared" ref="T205:T268" si="14">IF($Q205="","",SUMIF($D$13:$D$1000,$Q205,N$13:N$1000))</f>
        <v/>
      </c>
      <c r="U205" s="349"/>
      <c r="V205" s="385"/>
      <c r="W205" s="385"/>
      <c r="X205" s="386"/>
    </row>
    <row r="206" spans="1:24" ht="16.5" customHeight="1">
      <c r="A206" s="301"/>
      <c r="B206" s="395"/>
      <c r="C206" s="371"/>
      <c r="D206" s="372" t="str">
        <f>IFERROR(INDEX('[11]Equipment List'!$B$2:$B$2038,MATCH(E206,'[11]Equipment List'!$A$2:$A$2038,0)),"")</f>
        <v/>
      </c>
      <c r="E206" s="388"/>
      <c r="F206" s="374"/>
      <c r="G206" s="375"/>
      <c r="H206" s="397"/>
      <c r="I206" s="377"/>
      <c r="J206" s="378"/>
      <c r="K206" s="379"/>
      <c r="L206" s="387"/>
      <c r="M206" s="380" t="str">
        <f t="array" ref="M206">IF(L206="","",(MAX(IF(AN$15:AN$144=B206,AO$15:AO$144))/60))</f>
        <v/>
      </c>
      <c r="N206" s="387"/>
      <c r="O206" s="387"/>
      <c r="P206" s="381" t="str">
        <f t="shared" si="12"/>
        <v/>
      </c>
      <c r="Q206" s="382" t="str">
        <f t="array" ref="Q206">IFERROR(INDEX($D$13:$D$1000,MATCH(0,COUNTIF($Q$12:Q205,$D$13:$D$1000&amp;"")+IF($D$13:$D$1000="",1,0),0)),"")</f>
        <v/>
      </c>
      <c r="R206" s="356" t="str">
        <f t="shared" si="13"/>
        <v/>
      </c>
      <c r="S206" s="383" t="str">
        <f t="shared" ref="S206:S234" si="15">IF($Q206="","",SUMIF($D$13:$D$1000,$Q206,K$13:K$1000))</f>
        <v/>
      </c>
      <c r="T206" s="384" t="str">
        <f t="shared" si="14"/>
        <v/>
      </c>
      <c r="U206" s="349"/>
      <c r="V206" s="385"/>
      <c r="W206" s="385"/>
      <c r="X206" s="386"/>
    </row>
    <row r="207" spans="1:24" ht="16.5" customHeight="1">
      <c r="A207" s="301"/>
      <c r="B207" s="395"/>
      <c r="C207" s="371"/>
      <c r="D207" s="372" t="str">
        <f>IFERROR(INDEX('[11]Equipment List'!$B$2:$B$2038,MATCH(E207,'[11]Equipment List'!$A$2:$A$2038,0)),"")</f>
        <v/>
      </c>
      <c r="E207" s="388"/>
      <c r="F207" s="374"/>
      <c r="G207" s="375"/>
      <c r="H207" s="397"/>
      <c r="I207" s="377"/>
      <c r="J207" s="378"/>
      <c r="K207" s="379"/>
      <c r="L207" s="387"/>
      <c r="M207" s="380" t="str">
        <f t="array" ref="M207">IF(L207="","",(MAX(IF(AN$15:AN$144=B207,AO$15:AO$144))/60))</f>
        <v/>
      </c>
      <c r="N207" s="387"/>
      <c r="O207" s="387"/>
      <c r="P207" s="381" t="str">
        <f t="shared" si="12"/>
        <v/>
      </c>
      <c r="Q207" s="382" t="str">
        <f t="array" ref="Q207">IFERROR(INDEX($D$13:$D$1000,MATCH(0,COUNTIF($Q$12:Q206,$D$13:$D$1000&amp;"")+IF($D$13:$D$1000="",1,0),0)),"")</f>
        <v/>
      </c>
      <c r="R207" s="356" t="str">
        <f t="shared" si="13"/>
        <v/>
      </c>
      <c r="S207" s="383" t="str">
        <f t="shared" si="15"/>
        <v/>
      </c>
      <c r="T207" s="384" t="str">
        <f t="shared" si="14"/>
        <v/>
      </c>
      <c r="U207" s="349"/>
      <c r="V207" s="385"/>
      <c r="W207" s="385"/>
      <c r="X207" s="386"/>
    </row>
    <row r="208" spans="1:24" ht="16.5" customHeight="1">
      <c r="A208" s="301"/>
      <c r="B208" s="395"/>
      <c r="C208" s="371"/>
      <c r="D208" s="372" t="str">
        <f>IFERROR(INDEX('[11]Equipment List'!$B$2:$B$2038,MATCH(E208,'[11]Equipment List'!$A$2:$A$2038,0)),"")</f>
        <v/>
      </c>
      <c r="E208" s="388"/>
      <c r="F208" s="374"/>
      <c r="G208" s="375"/>
      <c r="H208" s="397"/>
      <c r="I208" s="377"/>
      <c r="J208" s="378"/>
      <c r="K208" s="379"/>
      <c r="L208" s="387"/>
      <c r="M208" s="380" t="str">
        <f t="array" ref="M208">IF(L208="","",(MAX(IF(AN$15:AN$144=B208,AO$15:AO$144))/60))</f>
        <v/>
      </c>
      <c r="N208" s="387"/>
      <c r="O208" s="387"/>
      <c r="P208" s="381" t="str">
        <f t="shared" si="12"/>
        <v/>
      </c>
      <c r="Q208" s="382" t="str">
        <f t="array" ref="Q208">IFERROR(INDEX($D$13:$D$1000,MATCH(0,COUNTIF($Q$12:Q207,$D$13:$D$1000&amp;"")+IF($D$13:$D$1000="",1,0),0)),"")</f>
        <v/>
      </c>
      <c r="R208" s="356" t="str">
        <f t="shared" si="13"/>
        <v/>
      </c>
      <c r="S208" s="383" t="str">
        <f t="shared" si="15"/>
        <v/>
      </c>
      <c r="T208" s="384" t="str">
        <f t="shared" si="14"/>
        <v/>
      </c>
      <c r="U208" s="349"/>
      <c r="V208" s="385"/>
      <c r="W208" s="385"/>
      <c r="X208" s="386"/>
    </row>
    <row r="209" spans="1:24" ht="16.5" customHeight="1">
      <c r="A209" s="301"/>
      <c r="B209" s="395"/>
      <c r="C209" s="371"/>
      <c r="D209" s="372" t="str">
        <f>IFERROR(INDEX('[11]Equipment List'!$B$2:$B$2038,MATCH(E209,'[11]Equipment List'!$A$2:$A$2038,0)),"")</f>
        <v/>
      </c>
      <c r="E209" s="388"/>
      <c r="F209" s="374"/>
      <c r="G209" s="375"/>
      <c r="H209" s="397"/>
      <c r="I209" s="377"/>
      <c r="J209" s="378"/>
      <c r="K209" s="379"/>
      <c r="L209" s="387"/>
      <c r="M209" s="380" t="str">
        <f t="array" ref="M209">IF(L209="","",(MAX(IF(AN$15:AN$144=B209,AO$15:AO$144))/60))</f>
        <v/>
      </c>
      <c r="N209" s="387"/>
      <c r="O209" s="387"/>
      <c r="P209" s="381" t="str">
        <f t="shared" si="12"/>
        <v/>
      </c>
      <c r="Q209" s="382" t="str">
        <f t="array" ref="Q209">IFERROR(INDEX($D$13:$D$1000,MATCH(0,COUNTIF($Q$12:Q208,$D$13:$D$1000&amp;"")+IF($D$13:$D$1000="",1,0),0)),"")</f>
        <v/>
      </c>
      <c r="R209" s="356" t="str">
        <f t="shared" si="13"/>
        <v/>
      </c>
      <c r="S209" s="383" t="str">
        <f t="shared" si="15"/>
        <v/>
      </c>
      <c r="T209" s="384" t="str">
        <f t="shared" si="14"/>
        <v/>
      </c>
      <c r="U209" s="349"/>
      <c r="V209" s="385"/>
      <c r="W209" s="385"/>
      <c r="X209" s="386"/>
    </row>
    <row r="210" spans="1:24" ht="16.5" customHeight="1">
      <c r="A210" s="301"/>
      <c r="B210" s="395"/>
      <c r="C210" s="371"/>
      <c r="D210" s="372" t="str">
        <f>IFERROR(INDEX('[11]Equipment List'!$B$2:$B$2038,MATCH(E210,'[11]Equipment List'!$A$2:$A$2038,0)),"")</f>
        <v/>
      </c>
      <c r="E210" s="388"/>
      <c r="F210" s="374"/>
      <c r="G210" s="375"/>
      <c r="H210" s="397"/>
      <c r="I210" s="377"/>
      <c r="J210" s="378"/>
      <c r="K210" s="379"/>
      <c r="L210" s="387"/>
      <c r="M210" s="380" t="str">
        <f t="array" ref="M210">IF(L210="","",(MAX(IF(AN$15:AN$144=B210,AO$15:AO$144))/60))</f>
        <v/>
      </c>
      <c r="N210" s="387"/>
      <c r="O210" s="387"/>
      <c r="P210" s="381" t="str">
        <f t="shared" si="12"/>
        <v/>
      </c>
      <c r="Q210" s="382" t="str">
        <f t="array" ref="Q210">IFERROR(INDEX($D$13:$D$1000,MATCH(0,COUNTIF($Q$12:Q209,$D$13:$D$1000&amp;"")+IF($D$13:$D$1000="",1,0),0)),"")</f>
        <v/>
      </c>
      <c r="R210" s="356" t="str">
        <f t="shared" si="13"/>
        <v/>
      </c>
      <c r="S210" s="383" t="str">
        <f t="shared" si="15"/>
        <v/>
      </c>
      <c r="T210" s="384" t="str">
        <f t="shared" si="14"/>
        <v/>
      </c>
      <c r="U210" s="349"/>
      <c r="V210" s="385"/>
      <c r="W210" s="385"/>
      <c r="X210" s="386"/>
    </row>
    <row r="211" spans="1:24" ht="16.5" customHeight="1">
      <c r="A211" s="301"/>
      <c r="B211" s="395"/>
      <c r="C211" s="371"/>
      <c r="D211" s="372" t="str">
        <f>IFERROR(INDEX('[11]Equipment List'!$B$2:$B$2038,MATCH(E211,'[11]Equipment List'!$A$2:$A$2038,0)),"")</f>
        <v/>
      </c>
      <c r="E211" s="388"/>
      <c r="F211" s="374"/>
      <c r="G211" s="375"/>
      <c r="H211" s="397"/>
      <c r="I211" s="377"/>
      <c r="J211" s="378"/>
      <c r="K211" s="379"/>
      <c r="L211" s="387"/>
      <c r="M211" s="380" t="str">
        <f t="array" ref="M211">IF(L211="","",(MAX(IF(AN$15:AN$144=B211,AO$15:AO$144))/60))</f>
        <v/>
      </c>
      <c r="N211" s="387"/>
      <c r="O211" s="387"/>
      <c r="P211" s="381" t="str">
        <f t="shared" si="12"/>
        <v/>
      </c>
      <c r="Q211" s="382" t="str">
        <f t="array" ref="Q211">IFERROR(INDEX($D$13:$D$1000,MATCH(0,COUNTIF($Q$12:Q210,$D$13:$D$1000&amp;"")+IF($D$13:$D$1000="",1,0),0)),"")</f>
        <v/>
      </c>
      <c r="R211" s="356" t="str">
        <f t="shared" si="13"/>
        <v/>
      </c>
      <c r="S211" s="383" t="str">
        <f t="shared" si="15"/>
        <v/>
      </c>
      <c r="T211" s="384" t="str">
        <f t="shared" si="14"/>
        <v/>
      </c>
      <c r="U211" s="349"/>
      <c r="V211" s="385"/>
      <c r="W211" s="385"/>
      <c r="X211" s="386"/>
    </row>
    <row r="212" spans="1:24" ht="16.5" customHeight="1">
      <c r="A212" s="301"/>
      <c r="B212" s="395"/>
      <c r="C212" s="371"/>
      <c r="D212" s="372" t="str">
        <f>IFERROR(INDEX('[11]Equipment List'!$B$2:$B$2038,MATCH(E212,'[11]Equipment List'!$A$2:$A$2038,0)),"")</f>
        <v/>
      </c>
      <c r="E212" s="388"/>
      <c r="F212" s="374"/>
      <c r="G212" s="375"/>
      <c r="H212" s="397"/>
      <c r="I212" s="377"/>
      <c r="J212" s="378"/>
      <c r="K212" s="379"/>
      <c r="L212" s="387"/>
      <c r="M212" s="380" t="str">
        <f t="array" ref="M212">IF(L212="","",(MAX(IF(AN$15:AN$144=B212,AO$15:AO$144))/60))</f>
        <v/>
      </c>
      <c r="N212" s="387"/>
      <c r="O212" s="387"/>
      <c r="P212" s="381" t="str">
        <f t="shared" si="12"/>
        <v/>
      </c>
      <c r="Q212" s="382" t="str">
        <f t="array" ref="Q212">IFERROR(INDEX($D$13:$D$1000,MATCH(0,COUNTIF($Q$12:Q211,$D$13:$D$1000&amp;"")+IF($D$13:$D$1000="",1,0),0)),"")</f>
        <v/>
      </c>
      <c r="R212" s="356" t="str">
        <f t="shared" si="13"/>
        <v/>
      </c>
      <c r="S212" s="383" t="str">
        <f t="shared" si="15"/>
        <v/>
      </c>
      <c r="T212" s="384" t="str">
        <f t="shared" si="14"/>
        <v/>
      </c>
      <c r="U212" s="349"/>
      <c r="V212" s="385"/>
      <c r="W212" s="385"/>
      <c r="X212" s="386"/>
    </row>
    <row r="213" spans="1:24">
      <c r="B213" s="395"/>
      <c r="C213" s="371"/>
      <c r="D213" s="372" t="str">
        <f>IFERROR(INDEX('[11]Equipment List'!$B$2:$B$2038,MATCH(E213,'[11]Equipment List'!$A$2:$A$2038,0)),"")</f>
        <v/>
      </c>
      <c r="E213" s="388"/>
      <c r="F213" s="374"/>
      <c r="G213" s="375"/>
      <c r="H213" s="397"/>
      <c r="I213" s="377"/>
      <c r="J213" s="378"/>
      <c r="K213" s="379"/>
      <c r="L213" s="387"/>
      <c r="M213" s="380" t="str">
        <f t="array" ref="M213">IF(L213="","",(MAX(IF(AN$15:AN$144=B213,AO$15:AO$144))/60))</f>
        <v/>
      </c>
      <c r="N213" s="387"/>
      <c r="O213" s="387"/>
      <c r="P213" s="381" t="str">
        <f t="shared" si="12"/>
        <v/>
      </c>
      <c r="Q213" s="382" t="str">
        <f t="array" ref="Q213">IFERROR(INDEX($D$13:$D$1000,MATCH(0,COUNTIF($Q$12:Q212,$D$13:$D$1000&amp;"")+IF($D$13:$D$1000="",1,0),0)),"")</f>
        <v/>
      </c>
      <c r="R213" s="356" t="str">
        <f t="shared" si="13"/>
        <v/>
      </c>
      <c r="S213" s="383" t="str">
        <f t="shared" si="15"/>
        <v/>
      </c>
      <c r="T213" s="384" t="str">
        <f t="shared" si="14"/>
        <v/>
      </c>
      <c r="U213" s="349"/>
      <c r="V213" s="385"/>
      <c r="W213" s="385"/>
      <c r="X213" s="386"/>
    </row>
    <row r="214" spans="1:24">
      <c r="B214" s="395"/>
      <c r="C214" s="371"/>
      <c r="D214" s="372" t="str">
        <f>IFERROR(INDEX('[11]Equipment List'!$B$2:$B$2038,MATCH(E214,'[11]Equipment List'!$A$2:$A$2038,0)),"")</f>
        <v/>
      </c>
      <c r="E214" s="388"/>
      <c r="F214" s="374"/>
      <c r="G214" s="375"/>
      <c r="H214" s="397"/>
      <c r="I214" s="377"/>
      <c r="J214" s="378"/>
      <c r="K214" s="379"/>
      <c r="L214" s="387"/>
      <c r="M214" s="380" t="str">
        <f t="array" ref="M214">IF(L214="","",(MAX(IF(AN$15:AN$144=B214,AO$15:AO$144))/60))</f>
        <v/>
      </c>
      <c r="N214" s="387"/>
      <c r="O214" s="387"/>
      <c r="P214" s="381" t="str">
        <f t="shared" si="12"/>
        <v/>
      </c>
      <c r="Q214" s="382" t="str">
        <f t="array" ref="Q214">IFERROR(INDEX($D$13:$D$1000,MATCH(0,COUNTIF($Q$12:Q213,$D$13:$D$1000&amp;"")+IF($D$13:$D$1000="",1,0),0)),"")</f>
        <v/>
      </c>
      <c r="R214" s="356" t="str">
        <f t="shared" si="13"/>
        <v/>
      </c>
      <c r="S214" s="383" t="str">
        <f t="shared" si="15"/>
        <v/>
      </c>
      <c r="T214" s="384" t="str">
        <f t="shared" si="14"/>
        <v/>
      </c>
      <c r="U214" s="349"/>
      <c r="V214" s="385"/>
      <c r="W214" s="385"/>
      <c r="X214" s="386"/>
    </row>
    <row r="215" spans="1:24">
      <c r="B215" s="395"/>
      <c r="C215" s="371"/>
      <c r="D215" s="372" t="str">
        <f>IFERROR(INDEX('[11]Equipment List'!$B$2:$B$2038,MATCH(E215,'[11]Equipment List'!$A$2:$A$2038,0)),"")</f>
        <v/>
      </c>
      <c r="E215" s="388"/>
      <c r="F215" s="374"/>
      <c r="G215" s="375"/>
      <c r="H215" s="397"/>
      <c r="I215" s="377"/>
      <c r="J215" s="378"/>
      <c r="K215" s="379"/>
      <c r="L215" s="387"/>
      <c r="M215" s="380" t="str">
        <f t="array" ref="M215">IF(L215="","",(MAX(IF(AN$15:AN$144=B215,AO$15:AO$144))/60))</f>
        <v/>
      </c>
      <c r="N215" s="387"/>
      <c r="O215" s="387"/>
      <c r="P215" s="381" t="str">
        <f t="shared" si="12"/>
        <v/>
      </c>
      <c r="Q215" s="382" t="str">
        <f t="array" ref="Q215">IFERROR(INDEX($D$13:$D$1000,MATCH(0,COUNTIF($Q$12:Q214,$D$13:$D$1000&amp;"")+IF($D$13:$D$1000="",1,0),0)),"")</f>
        <v/>
      </c>
      <c r="R215" s="356" t="str">
        <f t="shared" si="13"/>
        <v/>
      </c>
      <c r="S215" s="383" t="str">
        <f t="shared" si="15"/>
        <v/>
      </c>
      <c r="T215" s="384" t="str">
        <f t="shared" si="14"/>
        <v/>
      </c>
      <c r="U215" s="349"/>
      <c r="V215" s="385"/>
      <c r="W215" s="385"/>
      <c r="X215" s="386"/>
    </row>
    <row r="216" spans="1:24">
      <c r="B216" s="395"/>
      <c r="C216" s="371"/>
      <c r="D216" s="372" t="str">
        <f>IFERROR(INDEX('[11]Equipment List'!$B$2:$B$2038,MATCH(E216,'[11]Equipment List'!$A$2:$A$2038,0)),"")</f>
        <v/>
      </c>
      <c r="E216" s="388"/>
      <c r="F216" s="374"/>
      <c r="G216" s="375"/>
      <c r="H216" s="397"/>
      <c r="I216" s="377"/>
      <c r="J216" s="378"/>
      <c r="K216" s="379"/>
      <c r="L216" s="387"/>
      <c r="M216" s="380" t="str">
        <f t="array" ref="M216">IF(L216="","",(MAX(IF(AN$15:AN$144=B216,AO$15:AO$144))/60))</f>
        <v/>
      </c>
      <c r="N216" s="387"/>
      <c r="O216" s="387"/>
      <c r="P216" s="381" t="str">
        <f t="shared" si="12"/>
        <v/>
      </c>
      <c r="Q216" s="382" t="str">
        <f t="array" ref="Q216">IFERROR(INDEX($D$13:$D$1000,MATCH(0,COUNTIF($Q$12:Q215,$D$13:$D$1000&amp;"")+IF($D$13:$D$1000="",1,0),0)),"")</f>
        <v/>
      </c>
      <c r="R216" s="356" t="str">
        <f t="shared" si="13"/>
        <v/>
      </c>
      <c r="S216" s="383" t="str">
        <f t="shared" si="15"/>
        <v/>
      </c>
      <c r="T216" s="384" t="str">
        <f t="shared" si="14"/>
        <v/>
      </c>
      <c r="U216" s="349"/>
      <c r="V216" s="385"/>
      <c r="W216" s="385"/>
      <c r="X216" s="386"/>
    </row>
    <row r="217" spans="1:24">
      <c r="B217" s="395"/>
      <c r="C217" s="371"/>
      <c r="D217" s="372" t="str">
        <f>IFERROR(INDEX('[11]Equipment List'!$B$2:$B$2038,MATCH(E217,'[11]Equipment List'!$A$2:$A$2038,0)),"")</f>
        <v/>
      </c>
      <c r="E217" s="388"/>
      <c r="F217" s="374"/>
      <c r="G217" s="375"/>
      <c r="H217" s="397"/>
      <c r="I217" s="377"/>
      <c r="J217" s="378"/>
      <c r="K217" s="379"/>
      <c r="L217" s="387"/>
      <c r="M217" s="380" t="str">
        <f t="array" ref="M217">IF(L217="","",(MAX(IF(AN$15:AN$144=B217,AO$15:AO$144))/60))</f>
        <v/>
      </c>
      <c r="N217" s="387"/>
      <c r="O217" s="387"/>
      <c r="P217" s="381" t="str">
        <f t="shared" si="12"/>
        <v/>
      </c>
      <c r="Q217" s="382" t="str">
        <f t="array" ref="Q217">IFERROR(INDEX($D$13:$D$1000,MATCH(0,COUNTIF($Q$12:Q216,$D$13:$D$1000&amp;"")+IF($D$13:$D$1000="",1,0),0)),"")</f>
        <v/>
      </c>
      <c r="R217" s="356" t="str">
        <f t="shared" si="13"/>
        <v/>
      </c>
      <c r="S217" s="383" t="str">
        <f t="shared" si="15"/>
        <v/>
      </c>
      <c r="T217" s="384" t="str">
        <f t="shared" si="14"/>
        <v/>
      </c>
      <c r="U217" s="349"/>
      <c r="V217" s="385"/>
      <c r="W217" s="385"/>
      <c r="X217" s="386"/>
    </row>
    <row r="218" spans="1:24">
      <c r="B218" s="395"/>
      <c r="C218" s="371"/>
      <c r="D218" s="372" t="str">
        <f>IFERROR(INDEX('[11]Equipment List'!$B$2:$B$2038,MATCH(E218,'[11]Equipment List'!$A$2:$A$2038,0)),"")</f>
        <v/>
      </c>
      <c r="E218" s="388"/>
      <c r="F218" s="374"/>
      <c r="G218" s="375"/>
      <c r="H218" s="397"/>
      <c r="I218" s="377"/>
      <c r="J218" s="378"/>
      <c r="K218" s="379"/>
      <c r="L218" s="387"/>
      <c r="M218" s="380" t="str">
        <f t="array" ref="M218">IF(L218="","",(MAX(IF(AN$15:AN$144=B218,AO$15:AO$144))/60))</f>
        <v/>
      </c>
      <c r="N218" s="387"/>
      <c r="O218" s="387"/>
      <c r="P218" s="381" t="str">
        <f t="shared" si="12"/>
        <v/>
      </c>
      <c r="Q218" s="382" t="str">
        <f t="array" ref="Q218">IFERROR(INDEX($D$13:$D$1000,MATCH(0,COUNTIF($Q$12:Q217,$D$13:$D$1000&amp;"")+IF($D$13:$D$1000="",1,0),0)),"")</f>
        <v/>
      </c>
      <c r="R218" s="356" t="str">
        <f t="shared" si="13"/>
        <v/>
      </c>
      <c r="S218" s="383" t="str">
        <f t="shared" si="15"/>
        <v/>
      </c>
      <c r="T218" s="384" t="str">
        <f t="shared" si="14"/>
        <v/>
      </c>
      <c r="U218" s="349"/>
      <c r="V218" s="385"/>
      <c r="W218" s="385"/>
      <c r="X218" s="386"/>
    </row>
    <row r="219" spans="1:24">
      <c r="B219" s="395"/>
      <c r="C219" s="371"/>
      <c r="D219" s="372" t="str">
        <f>IFERROR(INDEX('[11]Equipment List'!$B$2:$B$2038,MATCH(E219,'[11]Equipment List'!$A$2:$A$2038,0)),"")</f>
        <v/>
      </c>
      <c r="E219" s="388"/>
      <c r="F219" s="374"/>
      <c r="G219" s="375"/>
      <c r="H219" s="397"/>
      <c r="I219" s="377"/>
      <c r="J219" s="378"/>
      <c r="K219" s="379"/>
      <c r="L219" s="387"/>
      <c r="M219" s="380" t="str">
        <f t="array" ref="M219">IF(L219="","",(MAX(IF(AN$15:AN$144=B219,AO$15:AO$144))/60))</f>
        <v/>
      </c>
      <c r="N219" s="387"/>
      <c r="O219" s="387"/>
      <c r="P219" s="381" t="str">
        <f t="shared" si="12"/>
        <v/>
      </c>
      <c r="Q219" s="382" t="str">
        <f t="array" ref="Q219">IFERROR(INDEX($D$13:$D$1000,MATCH(0,COUNTIF($Q$12:Q218,$D$13:$D$1000&amp;"")+IF($D$13:$D$1000="",1,0),0)),"")</f>
        <v/>
      </c>
      <c r="R219" s="356" t="str">
        <f t="shared" si="13"/>
        <v/>
      </c>
      <c r="S219" s="383" t="str">
        <f t="shared" si="15"/>
        <v/>
      </c>
      <c r="T219" s="384" t="str">
        <f t="shared" si="14"/>
        <v/>
      </c>
      <c r="U219" s="349"/>
      <c r="V219" s="385"/>
      <c r="W219" s="385"/>
      <c r="X219" s="386"/>
    </row>
    <row r="220" spans="1:24">
      <c r="B220" s="395"/>
      <c r="C220" s="371"/>
      <c r="D220" s="372" t="str">
        <f>IFERROR(INDEX('[11]Equipment List'!$B$2:$B$2038,MATCH(E220,'[11]Equipment List'!$A$2:$A$2038,0)),"")</f>
        <v/>
      </c>
      <c r="E220" s="388"/>
      <c r="F220" s="374"/>
      <c r="G220" s="375"/>
      <c r="H220" s="397"/>
      <c r="I220" s="377"/>
      <c r="J220" s="378"/>
      <c r="K220" s="379"/>
      <c r="L220" s="387"/>
      <c r="M220" s="380" t="str">
        <f t="array" ref="M220">IF(L220="","",(MAX(IF(AN$15:AN$144=B220,AO$15:AO$144))/60))</f>
        <v/>
      </c>
      <c r="N220" s="387"/>
      <c r="O220" s="387"/>
      <c r="P220" s="381" t="str">
        <f t="shared" si="12"/>
        <v/>
      </c>
      <c r="Q220" s="382" t="str">
        <f t="array" ref="Q220">IFERROR(INDEX($D$13:$D$1000,MATCH(0,COUNTIF($Q$12:Q219,$D$13:$D$1000&amp;"")+IF($D$13:$D$1000="",1,0),0)),"")</f>
        <v/>
      </c>
      <c r="R220" s="356" t="str">
        <f t="shared" si="13"/>
        <v/>
      </c>
      <c r="S220" s="383" t="str">
        <f t="shared" si="15"/>
        <v/>
      </c>
      <c r="T220" s="384" t="str">
        <f t="shared" si="14"/>
        <v/>
      </c>
      <c r="U220" s="349"/>
      <c r="V220" s="385"/>
      <c r="W220" s="385"/>
      <c r="X220" s="386"/>
    </row>
    <row r="221" spans="1:24">
      <c r="B221" s="395"/>
      <c r="C221" s="371"/>
      <c r="D221" s="372" t="str">
        <f>IFERROR(INDEX('[11]Equipment List'!$B$2:$B$2038,MATCH(E221,'[11]Equipment List'!$A$2:$A$2038,0)),"")</f>
        <v/>
      </c>
      <c r="E221" s="388"/>
      <c r="F221" s="374"/>
      <c r="G221" s="375"/>
      <c r="H221" s="397"/>
      <c r="I221" s="377"/>
      <c r="J221" s="378"/>
      <c r="K221" s="379"/>
      <c r="L221" s="387"/>
      <c r="M221" s="380" t="str">
        <f t="array" ref="M221">IF(L221="","",(MAX(IF(AN$15:AN$144=B221,AO$15:AO$144))/60))</f>
        <v/>
      </c>
      <c r="N221" s="387"/>
      <c r="O221" s="387"/>
      <c r="P221" s="381" t="str">
        <f t="shared" si="12"/>
        <v/>
      </c>
      <c r="Q221" s="382" t="str">
        <f t="array" ref="Q221">IFERROR(INDEX($D$13:$D$1000,MATCH(0,COUNTIF($Q$12:Q220,$D$13:$D$1000&amp;"")+IF($D$13:$D$1000="",1,0),0)),"")</f>
        <v/>
      </c>
      <c r="R221" s="356" t="str">
        <f t="shared" si="13"/>
        <v/>
      </c>
      <c r="S221" s="383" t="str">
        <f t="shared" si="15"/>
        <v/>
      </c>
      <c r="T221" s="384" t="str">
        <f t="shared" si="14"/>
        <v/>
      </c>
      <c r="U221" s="349"/>
      <c r="V221" s="385"/>
      <c r="W221" s="385"/>
      <c r="X221" s="386"/>
    </row>
    <row r="222" spans="1:24">
      <c r="B222" s="395"/>
      <c r="C222" s="371"/>
      <c r="D222" s="372" t="str">
        <f>IFERROR(INDEX('[11]Equipment List'!$B$2:$B$2038,MATCH(E222,'[11]Equipment List'!$A$2:$A$2038,0)),"")</f>
        <v/>
      </c>
      <c r="E222" s="388"/>
      <c r="F222" s="374"/>
      <c r="G222" s="375"/>
      <c r="H222" s="397"/>
      <c r="I222" s="377"/>
      <c r="J222" s="378"/>
      <c r="K222" s="379"/>
      <c r="L222" s="387"/>
      <c r="M222" s="380" t="str">
        <f t="array" ref="M222">IF(L222="","",(MAX(IF(AN$15:AN$144=B222,AO$15:AO$144))/60))</f>
        <v/>
      </c>
      <c r="N222" s="387"/>
      <c r="O222" s="387"/>
      <c r="P222" s="381" t="str">
        <f t="shared" si="12"/>
        <v/>
      </c>
      <c r="Q222" s="382" t="str">
        <f t="array" ref="Q222">IFERROR(INDEX($D$13:$D$1000,MATCH(0,COUNTIF($Q$12:Q221,$D$13:$D$1000&amp;"")+IF($D$13:$D$1000="",1,0),0)),"")</f>
        <v/>
      </c>
      <c r="R222" s="356" t="str">
        <f t="shared" si="13"/>
        <v/>
      </c>
      <c r="S222" s="383" t="str">
        <f t="shared" si="15"/>
        <v/>
      </c>
      <c r="T222" s="384" t="str">
        <f t="shared" si="14"/>
        <v/>
      </c>
      <c r="U222" s="349"/>
      <c r="V222" s="385"/>
      <c r="W222" s="385"/>
      <c r="X222" s="386"/>
    </row>
    <row r="223" spans="1:24">
      <c r="B223" s="395"/>
      <c r="C223" s="371"/>
      <c r="D223" s="372" t="str">
        <f>IFERROR(INDEX('[11]Equipment List'!$B$2:$B$2038,MATCH(E223,'[11]Equipment List'!$A$2:$A$2038,0)),"")</f>
        <v/>
      </c>
      <c r="E223" s="388"/>
      <c r="F223" s="374"/>
      <c r="G223" s="375"/>
      <c r="H223" s="397"/>
      <c r="I223" s="377"/>
      <c r="J223" s="378"/>
      <c r="K223" s="379"/>
      <c r="L223" s="387"/>
      <c r="M223" s="380" t="str">
        <f t="array" ref="M223">IF(L223="","",(MAX(IF(AN$15:AN$144=B223,AO$15:AO$144))/60))</f>
        <v/>
      </c>
      <c r="N223" s="387"/>
      <c r="O223" s="387"/>
      <c r="P223" s="381" t="str">
        <f t="shared" si="12"/>
        <v/>
      </c>
      <c r="Q223" s="382" t="str">
        <f t="array" ref="Q223">IFERROR(INDEX($D$13:$D$1000,MATCH(0,COUNTIF($Q$12:Q222,$D$13:$D$1000&amp;"")+IF($D$13:$D$1000="",1,0),0)),"")</f>
        <v/>
      </c>
      <c r="R223" s="356" t="str">
        <f t="shared" si="13"/>
        <v/>
      </c>
      <c r="S223" s="383" t="str">
        <f t="shared" si="15"/>
        <v/>
      </c>
      <c r="T223" s="384" t="str">
        <f t="shared" si="14"/>
        <v/>
      </c>
      <c r="U223" s="349"/>
      <c r="V223" s="385"/>
      <c r="W223" s="385"/>
      <c r="X223" s="386"/>
    </row>
    <row r="224" spans="1:24">
      <c r="B224" s="395"/>
      <c r="C224" s="371"/>
      <c r="D224" s="372" t="str">
        <f>IFERROR(INDEX('[11]Equipment List'!$B$2:$B$2038,MATCH(E224,'[11]Equipment List'!$A$2:$A$2038,0)),"")</f>
        <v/>
      </c>
      <c r="E224" s="388"/>
      <c r="F224" s="374"/>
      <c r="G224" s="375"/>
      <c r="H224" s="397"/>
      <c r="I224" s="377"/>
      <c r="J224" s="378"/>
      <c r="K224" s="379"/>
      <c r="L224" s="387"/>
      <c r="M224" s="380" t="str">
        <f t="array" ref="M224">IF(L224="","",(MAX(IF(AN$15:AN$144=B224,AO$15:AO$144))/60))</f>
        <v/>
      </c>
      <c r="N224" s="387"/>
      <c r="O224" s="387"/>
      <c r="P224" s="381" t="str">
        <f t="shared" si="12"/>
        <v/>
      </c>
      <c r="Q224" s="382" t="str">
        <f t="array" ref="Q224">IFERROR(INDEX($D$13:$D$1000,MATCH(0,COUNTIF($Q$12:Q223,$D$13:$D$1000&amp;"")+IF($D$13:$D$1000="",1,0),0)),"")</f>
        <v/>
      </c>
      <c r="R224" s="356" t="str">
        <f t="shared" si="13"/>
        <v/>
      </c>
      <c r="S224" s="383" t="str">
        <f t="shared" si="15"/>
        <v/>
      </c>
      <c r="T224" s="384" t="str">
        <f t="shared" si="14"/>
        <v/>
      </c>
      <c r="U224" s="349"/>
      <c r="V224" s="385"/>
      <c r="W224" s="385"/>
      <c r="X224" s="386"/>
    </row>
    <row r="225" spans="2:24">
      <c r="B225" s="395"/>
      <c r="C225" s="371"/>
      <c r="D225" s="372" t="str">
        <f>IFERROR(INDEX('[11]Equipment List'!$B$2:$B$2038,MATCH(E225,'[11]Equipment List'!$A$2:$A$2038,0)),"")</f>
        <v/>
      </c>
      <c r="E225" s="388"/>
      <c r="F225" s="374"/>
      <c r="G225" s="375"/>
      <c r="H225" s="397"/>
      <c r="I225" s="377"/>
      <c r="J225" s="378"/>
      <c r="K225" s="379"/>
      <c r="L225" s="387"/>
      <c r="M225" s="380" t="str">
        <f t="array" ref="M225">IF(L225="","",(MAX(IF(AN$15:AN$144=B225,AO$15:AO$144))/60))</f>
        <v/>
      </c>
      <c r="N225" s="387"/>
      <c r="O225" s="387"/>
      <c r="P225" s="381" t="str">
        <f t="shared" si="12"/>
        <v/>
      </c>
      <c r="Q225" s="382" t="str">
        <f t="array" ref="Q225">IFERROR(INDEX($D$13:$D$1000,MATCH(0,COUNTIF($Q$12:Q224,$D$13:$D$1000&amp;"")+IF($D$13:$D$1000="",1,0),0)),"")</f>
        <v/>
      </c>
      <c r="R225" s="356" t="str">
        <f t="shared" si="13"/>
        <v/>
      </c>
      <c r="S225" s="383" t="str">
        <f t="shared" si="15"/>
        <v/>
      </c>
      <c r="T225" s="384" t="str">
        <f t="shared" si="14"/>
        <v/>
      </c>
      <c r="U225" s="349"/>
      <c r="V225" s="385"/>
      <c r="W225" s="385"/>
      <c r="X225" s="386"/>
    </row>
    <row r="226" spans="2:24">
      <c r="B226" s="395"/>
      <c r="C226" s="371"/>
      <c r="D226" s="372" t="str">
        <f>IFERROR(INDEX('[11]Equipment List'!$B$2:$B$2038,MATCH(E226,'[11]Equipment List'!$A$2:$A$2038,0)),"")</f>
        <v/>
      </c>
      <c r="E226" s="388"/>
      <c r="F226" s="374"/>
      <c r="G226" s="375"/>
      <c r="H226" s="397"/>
      <c r="I226" s="377"/>
      <c r="J226" s="378"/>
      <c r="K226" s="379"/>
      <c r="L226" s="387"/>
      <c r="M226" s="380" t="str">
        <f t="array" ref="M226">IF(L226="","",(MAX(IF(AN$15:AN$144=B226,AO$15:AO$144))/60))</f>
        <v/>
      </c>
      <c r="N226" s="387"/>
      <c r="O226" s="387"/>
      <c r="P226" s="381" t="str">
        <f t="shared" si="12"/>
        <v/>
      </c>
      <c r="Q226" s="382" t="str">
        <f t="array" ref="Q226">IFERROR(INDEX($D$13:$D$1000,MATCH(0,COUNTIF($Q$12:Q225,$D$13:$D$1000&amp;"")+IF($D$13:$D$1000="",1,0),0)),"")</f>
        <v/>
      </c>
      <c r="R226" s="356" t="str">
        <f t="shared" si="13"/>
        <v/>
      </c>
      <c r="S226" s="383" t="str">
        <f t="shared" si="15"/>
        <v/>
      </c>
      <c r="T226" s="384" t="str">
        <f t="shared" si="14"/>
        <v/>
      </c>
      <c r="U226" s="349"/>
      <c r="V226" s="385"/>
      <c r="W226" s="385"/>
      <c r="X226" s="386"/>
    </row>
    <row r="227" spans="2:24">
      <c r="B227" s="395"/>
      <c r="C227" s="371"/>
      <c r="D227" s="372" t="str">
        <f>IFERROR(INDEX('[11]Equipment List'!$B$2:$B$2038,MATCH(E227,'[11]Equipment List'!$A$2:$A$2038,0)),"")</f>
        <v/>
      </c>
      <c r="E227" s="388"/>
      <c r="F227" s="374"/>
      <c r="G227" s="375"/>
      <c r="H227" s="397"/>
      <c r="I227" s="377"/>
      <c r="J227" s="378"/>
      <c r="K227" s="379"/>
      <c r="L227" s="387"/>
      <c r="M227" s="380" t="str">
        <f t="array" ref="M227">IF(L227="","",(MAX(IF(AN$15:AN$144=B227,AO$15:AO$144))/60))</f>
        <v/>
      </c>
      <c r="N227" s="387"/>
      <c r="O227" s="387"/>
      <c r="P227" s="381" t="str">
        <f t="shared" si="12"/>
        <v/>
      </c>
      <c r="Q227" s="382" t="str">
        <f t="array" ref="Q227">IFERROR(INDEX($D$13:$D$1000,MATCH(0,COUNTIF($Q$12:Q226,$D$13:$D$1000&amp;"")+IF($D$13:$D$1000="",1,0),0)),"")</f>
        <v/>
      </c>
      <c r="R227" s="356" t="str">
        <f t="shared" si="13"/>
        <v/>
      </c>
      <c r="S227" s="383" t="str">
        <f t="shared" si="15"/>
        <v/>
      </c>
      <c r="T227" s="384" t="str">
        <f t="shared" si="14"/>
        <v/>
      </c>
      <c r="U227" s="349"/>
      <c r="V227" s="385"/>
      <c r="W227" s="385"/>
      <c r="X227" s="386"/>
    </row>
    <row r="228" spans="2:24">
      <c r="B228" s="395"/>
      <c r="C228" s="371"/>
      <c r="D228" s="372" t="str">
        <f>IFERROR(INDEX('[11]Equipment List'!$B$2:$B$2038,MATCH(E228,'[11]Equipment List'!$A$2:$A$2038,0)),"")</f>
        <v/>
      </c>
      <c r="E228" s="388"/>
      <c r="F228" s="374"/>
      <c r="G228" s="375"/>
      <c r="H228" s="397"/>
      <c r="I228" s="377"/>
      <c r="J228" s="378"/>
      <c r="K228" s="379"/>
      <c r="L228" s="387"/>
      <c r="M228" s="380" t="str">
        <f t="array" ref="M228">IF(L228="","",(MAX(IF(AN$15:AN$144=B228,AO$15:AO$144))/60))</f>
        <v/>
      </c>
      <c r="N228" s="387"/>
      <c r="O228" s="387"/>
      <c r="P228" s="381" t="str">
        <f t="shared" si="12"/>
        <v/>
      </c>
      <c r="Q228" s="382" t="str">
        <f t="array" ref="Q228">IFERROR(INDEX($D$13:$D$1000,MATCH(0,COUNTIF($Q$12:Q227,$D$13:$D$1000&amp;"")+IF($D$13:$D$1000="",1,0),0)),"")</f>
        <v/>
      </c>
      <c r="R228" s="356" t="str">
        <f t="shared" si="13"/>
        <v/>
      </c>
      <c r="S228" s="383" t="str">
        <f t="shared" si="15"/>
        <v/>
      </c>
      <c r="T228" s="384" t="str">
        <f t="shared" si="14"/>
        <v/>
      </c>
      <c r="U228" s="349"/>
      <c r="V228" s="385"/>
      <c r="W228" s="385"/>
      <c r="X228" s="386"/>
    </row>
    <row r="229" spans="2:24">
      <c r="B229" s="395"/>
      <c r="C229" s="371"/>
      <c r="D229" s="372" t="str">
        <f>IFERROR(INDEX('[11]Equipment List'!$B$2:$B$2038,MATCH(E229,'[11]Equipment List'!$A$2:$A$2038,0)),"")</f>
        <v/>
      </c>
      <c r="E229" s="388"/>
      <c r="F229" s="374"/>
      <c r="G229" s="375"/>
      <c r="H229" s="397"/>
      <c r="I229" s="377"/>
      <c r="J229" s="378"/>
      <c r="K229" s="379"/>
      <c r="L229" s="387"/>
      <c r="M229" s="380" t="str">
        <f t="array" ref="M229">IF(L229="","",(MAX(IF(AN$15:AN$144=B229,AO$15:AO$144))/60))</f>
        <v/>
      </c>
      <c r="N229" s="387"/>
      <c r="O229" s="387"/>
      <c r="P229" s="381" t="str">
        <f t="shared" si="12"/>
        <v/>
      </c>
      <c r="Q229" s="382" t="str">
        <f t="array" ref="Q229">IFERROR(INDEX($D$13:$D$1000,MATCH(0,COUNTIF($Q$12:Q228,$D$13:$D$1000&amp;"")+IF($D$13:$D$1000="",1,0),0)),"")</f>
        <v/>
      </c>
      <c r="R229" s="356" t="str">
        <f t="shared" si="13"/>
        <v/>
      </c>
      <c r="S229" s="383" t="str">
        <f t="shared" si="15"/>
        <v/>
      </c>
      <c r="T229" s="384" t="str">
        <f t="shared" si="14"/>
        <v/>
      </c>
      <c r="U229" s="349"/>
      <c r="V229" s="385"/>
      <c r="W229" s="385"/>
      <c r="X229" s="386"/>
    </row>
    <row r="230" spans="2:24">
      <c r="B230" s="395"/>
      <c r="C230" s="371"/>
      <c r="D230" s="372" t="str">
        <f>IFERROR(INDEX('[11]Equipment List'!$B$2:$B$2038,MATCH(E230,'[11]Equipment List'!$A$2:$A$2038,0)),"")</f>
        <v/>
      </c>
      <c r="E230" s="388"/>
      <c r="F230" s="374"/>
      <c r="G230" s="375"/>
      <c r="H230" s="397"/>
      <c r="I230" s="377"/>
      <c r="J230" s="378"/>
      <c r="K230" s="379"/>
      <c r="L230" s="387"/>
      <c r="M230" s="380" t="str">
        <f t="array" ref="M230">IF(L230="","",(MAX(IF(AN$15:AN$144=B230,AO$15:AO$144))/60))</f>
        <v/>
      </c>
      <c r="N230" s="387"/>
      <c r="O230" s="387"/>
      <c r="P230" s="381" t="str">
        <f t="shared" si="12"/>
        <v/>
      </c>
      <c r="Q230" s="382" t="str">
        <f t="array" ref="Q230">IFERROR(INDEX($D$13:$D$1000,MATCH(0,COUNTIF($Q$12:Q229,$D$13:$D$1000&amp;"")+IF($D$13:$D$1000="",1,0),0)),"")</f>
        <v/>
      </c>
      <c r="R230" s="356" t="str">
        <f t="shared" si="13"/>
        <v/>
      </c>
      <c r="S230" s="383" t="str">
        <f t="shared" si="15"/>
        <v/>
      </c>
      <c r="T230" s="384" t="str">
        <f t="shared" si="14"/>
        <v/>
      </c>
      <c r="U230" s="349"/>
      <c r="V230" s="385"/>
      <c r="W230" s="385"/>
      <c r="X230" s="386"/>
    </row>
    <row r="231" spans="2:24">
      <c r="B231" s="395"/>
      <c r="C231" s="371"/>
      <c r="D231" s="372" t="str">
        <f>IFERROR(INDEX('[11]Equipment List'!$B$2:$B$2038,MATCH(E231,'[11]Equipment List'!$A$2:$A$2038,0)),"")</f>
        <v/>
      </c>
      <c r="E231" s="388"/>
      <c r="F231" s="374"/>
      <c r="G231" s="375"/>
      <c r="H231" s="397"/>
      <c r="I231" s="377"/>
      <c r="J231" s="378"/>
      <c r="K231" s="379"/>
      <c r="L231" s="387"/>
      <c r="M231" s="380" t="str">
        <f t="array" ref="M231">IF(L231="","",(MAX(IF(AN$15:AN$144=B231,AO$15:AO$144))/60))</f>
        <v/>
      </c>
      <c r="N231" s="387"/>
      <c r="O231" s="387"/>
      <c r="P231" s="381" t="str">
        <f t="shared" si="12"/>
        <v/>
      </c>
      <c r="Q231" s="382" t="str">
        <f t="array" ref="Q231">IFERROR(INDEX($D$13:$D$1000,MATCH(0,COUNTIF($Q$12:Q230,$D$13:$D$1000&amp;"")+IF($D$13:$D$1000="",1,0),0)),"")</f>
        <v/>
      </c>
      <c r="R231" s="356" t="str">
        <f t="shared" si="13"/>
        <v/>
      </c>
      <c r="S231" s="383" t="str">
        <f t="shared" si="15"/>
        <v/>
      </c>
      <c r="T231" s="384" t="str">
        <f t="shared" si="14"/>
        <v/>
      </c>
      <c r="U231" s="349"/>
      <c r="V231" s="385"/>
      <c r="W231" s="385"/>
      <c r="X231" s="386"/>
    </row>
    <row r="232" spans="2:24">
      <c r="B232" s="395"/>
      <c r="C232" s="371"/>
      <c r="D232" s="372" t="str">
        <f>IFERROR(INDEX('[11]Equipment List'!$B$2:$B$2038,MATCH(E232,'[11]Equipment List'!$A$2:$A$2038,0)),"")</f>
        <v/>
      </c>
      <c r="E232" s="388"/>
      <c r="F232" s="374"/>
      <c r="G232" s="375"/>
      <c r="H232" s="397"/>
      <c r="I232" s="377"/>
      <c r="J232" s="378"/>
      <c r="K232" s="379"/>
      <c r="L232" s="387"/>
      <c r="M232" s="380" t="str">
        <f t="array" ref="M232">IF(L232="","",(MAX(IF(AN$15:AN$144=B232,AO$15:AO$144))/60))</f>
        <v/>
      </c>
      <c r="N232" s="387"/>
      <c r="O232" s="387"/>
      <c r="P232" s="381" t="str">
        <f t="shared" si="12"/>
        <v/>
      </c>
      <c r="Q232" s="382" t="str">
        <f t="array" ref="Q232">IFERROR(INDEX($D$13:$D$1000,MATCH(0,COUNTIF($Q$12:Q231,$D$13:$D$1000&amp;"")+IF($D$13:$D$1000="",1,0),0)),"")</f>
        <v/>
      </c>
      <c r="R232" s="356" t="str">
        <f t="shared" si="13"/>
        <v/>
      </c>
      <c r="S232" s="383" t="str">
        <f t="shared" si="15"/>
        <v/>
      </c>
      <c r="T232" s="384" t="str">
        <f t="shared" si="14"/>
        <v/>
      </c>
      <c r="U232" s="349"/>
      <c r="V232" s="385"/>
      <c r="W232" s="385"/>
      <c r="X232" s="386"/>
    </row>
    <row r="233" spans="2:24">
      <c r="B233" s="395"/>
      <c r="C233" s="371"/>
      <c r="D233" s="372" t="str">
        <f>IFERROR(INDEX('[11]Equipment List'!$B$2:$B$2038,MATCH(E233,'[11]Equipment List'!$A$2:$A$2038,0)),"")</f>
        <v/>
      </c>
      <c r="E233" s="388"/>
      <c r="F233" s="374"/>
      <c r="G233" s="375"/>
      <c r="H233" s="397"/>
      <c r="I233" s="377"/>
      <c r="J233" s="378"/>
      <c r="K233" s="379"/>
      <c r="L233" s="387"/>
      <c r="M233" s="380" t="str">
        <f t="array" ref="M233">IF(L233="","",(MAX(IF(AN$15:AN$144=B233,AO$15:AO$144))/60))</f>
        <v/>
      </c>
      <c r="N233" s="387"/>
      <c r="O233" s="387"/>
      <c r="P233" s="381" t="str">
        <f t="shared" si="12"/>
        <v/>
      </c>
      <c r="Q233" s="382" t="str">
        <f t="array" ref="Q233">IFERROR(INDEX($D$13:$D$1000,MATCH(0,COUNTIF($Q$12:Q232,$D$13:$D$1000&amp;"")+IF($D$13:$D$1000="",1,0),0)),"")</f>
        <v/>
      </c>
      <c r="R233" s="356" t="str">
        <f t="shared" si="13"/>
        <v/>
      </c>
      <c r="S233" s="383" t="str">
        <f t="shared" si="15"/>
        <v/>
      </c>
      <c r="T233" s="384" t="str">
        <f t="shared" si="14"/>
        <v/>
      </c>
      <c r="U233" s="349"/>
      <c r="V233" s="385"/>
      <c r="W233" s="385"/>
      <c r="X233" s="386"/>
    </row>
    <row r="234" spans="2:24">
      <c r="B234" s="395"/>
      <c r="C234" s="371"/>
      <c r="D234" s="372" t="str">
        <f>IFERROR(INDEX('[11]Equipment List'!$B$2:$B$2038,MATCH(E234,'[11]Equipment List'!$A$2:$A$2038,0)),"")</f>
        <v/>
      </c>
      <c r="E234" s="388"/>
      <c r="F234" s="374"/>
      <c r="G234" s="375"/>
      <c r="H234" s="397"/>
      <c r="I234" s="377"/>
      <c r="J234" s="378"/>
      <c r="K234" s="379"/>
      <c r="L234" s="387"/>
      <c r="M234" s="380" t="str">
        <f t="array" ref="M234">IF(L234="","",(MAX(IF(AN$15:AN$144=B234,AO$15:AO$144))/60))</f>
        <v/>
      </c>
      <c r="N234" s="387"/>
      <c r="O234" s="387"/>
      <c r="P234" s="381" t="str">
        <f t="shared" si="12"/>
        <v/>
      </c>
      <c r="Q234" s="382" t="str">
        <f t="array" ref="Q234">IFERROR(INDEX($D$13:$D$1000,MATCH(0,COUNTIF($Q$12:Q233,$D$13:$D$1000&amp;"")+IF($D$13:$D$1000="",1,0),0)),"")</f>
        <v/>
      </c>
      <c r="R234" s="356" t="str">
        <f t="shared" si="13"/>
        <v/>
      </c>
      <c r="S234" s="383" t="str">
        <f t="shared" si="15"/>
        <v/>
      </c>
      <c r="T234" s="384" t="str">
        <f t="shared" si="14"/>
        <v/>
      </c>
      <c r="U234" s="349"/>
      <c r="V234" s="385"/>
      <c r="W234" s="385"/>
      <c r="X234" s="386"/>
    </row>
    <row r="235" spans="2:24">
      <c r="B235" s="395"/>
      <c r="C235" s="371"/>
      <c r="D235" s="372" t="str">
        <f>IFERROR(INDEX('[11]Equipment List'!$B$2:$B$2038,MATCH(E235,'[11]Equipment List'!$A$2:$A$2038,0)),"")</f>
        <v/>
      </c>
      <c r="E235" s="388"/>
      <c r="F235" s="374"/>
      <c r="G235" s="375"/>
      <c r="H235" s="397"/>
      <c r="I235" s="377"/>
      <c r="J235" s="378"/>
      <c r="K235" s="379"/>
      <c r="L235" s="387"/>
      <c r="M235" s="380" t="str">
        <f t="array" ref="M235">IF(L235="","",(MAX(IF(AN$15:AN$144=B235,AO$15:AO$144))/60))</f>
        <v/>
      </c>
      <c r="N235" s="387"/>
      <c r="O235" s="387"/>
      <c r="P235" s="381" t="str">
        <f t="shared" si="12"/>
        <v/>
      </c>
      <c r="Q235" s="382" t="str">
        <f t="array" ref="Q235">IFERROR(INDEX($D$13:$D$1000,MATCH(0,COUNTIF($Q$12:Q234,$D$13:$D$1000&amp;"")+IF($D$13:$D$1000="",1,0),0)),"")</f>
        <v/>
      </c>
      <c r="R235" s="356" t="str">
        <f t="shared" si="13"/>
        <v/>
      </c>
      <c r="S235" s="383" t="str">
        <f t="shared" ref="S235:S298" si="16">IF($Q235="","",SUMIF($D$13:$D$1000,$Q235,I$13:I$1000))</f>
        <v/>
      </c>
      <c r="T235" s="384" t="str">
        <f t="shared" si="14"/>
        <v/>
      </c>
      <c r="U235" s="349"/>
      <c r="V235" s="385"/>
      <c r="W235" s="385"/>
      <c r="X235" s="386"/>
    </row>
    <row r="236" spans="2:24">
      <c r="B236" s="395"/>
      <c r="C236" s="371"/>
      <c r="D236" s="372" t="str">
        <f>IFERROR(INDEX('[11]Equipment List'!$B$2:$B$2038,MATCH(E236,'[11]Equipment List'!$A$2:$A$2038,0)),"")</f>
        <v/>
      </c>
      <c r="E236" s="388"/>
      <c r="F236" s="374"/>
      <c r="G236" s="375"/>
      <c r="H236" s="397"/>
      <c r="I236" s="377"/>
      <c r="J236" s="378"/>
      <c r="K236" s="379"/>
      <c r="L236" s="387"/>
      <c r="M236" s="380" t="str">
        <f t="array" ref="M236">IF(L236="","",(MAX(IF(AN$15:AN$144=B236,AO$15:AO$144))/60))</f>
        <v/>
      </c>
      <c r="N236" s="387"/>
      <c r="O236" s="387"/>
      <c r="P236" s="381" t="str">
        <f t="shared" si="12"/>
        <v/>
      </c>
      <c r="Q236" s="382" t="str">
        <f t="array" ref="Q236">IFERROR(INDEX($D$13:$D$1000,MATCH(0,COUNTIF($Q$12:Q235,$D$13:$D$1000&amp;"")+IF($D$13:$D$1000="",1,0),0)),"")</f>
        <v/>
      </c>
      <c r="R236" s="356" t="str">
        <f t="shared" si="13"/>
        <v/>
      </c>
      <c r="S236" s="383" t="str">
        <f t="shared" si="16"/>
        <v/>
      </c>
      <c r="T236" s="384" t="str">
        <f t="shared" si="14"/>
        <v/>
      </c>
      <c r="U236" s="349"/>
      <c r="V236" s="385"/>
      <c r="W236" s="385"/>
      <c r="X236" s="386"/>
    </row>
    <row r="237" spans="2:24">
      <c r="B237" s="395"/>
      <c r="C237" s="371"/>
      <c r="D237" s="372" t="str">
        <f>IFERROR(INDEX('[11]Equipment List'!$B$2:$B$2038,MATCH(E237,'[11]Equipment List'!$A$2:$A$2038,0)),"")</f>
        <v/>
      </c>
      <c r="E237" s="388"/>
      <c r="F237" s="374"/>
      <c r="G237" s="375"/>
      <c r="H237" s="397"/>
      <c r="I237" s="377"/>
      <c r="J237" s="378"/>
      <c r="K237" s="379"/>
      <c r="L237" s="387"/>
      <c r="M237" s="380" t="str">
        <f t="array" ref="M237">IF(L237="","",(MAX(IF(AN$15:AN$144=B237,AO$15:AO$144))/60))</f>
        <v/>
      </c>
      <c r="N237" s="387"/>
      <c r="O237" s="387"/>
      <c r="P237" s="381" t="str">
        <f t="shared" si="12"/>
        <v/>
      </c>
      <c r="Q237" s="382" t="str">
        <f t="array" ref="Q237">IFERROR(INDEX($D$13:$D$1000,MATCH(0,COUNTIF($Q$12:Q236,$D$13:$D$1000&amp;"")+IF($D$13:$D$1000="",1,0),0)),"")</f>
        <v/>
      </c>
      <c r="R237" s="356" t="str">
        <f t="shared" si="13"/>
        <v/>
      </c>
      <c r="S237" s="383" t="str">
        <f t="shared" si="16"/>
        <v/>
      </c>
      <c r="T237" s="384" t="str">
        <f t="shared" si="14"/>
        <v/>
      </c>
      <c r="U237" s="349"/>
      <c r="V237" s="385"/>
      <c r="W237" s="385"/>
      <c r="X237" s="386"/>
    </row>
    <row r="238" spans="2:24">
      <c r="B238" s="395"/>
      <c r="C238" s="371"/>
      <c r="D238" s="372" t="str">
        <f>IFERROR(INDEX('[11]Equipment List'!$B$2:$B$2038,MATCH(E238,'[11]Equipment List'!$A$2:$A$2038,0)),"")</f>
        <v/>
      </c>
      <c r="E238" s="388"/>
      <c r="F238" s="374"/>
      <c r="G238" s="375"/>
      <c r="H238" s="397"/>
      <c r="I238" s="377"/>
      <c r="J238" s="378"/>
      <c r="K238" s="379"/>
      <c r="L238" s="387"/>
      <c r="M238" s="380" t="str">
        <f t="array" ref="M238">IF(L238="","",(MAX(IF(AN$15:AN$144=B238,AO$15:AO$144))/60))</f>
        <v/>
      </c>
      <c r="N238" s="387"/>
      <c r="O238" s="387"/>
      <c r="P238" s="381" t="str">
        <f t="shared" si="12"/>
        <v/>
      </c>
      <c r="Q238" s="382" t="str">
        <f t="array" ref="Q238">IFERROR(INDEX($D$13:$D$1000,MATCH(0,COUNTIF($Q$12:Q237,$D$13:$D$1000&amp;"")+IF($D$13:$D$1000="",1,0),0)),"")</f>
        <v/>
      </c>
      <c r="R238" s="356" t="str">
        <f t="shared" si="13"/>
        <v/>
      </c>
      <c r="S238" s="383" t="str">
        <f t="shared" si="16"/>
        <v/>
      </c>
      <c r="T238" s="384" t="str">
        <f t="shared" si="14"/>
        <v/>
      </c>
      <c r="U238" s="349"/>
      <c r="V238" s="385"/>
      <c r="W238" s="385"/>
      <c r="X238" s="386"/>
    </row>
    <row r="239" spans="2:24">
      <c r="B239" s="395"/>
      <c r="C239" s="371"/>
      <c r="D239" s="372" t="str">
        <f>IFERROR(INDEX('[11]Equipment List'!$B$2:$B$2038,MATCH(E239,'[11]Equipment List'!$A$2:$A$2038,0)),"")</f>
        <v/>
      </c>
      <c r="E239" s="388"/>
      <c r="F239" s="374"/>
      <c r="G239" s="375"/>
      <c r="H239" s="397"/>
      <c r="I239" s="377"/>
      <c r="J239" s="378"/>
      <c r="K239" s="379"/>
      <c r="L239" s="387"/>
      <c r="M239" s="380" t="str">
        <f t="array" ref="M239">IF(L239="","",(MAX(IF(AN$15:AN$144=B239,AO$15:AO$144))/60))</f>
        <v/>
      </c>
      <c r="N239" s="387"/>
      <c r="O239" s="387"/>
      <c r="P239" s="381" t="str">
        <f t="shared" si="12"/>
        <v/>
      </c>
      <c r="Q239" s="382" t="str">
        <f t="array" ref="Q239">IFERROR(INDEX($D$13:$D$1000,MATCH(0,COUNTIF($Q$12:Q238,$D$13:$D$1000&amp;"")+IF($D$13:$D$1000="",1,0),0)),"")</f>
        <v/>
      </c>
      <c r="R239" s="356" t="str">
        <f t="shared" si="13"/>
        <v/>
      </c>
      <c r="S239" s="383" t="str">
        <f t="shared" si="16"/>
        <v/>
      </c>
      <c r="T239" s="384" t="str">
        <f t="shared" si="14"/>
        <v/>
      </c>
      <c r="U239" s="349"/>
      <c r="V239" s="385"/>
      <c r="W239" s="385"/>
      <c r="X239" s="386"/>
    </row>
    <row r="240" spans="2:24">
      <c r="B240" s="395"/>
      <c r="C240" s="371"/>
      <c r="D240" s="372" t="str">
        <f>IFERROR(INDEX('[11]Equipment List'!$B$2:$B$2038,MATCH(E240,'[11]Equipment List'!$A$2:$A$2038,0)),"")</f>
        <v/>
      </c>
      <c r="E240" s="388"/>
      <c r="F240" s="374"/>
      <c r="G240" s="375"/>
      <c r="H240" s="397"/>
      <c r="I240" s="377"/>
      <c r="J240" s="378"/>
      <c r="K240" s="379"/>
      <c r="L240" s="387"/>
      <c r="M240" s="380" t="str">
        <f t="array" ref="M240">IF(L240="","",(MAX(IF(AN$15:AN$144=B240,AO$15:AO$144))/60))</f>
        <v/>
      </c>
      <c r="N240" s="387"/>
      <c r="O240" s="387"/>
      <c r="P240" s="381" t="str">
        <f t="shared" si="12"/>
        <v/>
      </c>
      <c r="Q240" s="382" t="str">
        <f t="array" ref="Q240">IFERROR(INDEX($D$13:$D$1000,MATCH(0,COUNTIF($Q$12:Q239,$D$13:$D$1000&amp;"")+IF($D$13:$D$1000="",1,0),0)),"")</f>
        <v/>
      </c>
      <c r="R240" s="356" t="str">
        <f t="shared" si="13"/>
        <v/>
      </c>
      <c r="S240" s="383" t="str">
        <f t="shared" si="16"/>
        <v/>
      </c>
      <c r="T240" s="384" t="str">
        <f t="shared" si="14"/>
        <v/>
      </c>
      <c r="U240" s="349"/>
      <c r="V240" s="385"/>
      <c r="W240" s="385"/>
      <c r="X240" s="386"/>
    </row>
    <row r="241" spans="2:24">
      <c r="B241" s="395"/>
      <c r="C241" s="371"/>
      <c r="D241" s="372" t="str">
        <f>IFERROR(INDEX('[11]Equipment List'!$B$2:$B$2038,MATCH(E241,'[11]Equipment List'!$A$2:$A$2038,0)),"")</f>
        <v/>
      </c>
      <c r="E241" s="388"/>
      <c r="F241" s="374"/>
      <c r="G241" s="375"/>
      <c r="H241" s="397"/>
      <c r="I241" s="377"/>
      <c r="J241" s="378"/>
      <c r="K241" s="379"/>
      <c r="L241" s="387"/>
      <c r="M241" s="380" t="str">
        <f t="array" ref="M241">IF(L241="","",(MAX(IF(AN$15:AN$144=B241,AO$15:AO$144))/60))</f>
        <v/>
      </c>
      <c r="N241" s="387"/>
      <c r="O241" s="387"/>
      <c r="P241" s="381" t="str">
        <f t="shared" si="12"/>
        <v/>
      </c>
      <c r="Q241" s="382" t="str">
        <f t="array" ref="Q241">IFERROR(INDEX($D$13:$D$1000,MATCH(0,COUNTIF($Q$12:Q240,$D$13:$D$1000&amp;"")+IF($D$13:$D$1000="",1,0),0)),"")</f>
        <v/>
      </c>
      <c r="R241" s="356" t="str">
        <f t="shared" si="13"/>
        <v/>
      </c>
      <c r="S241" s="383" t="str">
        <f t="shared" si="16"/>
        <v/>
      </c>
      <c r="T241" s="384" t="str">
        <f t="shared" si="14"/>
        <v/>
      </c>
      <c r="U241" s="349"/>
      <c r="V241" s="385"/>
      <c r="W241" s="385"/>
      <c r="X241" s="386"/>
    </row>
    <row r="242" spans="2:24">
      <c r="B242" s="395"/>
      <c r="C242" s="371"/>
      <c r="D242" s="372" t="str">
        <f>IFERROR(INDEX('[11]Equipment List'!$B$2:$B$2038,MATCH(E242,'[11]Equipment List'!$A$2:$A$2038,0)),"")</f>
        <v/>
      </c>
      <c r="E242" s="388"/>
      <c r="F242" s="374"/>
      <c r="G242" s="375"/>
      <c r="H242" s="397"/>
      <c r="I242" s="377"/>
      <c r="J242" s="378"/>
      <c r="K242" s="379"/>
      <c r="L242" s="387"/>
      <c r="M242" s="380" t="str">
        <f t="array" ref="M242">IF(L242="","",(MAX(IF(AN$15:AN$144=B242,AO$15:AO$144))/60))</f>
        <v/>
      </c>
      <c r="N242" s="387"/>
      <c r="O242" s="387"/>
      <c r="P242" s="381" t="str">
        <f t="shared" si="12"/>
        <v/>
      </c>
      <c r="Q242" s="382" t="str">
        <f t="array" ref="Q242">IFERROR(INDEX($D$13:$D$1000,MATCH(0,COUNTIF($Q$12:Q241,$D$13:$D$1000&amp;"")+IF($D$13:$D$1000="",1,0),0)),"")</f>
        <v/>
      </c>
      <c r="R242" s="356" t="str">
        <f t="shared" si="13"/>
        <v/>
      </c>
      <c r="S242" s="383" t="str">
        <f t="shared" si="16"/>
        <v/>
      </c>
      <c r="T242" s="384" t="str">
        <f t="shared" si="14"/>
        <v/>
      </c>
      <c r="U242" s="349"/>
      <c r="V242" s="385"/>
      <c r="W242" s="385"/>
      <c r="X242" s="386"/>
    </row>
    <row r="243" spans="2:24">
      <c r="B243" s="395"/>
      <c r="C243" s="371"/>
      <c r="D243" s="372" t="str">
        <f>IFERROR(INDEX('[11]Equipment List'!$B$2:$B$2038,MATCH(E243,'[11]Equipment List'!$A$2:$A$2038,0)),"")</f>
        <v/>
      </c>
      <c r="E243" s="388"/>
      <c r="F243" s="374"/>
      <c r="G243" s="375"/>
      <c r="H243" s="397"/>
      <c r="I243" s="377"/>
      <c r="J243" s="378"/>
      <c r="K243" s="379"/>
      <c r="L243" s="387"/>
      <c r="M243" s="380" t="str">
        <f t="array" ref="M243">IF(L243="","",(MAX(IF(AN$15:AN$144=B243,AO$15:AO$144))/60))</f>
        <v/>
      </c>
      <c r="N243" s="387"/>
      <c r="O243" s="387"/>
      <c r="P243" s="381" t="str">
        <f t="shared" si="12"/>
        <v/>
      </c>
      <c r="Q243" s="382" t="str">
        <f t="array" ref="Q243">IFERROR(INDEX($D$13:$D$1000,MATCH(0,COUNTIF($Q$12:Q242,$D$13:$D$1000&amp;"")+IF($D$13:$D$1000="",1,0),0)),"")</f>
        <v/>
      </c>
      <c r="R243" s="356" t="str">
        <f t="shared" si="13"/>
        <v/>
      </c>
      <c r="S243" s="383" t="str">
        <f t="shared" si="16"/>
        <v/>
      </c>
      <c r="T243" s="384" t="str">
        <f t="shared" si="14"/>
        <v/>
      </c>
      <c r="U243" s="349"/>
      <c r="V243" s="385"/>
      <c r="W243" s="385"/>
      <c r="X243" s="386"/>
    </row>
    <row r="244" spans="2:24">
      <c r="B244" s="395"/>
      <c r="C244" s="371"/>
      <c r="D244" s="372" t="str">
        <f>IFERROR(INDEX('[11]Equipment List'!$B$2:$B$2038,MATCH(E244,'[11]Equipment List'!$A$2:$A$2038,0)),"")</f>
        <v/>
      </c>
      <c r="E244" s="388"/>
      <c r="F244" s="374"/>
      <c r="G244" s="375"/>
      <c r="H244" s="397"/>
      <c r="I244" s="377"/>
      <c r="J244" s="378"/>
      <c r="K244" s="379"/>
      <c r="L244" s="387"/>
      <c r="M244" s="380" t="str">
        <f t="array" ref="M244">IF(L244="","",(MAX(IF(AN$15:AN$144=B244,AO$15:AO$144))/60))</f>
        <v/>
      </c>
      <c r="N244" s="387"/>
      <c r="O244" s="387"/>
      <c r="P244" s="381" t="str">
        <f t="shared" si="12"/>
        <v/>
      </c>
      <c r="Q244" s="382" t="str">
        <f t="array" ref="Q244">IFERROR(INDEX($D$13:$D$1000,MATCH(0,COUNTIF($Q$12:Q243,$D$13:$D$1000&amp;"")+IF($D$13:$D$1000="",1,0),0)),"")</f>
        <v/>
      </c>
      <c r="R244" s="356" t="str">
        <f t="shared" si="13"/>
        <v/>
      </c>
      <c r="S244" s="383" t="str">
        <f t="shared" si="16"/>
        <v/>
      </c>
      <c r="T244" s="384" t="str">
        <f t="shared" si="14"/>
        <v/>
      </c>
      <c r="U244" s="349"/>
      <c r="V244" s="385"/>
      <c r="W244" s="385"/>
      <c r="X244" s="386"/>
    </row>
    <row r="245" spans="2:24">
      <c r="B245" s="395"/>
      <c r="C245" s="371"/>
      <c r="D245" s="372" t="str">
        <f>IFERROR(INDEX('[11]Equipment List'!$B$2:$B$2038,MATCH(E245,'[11]Equipment List'!$A$2:$A$2038,0)),"")</f>
        <v/>
      </c>
      <c r="E245" s="388"/>
      <c r="F245" s="374"/>
      <c r="G245" s="375"/>
      <c r="H245" s="397"/>
      <c r="I245" s="377"/>
      <c r="J245" s="378"/>
      <c r="K245" s="379"/>
      <c r="L245" s="387"/>
      <c r="M245" s="380" t="str">
        <f t="array" ref="M245">IF(L245="","",(MAX(IF(AN$15:AN$144=B245,AO$15:AO$144))/60))</f>
        <v/>
      </c>
      <c r="N245" s="387"/>
      <c r="O245" s="387"/>
      <c r="P245" s="381" t="str">
        <f t="shared" si="12"/>
        <v/>
      </c>
      <c r="Q245" s="382" t="str">
        <f t="array" ref="Q245">IFERROR(INDEX($D$13:$D$1000,MATCH(0,COUNTIF($Q$12:Q244,$D$13:$D$1000&amp;"")+IF($D$13:$D$1000="",1,0),0)),"")</f>
        <v/>
      </c>
      <c r="R245" s="356" t="str">
        <f t="shared" si="13"/>
        <v/>
      </c>
      <c r="S245" s="383" t="str">
        <f t="shared" si="16"/>
        <v/>
      </c>
      <c r="T245" s="384" t="str">
        <f t="shared" si="14"/>
        <v/>
      </c>
      <c r="U245" s="349"/>
      <c r="V245" s="385"/>
      <c r="W245" s="385"/>
      <c r="X245" s="386"/>
    </row>
    <row r="246" spans="2:24">
      <c r="B246" s="395"/>
      <c r="C246" s="371"/>
      <c r="D246" s="372" t="str">
        <f>IFERROR(INDEX('[11]Equipment List'!$B$2:$B$2038,MATCH(E246,'[11]Equipment List'!$A$2:$A$2038,0)),"")</f>
        <v/>
      </c>
      <c r="E246" s="388"/>
      <c r="F246" s="374"/>
      <c r="G246" s="375"/>
      <c r="H246" s="397"/>
      <c r="I246" s="377"/>
      <c r="J246" s="378"/>
      <c r="K246" s="379"/>
      <c r="L246" s="387"/>
      <c r="M246" s="380" t="str">
        <f t="array" ref="M246">IF(L246="","",(MAX(IF(AN$15:AN$144=B246,AO$15:AO$144))/60))</f>
        <v/>
      </c>
      <c r="N246" s="387"/>
      <c r="O246" s="387"/>
      <c r="P246" s="381" t="str">
        <f t="shared" si="12"/>
        <v/>
      </c>
      <c r="Q246" s="382" t="str">
        <f t="array" ref="Q246">IFERROR(INDEX($D$13:$D$1000,MATCH(0,COUNTIF($Q$12:Q245,$D$13:$D$1000&amp;"")+IF($D$13:$D$1000="",1,0),0)),"")</f>
        <v/>
      </c>
      <c r="R246" s="356" t="str">
        <f t="shared" si="13"/>
        <v/>
      </c>
      <c r="S246" s="383" t="str">
        <f t="shared" si="16"/>
        <v/>
      </c>
      <c r="T246" s="384" t="str">
        <f t="shared" si="14"/>
        <v/>
      </c>
      <c r="U246" s="349"/>
      <c r="V246" s="385"/>
      <c r="W246" s="385"/>
      <c r="X246" s="386"/>
    </row>
    <row r="247" spans="2:24">
      <c r="B247" s="395"/>
      <c r="C247" s="371"/>
      <c r="D247" s="372" t="str">
        <f>IFERROR(INDEX('[11]Equipment List'!$B$2:$B$2038,MATCH(E247,'[11]Equipment List'!$A$2:$A$2038,0)),"")</f>
        <v/>
      </c>
      <c r="E247" s="388"/>
      <c r="F247" s="374"/>
      <c r="G247" s="375"/>
      <c r="H247" s="397"/>
      <c r="I247" s="377"/>
      <c r="J247" s="378"/>
      <c r="K247" s="379"/>
      <c r="L247" s="387"/>
      <c r="M247" s="380" t="str">
        <f t="array" ref="M247">IF(L247="","",(MAX(IF(AN$15:AN$144=B247,AO$15:AO$144))/60))</f>
        <v/>
      </c>
      <c r="N247" s="387"/>
      <c r="O247" s="387"/>
      <c r="P247" s="381" t="str">
        <f t="shared" si="12"/>
        <v/>
      </c>
      <c r="Q247" s="382" t="str">
        <f t="array" ref="Q247">IFERROR(INDEX($D$13:$D$1000,MATCH(0,COUNTIF($Q$12:Q246,$D$13:$D$1000&amp;"")+IF($D$13:$D$1000="",1,0),0)),"")</f>
        <v/>
      </c>
      <c r="R247" s="356" t="str">
        <f t="shared" si="13"/>
        <v/>
      </c>
      <c r="S247" s="383" t="str">
        <f t="shared" si="16"/>
        <v/>
      </c>
      <c r="T247" s="384" t="str">
        <f t="shared" si="14"/>
        <v/>
      </c>
      <c r="U247" s="349"/>
      <c r="V247" s="385"/>
      <c r="W247" s="385"/>
      <c r="X247" s="386"/>
    </row>
    <row r="248" spans="2:24">
      <c r="B248" s="395"/>
      <c r="C248" s="371"/>
      <c r="D248" s="372" t="str">
        <f>IFERROR(INDEX('[11]Equipment List'!$B$2:$B$2038,MATCH(E248,'[11]Equipment List'!$A$2:$A$2038,0)),"")</f>
        <v/>
      </c>
      <c r="E248" s="388"/>
      <c r="F248" s="374"/>
      <c r="G248" s="375"/>
      <c r="H248" s="397"/>
      <c r="I248" s="377"/>
      <c r="J248" s="378"/>
      <c r="K248" s="379"/>
      <c r="L248" s="387"/>
      <c r="M248" s="380" t="str">
        <f t="array" ref="M248">IF(L248="","",(MAX(IF(AN$15:AN$144=B248,AO$15:AO$144))/60))</f>
        <v/>
      </c>
      <c r="N248" s="387"/>
      <c r="O248" s="387"/>
      <c r="P248" s="381" t="str">
        <f t="shared" si="12"/>
        <v/>
      </c>
      <c r="Q248" s="382" t="str">
        <f t="array" ref="Q248">IFERROR(INDEX($D$13:$D$1000,MATCH(0,COUNTIF($Q$12:Q247,$D$13:$D$1000&amp;"")+IF($D$13:$D$1000="",1,0),0)),"")</f>
        <v/>
      </c>
      <c r="R248" s="356" t="str">
        <f t="shared" si="13"/>
        <v/>
      </c>
      <c r="S248" s="383" t="str">
        <f t="shared" si="16"/>
        <v/>
      </c>
      <c r="T248" s="384" t="str">
        <f t="shared" si="14"/>
        <v/>
      </c>
      <c r="U248" s="349"/>
      <c r="V248" s="385"/>
      <c r="W248" s="385"/>
      <c r="X248" s="386"/>
    </row>
    <row r="249" spans="2:24">
      <c r="B249" s="395"/>
      <c r="C249" s="371"/>
      <c r="D249" s="372" t="str">
        <f>IFERROR(INDEX('[11]Equipment List'!$B$2:$B$2038,MATCH(E249,'[11]Equipment List'!$A$2:$A$2038,0)),"")</f>
        <v/>
      </c>
      <c r="E249" s="388"/>
      <c r="F249" s="374"/>
      <c r="G249" s="375"/>
      <c r="H249" s="397"/>
      <c r="I249" s="377"/>
      <c r="J249" s="378"/>
      <c r="K249" s="379"/>
      <c r="L249" s="387"/>
      <c r="M249" s="380" t="str">
        <f t="array" ref="M249">IF(L249="","",(MAX(IF(AN$15:AN$144=B249,AO$15:AO$144))/60))</f>
        <v/>
      </c>
      <c r="N249" s="387"/>
      <c r="O249" s="387"/>
      <c r="P249" s="381" t="str">
        <f t="shared" si="12"/>
        <v/>
      </c>
      <c r="Q249" s="382" t="str">
        <f t="array" ref="Q249">IFERROR(INDEX($D$13:$D$1000,MATCH(0,COUNTIF($Q$12:Q248,$D$13:$D$1000&amp;"")+IF($D$13:$D$1000="",1,0),0)),"")</f>
        <v/>
      </c>
      <c r="R249" s="356" t="str">
        <f t="shared" si="13"/>
        <v/>
      </c>
      <c r="S249" s="383" t="str">
        <f t="shared" si="16"/>
        <v/>
      </c>
      <c r="T249" s="384" t="str">
        <f t="shared" si="14"/>
        <v/>
      </c>
      <c r="U249" s="349"/>
      <c r="V249" s="385"/>
      <c r="W249" s="385"/>
      <c r="X249" s="386"/>
    </row>
    <row r="250" spans="2:24">
      <c r="B250" s="395"/>
      <c r="C250" s="371"/>
      <c r="D250" s="372" t="str">
        <f>IFERROR(INDEX('[11]Equipment List'!$B$2:$B$2038,MATCH(E250,'[11]Equipment List'!$A$2:$A$2038,0)),"")</f>
        <v/>
      </c>
      <c r="E250" s="388"/>
      <c r="F250" s="374"/>
      <c r="G250" s="375"/>
      <c r="H250" s="397"/>
      <c r="I250" s="377"/>
      <c r="J250" s="378"/>
      <c r="K250" s="379"/>
      <c r="L250" s="387"/>
      <c r="M250" s="380" t="str">
        <f t="array" ref="M250">IF(L250="","",(MAX(IF(AN$15:AN$144=B250,AO$15:AO$144))/60))</f>
        <v/>
      </c>
      <c r="N250" s="387"/>
      <c r="O250" s="387"/>
      <c r="P250" s="381" t="str">
        <f t="shared" si="12"/>
        <v/>
      </c>
      <c r="Q250" s="382" t="str">
        <f t="array" ref="Q250">IFERROR(INDEX($D$13:$D$1000,MATCH(0,COUNTIF($Q$12:Q249,$D$13:$D$1000&amp;"")+IF($D$13:$D$1000="",1,0),0)),"")</f>
        <v/>
      </c>
      <c r="R250" s="356" t="str">
        <f t="shared" si="13"/>
        <v/>
      </c>
      <c r="S250" s="383" t="str">
        <f t="shared" si="16"/>
        <v/>
      </c>
      <c r="T250" s="384" t="str">
        <f t="shared" si="14"/>
        <v/>
      </c>
      <c r="U250" s="349"/>
      <c r="V250" s="385"/>
      <c r="W250" s="385"/>
      <c r="X250" s="386"/>
    </row>
    <row r="251" spans="2:24">
      <c r="B251" s="395"/>
      <c r="C251" s="371"/>
      <c r="D251" s="372" t="str">
        <f>IFERROR(INDEX('[11]Equipment List'!$B$2:$B$2038,MATCH(E251,'[11]Equipment List'!$A$2:$A$2038,0)),"")</f>
        <v/>
      </c>
      <c r="E251" s="388"/>
      <c r="F251" s="374"/>
      <c r="G251" s="375"/>
      <c r="H251" s="397"/>
      <c r="I251" s="377"/>
      <c r="J251" s="378"/>
      <c r="K251" s="379"/>
      <c r="L251" s="387"/>
      <c r="M251" s="380" t="str">
        <f t="array" ref="M251">IF(L251="","",(MAX(IF(AN$15:AN$144=B251,AO$15:AO$144))/60))</f>
        <v/>
      </c>
      <c r="N251" s="387"/>
      <c r="O251" s="387"/>
      <c r="P251" s="381" t="str">
        <f t="shared" si="12"/>
        <v/>
      </c>
      <c r="Q251" s="382" t="str">
        <f t="array" ref="Q251">IFERROR(INDEX($D$13:$D$1000,MATCH(0,COUNTIF($Q$12:Q250,$D$13:$D$1000&amp;"")+IF($D$13:$D$1000="",1,0),0)),"")</f>
        <v/>
      </c>
      <c r="R251" s="356" t="str">
        <f t="shared" si="13"/>
        <v/>
      </c>
      <c r="S251" s="383" t="str">
        <f t="shared" si="16"/>
        <v/>
      </c>
      <c r="T251" s="384" t="str">
        <f t="shared" si="14"/>
        <v/>
      </c>
      <c r="U251" s="349"/>
      <c r="V251" s="385"/>
      <c r="W251" s="385"/>
      <c r="X251" s="386"/>
    </row>
    <row r="252" spans="2:24">
      <c r="B252" s="395"/>
      <c r="C252" s="371"/>
      <c r="D252" s="372" t="str">
        <f>IFERROR(INDEX('[11]Equipment List'!$B$2:$B$2038,MATCH(E252,'[11]Equipment List'!$A$2:$A$2038,0)),"")</f>
        <v/>
      </c>
      <c r="E252" s="388"/>
      <c r="F252" s="374"/>
      <c r="G252" s="375"/>
      <c r="H252" s="397"/>
      <c r="I252" s="377"/>
      <c r="J252" s="378"/>
      <c r="K252" s="379"/>
      <c r="L252" s="387"/>
      <c r="M252" s="380" t="str">
        <f t="array" ref="M252">IF(L252="","",(MAX(IF(AN$15:AN$144=B252,AO$15:AO$144))/60))</f>
        <v/>
      </c>
      <c r="N252" s="387"/>
      <c r="O252" s="387"/>
      <c r="P252" s="381" t="str">
        <f t="shared" si="12"/>
        <v/>
      </c>
      <c r="Q252" s="382" t="str">
        <f t="array" ref="Q252">IFERROR(INDEX($D$13:$D$1000,MATCH(0,COUNTIF($Q$12:Q251,$D$13:$D$1000&amp;"")+IF($D$13:$D$1000="",1,0),0)),"")</f>
        <v/>
      </c>
      <c r="R252" s="356" t="str">
        <f t="shared" si="13"/>
        <v/>
      </c>
      <c r="S252" s="383" t="str">
        <f t="shared" si="16"/>
        <v/>
      </c>
      <c r="T252" s="384" t="str">
        <f t="shared" si="14"/>
        <v/>
      </c>
      <c r="U252" s="349"/>
      <c r="V252" s="385"/>
      <c r="W252" s="385"/>
      <c r="X252" s="386"/>
    </row>
    <row r="253" spans="2:24">
      <c r="B253" s="395"/>
      <c r="C253" s="371"/>
      <c r="D253" s="372" t="str">
        <f>IFERROR(INDEX('[11]Equipment List'!$B$2:$B$2038,MATCH(E253,'[11]Equipment List'!$A$2:$A$2038,0)),"")</f>
        <v/>
      </c>
      <c r="E253" s="388"/>
      <c r="F253" s="374"/>
      <c r="G253" s="375"/>
      <c r="H253" s="397"/>
      <c r="I253" s="377"/>
      <c r="J253" s="378"/>
      <c r="K253" s="379"/>
      <c r="L253" s="387"/>
      <c r="M253" s="380" t="str">
        <f t="array" ref="M253">IF(L253="","",(MAX(IF(AN$15:AN$144=B253,AO$15:AO$144))/60))</f>
        <v/>
      </c>
      <c r="N253" s="387"/>
      <c r="O253" s="387"/>
      <c r="P253" s="381" t="str">
        <f t="shared" si="12"/>
        <v/>
      </c>
      <c r="Q253" s="382" t="str">
        <f t="array" ref="Q253">IFERROR(INDEX($D$13:$D$1000,MATCH(0,COUNTIF($Q$12:Q252,$D$13:$D$1000&amp;"")+IF($D$13:$D$1000="",1,0),0)),"")</f>
        <v/>
      </c>
      <c r="R253" s="356" t="str">
        <f t="shared" si="13"/>
        <v/>
      </c>
      <c r="S253" s="383" t="str">
        <f t="shared" si="16"/>
        <v/>
      </c>
      <c r="T253" s="384" t="str">
        <f t="shared" si="14"/>
        <v/>
      </c>
      <c r="U253" s="349"/>
      <c r="V253" s="385"/>
      <c r="W253" s="385"/>
      <c r="X253" s="386"/>
    </row>
    <row r="254" spans="2:24">
      <c r="B254" s="395"/>
      <c r="C254" s="371"/>
      <c r="D254" s="372" t="str">
        <f>IFERROR(INDEX('[11]Equipment List'!$B$2:$B$2038,MATCH(E254,'[11]Equipment List'!$A$2:$A$2038,0)),"")</f>
        <v/>
      </c>
      <c r="E254" s="388"/>
      <c r="F254" s="374"/>
      <c r="G254" s="375"/>
      <c r="H254" s="397"/>
      <c r="I254" s="377"/>
      <c r="J254" s="378"/>
      <c r="K254" s="379"/>
      <c r="L254" s="387"/>
      <c r="M254" s="380" t="str">
        <f t="array" ref="M254">IF(L254="","",(MAX(IF(AN$15:AN$144=B254,AO$15:AO$144))/60))</f>
        <v/>
      </c>
      <c r="N254" s="387"/>
      <c r="O254" s="387"/>
      <c r="P254" s="381" t="str">
        <f t="shared" si="12"/>
        <v/>
      </c>
      <c r="Q254" s="382" t="str">
        <f t="array" ref="Q254">IFERROR(INDEX($D$13:$D$1000,MATCH(0,COUNTIF($Q$12:Q253,$D$13:$D$1000&amp;"")+IF($D$13:$D$1000="",1,0),0)),"")</f>
        <v/>
      </c>
      <c r="R254" s="356" t="str">
        <f t="shared" si="13"/>
        <v/>
      </c>
      <c r="S254" s="383" t="str">
        <f t="shared" si="16"/>
        <v/>
      </c>
      <c r="T254" s="384" t="str">
        <f t="shared" si="14"/>
        <v/>
      </c>
      <c r="U254" s="349"/>
      <c r="V254" s="385"/>
      <c r="W254" s="385"/>
      <c r="X254" s="386"/>
    </row>
    <row r="255" spans="2:24">
      <c r="B255" s="395"/>
      <c r="C255" s="371"/>
      <c r="D255" s="372" t="str">
        <f>IFERROR(INDEX('[11]Equipment List'!$B$2:$B$2038,MATCH(E255,'[11]Equipment List'!$A$2:$A$2038,0)),"")</f>
        <v/>
      </c>
      <c r="E255" s="388"/>
      <c r="F255" s="374"/>
      <c r="G255" s="375"/>
      <c r="H255" s="397"/>
      <c r="I255" s="377"/>
      <c r="J255" s="378"/>
      <c r="K255" s="379"/>
      <c r="L255" s="387"/>
      <c r="M255" s="380" t="str">
        <f t="array" ref="M255">IF(L255="","",(MAX(IF(AN$15:AN$144=B255,AO$15:AO$144))/60))</f>
        <v/>
      </c>
      <c r="N255" s="387"/>
      <c r="O255" s="387"/>
      <c r="P255" s="381" t="str">
        <f t="shared" si="12"/>
        <v/>
      </c>
      <c r="Q255" s="382" t="str">
        <f t="array" ref="Q255">IFERROR(INDEX($D$13:$D$1000,MATCH(0,COUNTIF($Q$12:Q254,$D$13:$D$1000&amp;"")+IF($D$13:$D$1000="",1,0),0)),"")</f>
        <v/>
      </c>
      <c r="R255" s="356" t="str">
        <f t="shared" si="13"/>
        <v/>
      </c>
      <c r="S255" s="383" t="str">
        <f t="shared" si="16"/>
        <v/>
      </c>
      <c r="T255" s="384" t="str">
        <f t="shared" si="14"/>
        <v/>
      </c>
      <c r="U255" s="349"/>
      <c r="V255" s="385"/>
      <c r="W255" s="385"/>
      <c r="X255" s="386"/>
    </row>
    <row r="256" spans="2:24">
      <c r="B256" s="395"/>
      <c r="C256" s="371"/>
      <c r="D256" s="372" t="str">
        <f>IFERROR(INDEX('[11]Equipment List'!$B$2:$B$2038,MATCH(E256,'[11]Equipment List'!$A$2:$A$2038,0)),"")</f>
        <v/>
      </c>
      <c r="E256" s="388"/>
      <c r="F256" s="374"/>
      <c r="G256" s="375"/>
      <c r="H256" s="397"/>
      <c r="I256" s="377"/>
      <c r="J256" s="378"/>
      <c r="K256" s="379"/>
      <c r="L256" s="387"/>
      <c r="M256" s="380" t="str">
        <f t="array" ref="M256">IF(L256="","",(MAX(IF(AN$15:AN$144=B256,AO$15:AO$144))/60))</f>
        <v/>
      </c>
      <c r="N256" s="387"/>
      <c r="O256" s="387"/>
      <c r="P256" s="381" t="str">
        <f t="shared" si="12"/>
        <v/>
      </c>
      <c r="Q256" s="382" t="str">
        <f t="array" ref="Q256">IFERROR(INDEX($D$13:$D$1000,MATCH(0,COUNTIF($Q$12:Q255,$D$13:$D$1000&amp;"")+IF($D$13:$D$1000="",1,0),0)),"")</f>
        <v/>
      </c>
      <c r="R256" s="356" t="str">
        <f t="shared" si="13"/>
        <v/>
      </c>
      <c r="S256" s="383" t="str">
        <f t="shared" si="16"/>
        <v/>
      </c>
      <c r="T256" s="384" t="str">
        <f t="shared" si="14"/>
        <v/>
      </c>
      <c r="U256" s="349"/>
      <c r="V256" s="385"/>
      <c r="W256" s="385"/>
      <c r="X256" s="386"/>
    </row>
    <row r="257" spans="2:24">
      <c r="B257" s="395"/>
      <c r="C257" s="371"/>
      <c r="D257" s="372" t="str">
        <f>IFERROR(INDEX('[11]Equipment List'!$B$2:$B$2038,MATCH(E257,'[11]Equipment List'!$A$2:$A$2038,0)),"")</f>
        <v/>
      </c>
      <c r="E257" s="388"/>
      <c r="F257" s="374"/>
      <c r="G257" s="375"/>
      <c r="H257" s="397"/>
      <c r="I257" s="377"/>
      <c r="J257" s="378"/>
      <c r="K257" s="379"/>
      <c r="L257" s="387"/>
      <c r="M257" s="380" t="str">
        <f t="array" ref="M257">IF(L257="","",(MAX(IF(AN$15:AN$144=B257,AO$15:AO$144))/60))</f>
        <v/>
      </c>
      <c r="N257" s="387"/>
      <c r="O257" s="387"/>
      <c r="P257" s="381" t="str">
        <f t="shared" si="12"/>
        <v/>
      </c>
      <c r="Q257" s="382" t="str">
        <f t="array" ref="Q257">IFERROR(INDEX($D$13:$D$1000,MATCH(0,COUNTIF($Q$12:Q256,$D$13:$D$1000&amp;"")+IF($D$13:$D$1000="",1,0),0)),"")</f>
        <v/>
      </c>
      <c r="R257" s="356" t="str">
        <f t="shared" si="13"/>
        <v/>
      </c>
      <c r="S257" s="383" t="str">
        <f t="shared" si="16"/>
        <v/>
      </c>
      <c r="T257" s="384" t="str">
        <f t="shared" si="14"/>
        <v/>
      </c>
      <c r="U257" s="349"/>
      <c r="V257" s="385"/>
      <c r="W257" s="385"/>
      <c r="X257" s="386"/>
    </row>
    <row r="258" spans="2:24">
      <c r="B258" s="395"/>
      <c r="C258" s="371"/>
      <c r="D258" s="372" t="str">
        <f>IFERROR(INDEX('[11]Equipment List'!$B$2:$B$2038,MATCH(E258,'[11]Equipment List'!$A$2:$A$2038,0)),"")</f>
        <v/>
      </c>
      <c r="E258" s="388"/>
      <c r="F258" s="374"/>
      <c r="G258" s="375"/>
      <c r="H258" s="397"/>
      <c r="I258" s="377"/>
      <c r="J258" s="378"/>
      <c r="K258" s="379"/>
      <c r="L258" s="387"/>
      <c r="M258" s="380" t="str">
        <f t="array" ref="M258">IF(L258="","",(MAX(IF(AN$15:AN$144=B258,AO$15:AO$144))/60))</f>
        <v/>
      </c>
      <c r="N258" s="387"/>
      <c r="O258" s="387"/>
      <c r="P258" s="381" t="str">
        <f t="shared" si="12"/>
        <v/>
      </c>
      <c r="Q258" s="382" t="str">
        <f t="array" ref="Q258">IFERROR(INDEX($D$13:$D$1000,MATCH(0,COUNTIF($Q$12:Q257,$D$13:$D$1000&amp;"")+IF($D$13:$D$1000="",1,0),0)),"")</f>
        <v/>
      </c>
      <c r="R258" s="356" t="str">
        <f t="shared" si="13"/>
        <v/>
      </c>
      <c r="S258" s="383" t="str">
        <f t="shared" si="16"/>
        <v/>
      </c>
      <c r="T258" s="384" t="str">
        <f t="shared" si="14"/>
        <v/>
      </c>
      <c r="U258" s="349"/>
      <c r="V258" s="385"/>
      <c r="W258" s="385"/>
      <c r="X258" s="386"/>
    </row>
    <row r="259" spans="2:24">
      <c r="B259" s="395"/>
      <c r="C259" s="371"/>
      <c r="D259" s="372" t="str">
        <f>IFERROR(INDEX('[11]Equipment List'!$B$2:$B$2038,MATCH(E259,'[11]Equipment List'!$A$2:$A$2038,0)),"")</f>
        <v/>
      </c>
      <c r="E259" s="388"/>
      <c r="F259" s="374"/>
      <c r="G259" s="375"/>
      <c r="H259" s="397"/>
      <c r="I259" s="377"/>
      <c r="J259" s="378"/>
      <c r="K259" s="379"/>
      <c r="L259" s="387"/>
      <c r="M259" s="380" t="str">
        <f t="array" ref="M259">IF(L259="","",(MAX(IF(AN$15:AN$144=B259,AO$15:AO$144))/60))</f>
        <v/>
      </c>
      <c r="N259" s="387"/>
      <c r="O259" s="387"/>
      <c r="P259" s="381" t="str">
        <f t="shared" si="12"/>
        <v/>
      </c>
      <c r="Q259" s="382" t="str">
        <f t="array" ref="Q259">IFERROR(INDEX($D$13:$D$1000,MATCH(0,COUNTIF($Q$12:Q258,$D$13:$D$1000&amp;"")+IF($D$13:$D$1000="",1,0),0)),"")</f>
        <v/>
      </c>
      <c r="R259" s="356" t="str">
        <f t="shared" si="13"/>
        <v/>
      </c>
      <c r="S259" s="383" t="str">
        <f t="shared" si="16"/>
        <v/>
      </c>
      <c r="T259" s="384" t="str">
        <f t="shared" si="14"/>
        <v/>
      </c>
      <c r="U259" s="349"/>
      <c r="V259" s="385"/>
      <c r="W259" s="385"/>
      <c r="X259" s="386"/>
    </row>
    <row r="260" spans="2:24">
      <c r="B260" s="395"/>
      <c r="C260" s="371"/>
      <c r="D260" s="372" t="str">
        <f>IFERROR(INDEX('[11]Equipment List'!$B$2:$B$2038,MATCH(E260,'[11]Equipment List'!$A$2:$A$2038,0)),"")</f>
        <v/>
      </c>
      <c r="E260" s="388"/>
      <c r="F260" s="374"/>
      <c r="G260" s="375"/>
      <c r="H260" s="397"/>
      <c r="I260" s="377"/>
      <c r="J260" s="378"/>
      <c r="K260" s="379"/>
      <c r="L260" s="387"/>
      <c r="M260" s="380" t="str">
        <f t="array" ref="M260">IF(L260="","",(MAX(IF(AN$15:AN$144=B260,AO$15:AO$144))/60))</f>
        <v/>
      </c>
      <c r="N260" s="387"/>
      <c r="O260" s="387"/>
      <c r="P260" s="381" t="str">
        <f t="shared" si="12"/>
        <v/>
      </c>
      <c r="Q260" s="382" t="str">
        <f t="array" ref="Q260">IFERROR(INDEX($D$13:$D$1000,MATCH(0,COUNTIF($Q$12:Q259,$D$13:$D$1000&amp;"")+IF($D$13:$D$1000="",1,0),0)),"")</f>
        <v/>
      </c>
      <c r="R260" s="356" t="str">
        <f t="shared" si="13"/>
        <v/>
      </c>
      <c r="S260" s="383" t="str">
        <f t="shared" si="16"/>
        <v/>
      </c>
      <c r="T260" s="384" t="str">
        <f t="shared" si="14"/>
        <v/>
      </c>
      <c r="U260" s="349"/>
      <c r="V260" s="385"/>
      <c r="W260" s="385"/>
      <c r="X260" s="386"/>
    </row>
    <row r="261" spans="2:24">
      <c r="B261" s="395"/>
      <c r="C261" s="371"/>
      <c r="D261" s="372" t="str">
        <f>IFERROR(INDEX('[11]Equipment List'!$B$2:$B$2038,MATCH(E261,'[11]Equipment List'!$A$2:$A$2038,0)),"")</f>
        <v/>
      </c>
      <c r="E261" s="388"/>
      <c r="F261" s="374"/>
      <c r="G261" s="375"/>
      <c r="H261" s="397"/>
      <c r="I261" s="377"/>
      <c r="J261" s="378"/>
      <c r="K261" s="379"/>
      <c r="L261" s="387"/>
      <c r="M261" s="380" t="str">
        <f t="array" ref="M261">IF(L261="","",(MAX(IF(AN$15:AN$144=B261,AO$15:AO$144))/60))</f>
        <v/>
      </c>
      <c r="N261" s="387"/>
      <c r="O261" s="387"/>
      <c r="P261" s="381" t="str">
        <f t="shared" si="12"/>
        <v/>
      </c>
      <c r="Q261" s="382" t="str">
        <f t="array" ref="Q261">IFERROR(INDEX($D$13:$D$1000,MATCH(0,COUNTIF($Q$12:Q260,$D$13:$D$1000&amp;"")+IF($D$13:$D$1000="",1,0),0)),"")</f>
        <v/>
      </c>
      <c r="R261" s="356" t="str">
        <f t="shared" si="13"/>
        <v/>
      </c>
      <c r="S261" s="383" t="str">
        <f t="shared" si="16"/>
        <v/>
      </c>
      <c r="T261" s="384" t="str">
        <f t="shared" si="14"/>
        <v/>
      </c>
      <c r="U261" s="349"/>
      <c r="V261" s="385"/>
      <c r="W261" s="385"/>
      <c r="X261" s="386"/>
    </row>
    <row r="262" spans="2:24">
      <c r="B262" s="395"/>
      <c r="C262" s="371"/>
      <c r="D262" s="372" t="str">
        <f>IFERROR(INDEX('[11]Equipment List'!$B$2:$B$2038,MATCH(E262,'[11]Equipment List'!$A$2:$A$2038,0)),"")</f>
        <v/>
      </c>
      <c r="E262" s="388"/>
      <c r="F262" s="374"/>
      <c r="G262" s="375"/>
      <c r="H262" s="397"/>
      <c r="I262" s="377"/>
      <c r="J262" s="378"/>
      <c r="K262" s="379"/>
      <c r="L262" s="387"/>
      <c r="M262" s="380" t="str">
        <f t="array" ref="M262">IF(L262="","",(MAX(IF(AN$15:AN$144=B262,AO$15:AO$144))/60))</f>
        <v/>
      </c>
      <c r="N262" s="387"/>
      <c r="O262" s="387"/>
      <c r="P262" s="381" t="str">
        <f t="shared" si="12"/>
        <v/>
      </c>
      <c r="Q262" s="382" t="str">
        <f t="array" ref="Q262">IFERROR(INDEX($D$13:$D$1000,MATCH(0,COUNTIF($Q$12:Q261,$D$13:$D$1000&amp;"")+IF($D$13:$D$1000="",1,0),0)),"")</f>
        <v/>
      </c>
      <c r="R262" s="356" t="str">
        <f t="shared" si="13"/>
        <v/>
      </c>
      <c r="S262" s="383" t="str">
        <f t="shared" si="16"/>
        <v/>
      </c>
      <c r="T262" s="384" t="str">
        <f t="shared" si="14"/>
        <v/>
      </c>
      <c r="U262" s="349"/>
      <c r="V262" s="385"/>
      <c r="W262" s="385"/>
      <c r="X262" s="386"/>
    </row>
    <row r="263" spans="2:24">
      <c r="B263" s="395"/>
      <c r="C263" s="371"/>
      <c r="D263" s="372" t="str">
        <f>IFERROR(INDEX('[11]Equipment List'!$B$2:$B$2038,MATCH(E263,'[11]Equipment List'!$A$2:$A$2038,0)),"")</f>
        <v/>
      </c>
      <c r="E263" s="388"/>
      <c r="F263" s="374"/>
      <c r="G263" s="375"/>
      <c r="H263" s="397"/>
      <c r="I263" s="377"/>
      <c r="J263" s="378"/>
      <c r="K263" s="379"/>
      <c r="L263" s="387"/>
      <c r="M263" s="380" t="str">
        <f t="array" ref="M263">IF(L263="","",(MAX(IF(AN$15:AN$144=B263,AO$15:AO$144))/60))</f>
        <v/>
      </c>
      <c r="N263" s="387"/>
      <c r="O263" s="387"/>
      <c r="P263" s="381" t="str">
        <f t="shared" si="12"/>
        <v/>
      </c>
      <c r="Q263" s="382" t="str">
        <f t="array" ref="Q263">IFERROR(INDEX($D$13:$D$1000,MATCH(0,COUNTIF($Q$12:Q262,$D$13:$D$1000&amp;"")+IF($D$13:$D$1000="",1,0),0)),"")</f>
        <v/>
      </c>
      <c r="R263" s="356" t="str">
        <f t="shared" si="13"/>
        <v/>
      </c>
      <c r="S263" s="383" t="str">
        <f t="shared" si="16"/>
        <v/>
      </c>
      <c r="T263" s="384" t="str">
        <f t="shared" si="14"/>
        <v/>
      </c>
      <c r="U263" s="349"/>
      <c r="V263" s="385"/>
      <c r="W263" s="385"/>
      <c r="X263" s="386"/>
    </row>
    <row r="264" spans="2:24">
      <c r="B264" s="395"/>
      <c r="C264" s="371"/>
      <c r="D264" s="372" t="str">
        <f>IFERROR(INDEX('[11]Equipment List'!$B$2:$B$2038,MATCH(E264,'[11]Equipment List'!$A$2:$A$2038,0)),"")</f>
        <v/>
      </c>
      <c r="E264" s="388"/>
      <c r="F264" s="374"/>
      <c r="G264" s="375"/>
      <c r="H264" s="397"/>
      <c r="I264" s="377"/>
      <c r="J264" s="378"/>
      <c r="K264" s="379"/>
      <c r="L264" s="387"/>
      <c r="M264" s="380" t="str">
        <f t="array" ref="M264">IF(L264="","",(MAX(IF(AN$15:AN$144=B264,AO$15:AO$144))/60))</f>
        <v/>
      </c>
      <c r="N264" s="387"/>
      <c r="O264" s="387"/>
      <c r="P264" s="381" t="str">
        <f t="shared" si="12"/>
        <v/>
      </c>
      <c r="Q264" s="382" t="str">
        <f t="array" ref="Q264">IFERROR(INDEX($D$13:$D$1000,MATCH(0,COUNTIF($Q$12:Q263,$D$13:$D$1000&amp;"")+IF($D$13:$D$1000="",1,0),0)),"")</f>
        <v/>
      </c>
      <c r="R264" s="356" t="str">
        <f t="shared" si="13"/>
        <v/>
      </c>
      <c r="S264" s="383" t="str">
        <f t="shared" si="16"/>
        <v/>
      </c>
      <c r="T264" s="384" t="str">
        <f t="shared" si="14"/>
        <v/>
      </c>
      <c r="U264" s="349"/>
      <c r="V264" s="385"/>
      <c r="W264" s="385"/>
      <c r="X264" s="386"/>
    </row>
    <row r="265" spans="2:24">
      <c r="B265" s="395"/>
      <c r="C265" s="371"/>
      <c r="D265" s="372" t="str">
        <f>IFERROR(INDEX('[11]Equipment List'!$B$2:$B$2038,MATCH(E265,'[11]Equipment List'!$A$2:$A$2038,0)),"")</f>
        <v/>
      </c>
      <c r="E265" s="388"/>
      <c r="F265" s="374"/>
      <c r="G265" s="375"/>
      <c r="H265" s="397"/>
      <c r="I265" s="377"/>
      <c r="J265" s="378"/>
      <c r="K265" s="379"/>
      <c r="L265" s="387"/>
      <c r="M265" s="380" t="str">
        <f t="array" ref="M265">IF(L265="","",(MAX(IF(AN$15:AN$144=B265,AO$15:AO$144))/60))</f>
        <v/>
      </c>
      <c r="N265" s="387"/>
      <c r="O265" s="387"/>
      <c r="P265" s="381" t="str">
        <f t="shared" si="12"/>
        <v/>
      </c>
      <c r="Q265" s="382" t="str">
        <f t="array" ref="Q265">IFERROR(INDEX($D$13:$D$1000,MATCH(0,COUNTIF($Q$12:Q264,$D$13:$D$1000&amp;"")+IF($D$13:$D$1000="",1,0),0)),"")</f>
        <v/>
      </c>
      <c r="R265" s="356" t="str">
        <f t="shared" si="13"/>
        <v/>
      </c>
      <c r="S265" s="383" t="str">
        <f t="shared" si="16"/>
        <v/>
      </c>
      <c r="T265" s="384" t="str">
        <f t="shared" si="14"/>
        <v/>
      </c>
      <c r="U265" s="349"/>
      <c r="V265" s="385"/>
      <c r="W265" s="385"/>
      <c r="X265" s="386"/>
    </row>
    <row r="266" spans="2:24">
      <c r="B266" s="395"/>
      <c r="C266" s="371"/>
      <c r="D266" s="372" t="str">
        <f>IFERROR(INDEX('[11]Equipment List'!$B$2:$B$2038,MATCH(E266,'[11]Equipment List'!$A$2:$A$2038,0)),"")</f>
        <v/>
      </c>
      <c r="E266" s="388"/>
      <c r="F266" s="374"/>
      <c r="G266" s="375"/>
      <c r="H266" s="397"/>
      <c r="I266" s="377"/>
      <c r="J266" s="378"/>
      <c r="K266" s="379"/>
      <c r="L266" s="387"/>
      <c r="M266" s="380" t="str">
        <f t="array" ref="M266">IF(L266="","",(MAX(IF(AN$15:AN$144=B266,AO$15:AO$144))/60))</f>
        <v/>
      </c>
      <c r="N266" s="387"/>
      <c r="O266" s="387"/>
      <c r="P266" s="381" t="str">
        <f t="shared" si="12"/>
        <v/>
      </c>
      <c r="Q266" s="382" t="str">
        <f t="array" ref="Q266">IFERROR(INDEX($D$13:$D$1000,MATCH(0,COUNTIF($Q$12:Q265,$D$13:$D$1000&amp;"")+IF($D$13:$D$1000="",1,0),0)),"")</f>
        <v/>
      </c>
      <c r="R266" s="356" t="str">
        <f t="shared" si="13"/>
        <v/>
      </c>
      <c r="S266" s="383" t="str">
        <f t="shared" si="16"/>
        <v/>
      </c>
      <c r="T266" s="384" t="str">
        <f t="shared" si="14"/>
        <v/>
      </c>
      <c r="U266" s="349"/>
      <c r="V266" s="385"/>
      <c r="W266" s="385"/>
      <c r="X266" s="386"/>
    </row>
    <row r="267" spans="2:24">
      <c r="B267" s="395"/>
      <c r="C267" s="371"/>
      <c r="D267" s="372" t="str">
        <f>IFERROR(INDEX('[11]Equipment List'!$B$2:$B$2038,MATCH(E267,'[11]Equipment List'!$A$2:$A$2038,0)),"")</f>
        <v/>
      </c>
      <c r="E267" s="388"/>
      <c r="F267" s="374"/>
      <c r="G267" s="375"/>
      <c r="H267" s="397"/>
      <c r="I267" s="377"/>
      <c r="J267" s="378"/>
      <c r="K267" s="379"/>
      <c r="L267" s="387"/>
      <c r="M267" s="380" t="str">
        <f t="array" ref="M267">IF(L267="","",(MAX(IF(AN$15:AN$144=B267,AO$15:AO$144))/60))</f>
        <v/>
      </c>
      <c r="N267" s="387"/>
      <c r="O267" s="387"/>
      <c r="P267" s="381" t="str">
        <f t="shared" si="12"/>
        <v/>
      </c>
      <c r="Q267" s="382" t="str">
        <f t="array" ref="Q267">IFERROR(INDEX($D$13:$D$1000,MATCH(0,COUNTIF($Q$12:Q266,$D$13:$D$1000&amp;"")+IF($D$13:$D$1000="",1,0),0)),"")</f>
        <v/>
      </c>
      <c r="R267" s="356" t="str">
        <f t="shared" si="13"/>
        <v/>
      </c>
      <c r="S267" s="383" t="str">
        <f t="shared" si="16"/>
        <v/>
      </c>
      <c r="T267" s="384" t="str">
        <f t="shared" si="14"/>
        <v/>
      </c>
      <c r="U267" s="349"/>
      <c r="V267" s="385"/>
      <c r="W267" s="385"/>
      <c r="X267" s="386"/>
    </row>
    <row r="268" spans="2:24">
      <c r="B268" s="395"/>
      <c r="C268" s="371"/>
      <c r="D268" s="372" t="str">
        <f>IFERROR(INDEX('[11]Equipment List'!$B$2:$B$2038,MATCH(E268,'[11]Equipment List'!$A$2:$A$2038,0)),"")</f>
        <v/>
      </c>
      <c r="E268" s="388"/>
      <c r="F268" s="374"/>
      <c r="G268" s="375"/>
      <c r="H268" s="397"/>
      <c r="I268" s="377"/>
      <c r="J268" s="378"/>
      <c r="K268" s="379"/>
      <c r="L268" s="387"/>
      <c r="M268" s="380" t="str">
        <f t="array" ref="M268">IF(L268="","",(MAX(IF(AN$15:AN$144=B268,AO$15:AO$144))/60))</f>
        <v/>
      </c>
      <c r="N268" s="387"/>
      <c r="O268" s="387"/>
      <c r="P268" s="381" t="str">
        <f t="shared" ref="P268:P331" si="17">IFERROR((((K268/5/250/$F$8)+(N268*$F$9))/$S$4)*(M268/60),"")</f>
        <v/>
      </c>
      <c r="Q268" s="382" t="str">
        <f t="array" ref="Q268">IFERROR(INDEX($D$13:$D$1000,MATCH(0,COUNTIF($Q$12:Q267,$D$13:$D$1000&amp;"")+IF($D$13:$D$1000="",1,0),0)),"")</f>
        <v/>
      </c>
      <c r="R268" s="356" t="str">
        <f t="shared" si="13"/>
        <v/>
      </c>
      <c r="S268" s="383" t="str">
        <f t="shared" si="16"/>
        <v/>
      </c>
      <c r="T268" s="384" t="str">
        <f t="shared" si="14"/>
        <v/>
      </c>
      <c r="U268" s="349"/>
      <c r="V268" s="385"/>
      <c r="W268" s="385"/>
      <c r="X268" s="386"/>
    </row>
    <row r="269" spans="2:24">
      <c r="B269" s="395"/>
      <c r="C269" s="371"/>
      <c r="D269" s="372" t="str">
        <f>IFERROR(INDEX('[11]Equipment List'!$B$2:$B$2038,MATCH(E269,'[11]Equipment List'!$A$2:$A$2038,0)),"")</f>
        <v/>
      </c>
      <c r="E269" s="388"/>
      <c r="F269" s="374"/>
      <c r="G269" s="375"/>
      <c r="H269" s="397"/>
      <c r="I269" s="377"/>
      <c r="J269" s="378"/>
      <c r="K269" s="379"/>
      <c r="L269" s="387"/>
      <c r="M269" s="380" t="str">
        <f t="array" ref="M269">IF(L269="","",(MAX(IF(AN$15:AN$144=B269,AO$15:AO$144))/60))</f>
        <v/>
      </c>
      <c r="N269" s="387"/>
      <c r="O269" s="387"/>
      <c r="P269" s="381" t="str">
        <f t="shared" si="17"/>
        <v/>
      </c>
      <c r="Q269" s="382" t="str">
        <f t="array" ref="Q269">IFERROR(INDEX($D$13:$D$1000,MATCH(0,COUNTIF($Q$12:Q268,$D$13:$D$1000&amp;"")+IF($D$13:$D$1000="",1,0),0)),"")</f>
        <v/>
      </c>
      <c r="R269" s="356" t="str">
        <f t="shared" ref="R269:R332" si="18">IF(Q269="","",COUNTIF($D$13:$D$1000,$Q269))</f>
        <v/>
      </c>
      <c r="S269" s="383" t="str">
        <f t="shared" si="16"/>
        <v/>
      </c>
      <c r="T269" s="384" t="str">
        <f t="shared" ref="T269:T332" si="19">IF($Q269="","",SUMIF($D$13:$D$1000,$Q269,N$13:N$1000))</f>
        <v/>
      </c>
      <c r="U269" s="349"/>
      <c r="V269" s="385"/>
      <c r="W269" s="385"/>
      <c r="X269" s="386"/>
    </row>
    <row r="270" spans="2:24">
      <c r="B270" s="395"/>
      <c r="C270" s="371"/>
      <c r="D270" s="372" t="str">
        <f>IFERROR(INDEX('[11]Equipment List'!$B$2:$B$2038,MATCH(E270,'[11]Equipment List'!$A$2:$A$2038,0)),"")</f>
        <v/>
      </c>
      <c r="E270" s="388"/>
      <c r="F270" s="374"/>
      <c r="G270" s="375"/>
      <c r="H270" s="397"/>
      <c r="I270" s="377"/>
      <c r="J270" s="378"/>
      <c r="K270" s="379"/>
      <c r="L270" s="387"/>
      <c r="M270" s="380" t="str">
        <f t="array" ref="M270">IF(L270="","",(MAX(IF(AN$15:AN$144=B270,AO$15:AO$144))/60))</f>
        <v/>
      </c>
      <c r="N270" s="387"/>
      <c r="O270" s="387"/>
      <c r="P270" s="381" t="str">
        <f t="shared" si="17"/>
        <v/>
      </c>
      <c r="Q270" s="382" t="str">
        <f t="array" ref="Q270">IFERROR(INDEX($D$13:$D$1000,MATCH(0,COUNTIF($Q$12:Q269,$D$13:$D$1000&amp;"")+IF($D$13:$D$1000="",1,0),0)),"")</f>
        <v/>
      </c>
      <c r="R270" s="356" t="str">
        <f t="shared" si="18"/>
        <v/>
      </c>
      <c r="S270" s="383" t="str">
        <f t="shared" si="16"/>
        <v/>
      </c>
      <c r="T270" s="384" t="str">
        <f t="shared" si="19"/>
        <v/>
      </c>
      <c r="U270" s="349"/>
      <c r="V270" s="385"/>
      <c r="W270" s="385"/>
      <c r="X270" s="386"/>
    </row>
    <row r="271" spans="2:24">
      <c r="B271" s="395"/>
      <c r="C271" s="371"/>
      <c r="D271" s="372" t="str">
        <f>IFERROR(INDEX('[11]Equipment List'!$B$2:$B$2038,MATCH(E271,'[11]Equipment List'!$A$2:$A$2038,0)),"")</f>
        <v/>
      </c>
      <c r="E271" s="388"/>
      <c r="F271" s="374"/>
      <c r="G271" s="375"/>
      <c r="H271" s="397"/>
      <c r="I271" s="377"/>
      <c r="J271" s="378"/>
      <c r="K271" s="379"/>
      <c r="L271" s="387"/>
      <c r="M271" s="380" t="str">
        <f t="array" ref="M271">IF(L271="","",(MAX(IF(AN$15:AN$144=B271,AO$15:AO$144))/60))</f>
        <v/>
      </c>
      <c r="N271" s="387"/>
      <c r="O271" s="387"/>
      <c r="P271" s="381" t="str">
        <f t="shared" si="17"/>
        <v/>
      </c>
      <c r="Q271" s="382" t="str">
        <f t="array" ref="Q271">IFERROR(INDEX($D$13:$D$1000,MATCH(0,COUNTIF($Q$12:Q270,$D$13:$D$1000&amp;"")+IF($D$13:$D$1000="",1,0),0)),"")</f>
        <v/>
      </c>
      <c r="R271" s="356" t="str">
        <f t="shared" si="18"/>
        <v/>
      </c>
      <c r="S271" s="383" t="str">
        <f t="shared" si="16"/>
        <v/>
      </c>
      <c r="T271" s="384" t="str">
        <f t="shared" si="19"/>
        <v/>
      </c>
      <c r="U271" s="349"/>
      <c r="V271" s="385"/>
      <c r="W271" s="385"/>
      <c r="X271" s="386"/>
    </row>
    <row r="272" spans="2:24">
      <c r="B272" s="395"/>
      <c r="C272" s="371"/>
      <c r="D272" s="372" t="str">
        <f>IFERROR(INDEX('[11]Equipment List'!$B$2:$B$2038,MATCH(E272,'[11]Equipment List'!$A$2:$A$2038,0)),"")</f>
        <v/>
      </c>
      <c r="E272" s="388"/>
      <c r="F272" s="374"/>
      <c r="G272" s="375"/>
      <c r="H272" s="397"/>
      <c r="I272" s="377"/>
      <c r="J272" s="378"/>
      <c r="K272" s="379"/>
      <c r="L272" s="387"/>
      <c r="M272" s="380" t="str">
        <f t="array" ref="M272">IF(L272="","",(MAX(IF(AN$15:AN$144=B272,AO$15:AO$144))/60))</f>
        <v/>
      </c>
      <c r="N272" s="387"/>
      <c r="O272" s="387"/>
      <c r="P272" s="381" t="str">
        <f t="shared" si="17"/>
        <v/>
      </c>
      <c r="Q272" s="382" t="str">
        <f t="array" ref="Q272">IFERROR(INDEX($D$13:$D$1000,MATCH(0,COUNTIF($Q$12:Q271,$D$13:$D$1000&amp;"")+IF($D$13:$D$1000="",1,0),0)),"")</f>
        <v/>
      </c>
      <c r="R272" s="356" t="str">
        <f t="shared" si="18"/>
        <v/>
      </c>
      <c r="S272" s="383" t="str">
        <f t="shared" si="16"/>
        <v/>
      </c>
      <c r="T272" s="384" t="str">
        <f t="shared" si="19"/>
        <v/>
      </c>
      <c r="U272" s="349"/>
      <c r="V272" s="385"/>
      <c r="W272" s="385"/>
      <c r="X272" s="386"/>
    </row>
    <row r="273" spans="2:24">
      <c r="B273" s="395"/>
      <c r="C273" s="371"/>
      <c r="D273" s="372" t="str">
        <f>IFERROR(INDEX('[11]Equipment List'!$B$2:$B$2038,MATCH(E273,'[11]Equipment List'!$A$2:$A$2038,0)),"")</f>
        <v/>
      </c>
      <c r="E273" s="388"/>
      <c r="F273" s="374"/>
      <c r="G273" s="375"/>
      <c r="H273" s="397"/>
      <c r="I273" s="377"/>
      <c r="J273" s="378"/>
      <c r="K273" s="379"/>
      <c r="L273" s="387"/>
      <c r="M273" s="380" t="str">
        <f t="array" ref="M273">IF(L273="","",(MAX(IF(AN$15:AN$144=B273,AO$15:AO$144))/60))</f>
        <v/>
      </c>
      <c r="N273" s="387"/>
      <c r="O273" s="387"/>
      <c r="P273" s="381" t="str">
        <f t="shared" si="17"/>
        <v/>
      </c>
      <c r="Q273" s="382" t="str">
        <f t="array" ref="Q273">IFERROR(INDEX($D$13:$D$1000,MATCH(0,COUNTIF($Q$12:Q272,$D$13:$D$1000&amp;"")+IF($D$13:$D$1000="",1,0),0)),"")</f>
        <v/>
      </c>
      <c r="R273" s="356" t="str">
        <f t="shared" si="18"/>
        <v/>
      </c>
      <c r="S273" s="383" t="str">
        <f t="shared" si="16"/>
        <v/>
      </c>
      <c r="T273" s="384" t="str">
        <f t="shared" si="19"/>
        <v/>
      </c>
      <c r="U273" s="349"/>
      <c r="V273" s="385"/>
      <c r="W273" s="385"/>
      <c r="X273" s="386"/>
    </row>
    <row r="274" spans="2:24">
      <c r="B274" s="395"/>
      <c r="C274" s="371"/>
      <c r="D274" s="372" t="str">
        <f>IFERROR(INDEX('[11]Equipment List'!$B$2:$B$2038,MATCH(E274,'[11]Equipment List'!$A$2:$A$2038,0)),"")</f>
        <v/>
      </c>
      <c r="E274" s="388"/>
      <c r="F274" s="374"/>
      <c r="G274" s="375"/>
      <c r="H274" s="397"/>
      <c r="I274" s="377"/>
      <c r="J274" s="378"/>
      <c r="K274" s="379"/>
      <c r="L274" s="387"/>
      <c r="M274" s="380" t="str">
        <f t="array" ref="M274">IF(L274="","",(MAX(IF(AN$15:AN$144=B274,AO$15:AO$144))/60))</f>
        <v/>
      </c>
      <c r="N274" s="387"/>
      <c r="O274" s="387"/>
      <c r="P274" s="381" t="str">
        <f t="shared" si="17"/>
        <v/>
      </c>
      <c r="Q274" s="382" t="str">
        <f t="array" ref="Q274">IFERROR(INDEX($D$13:$D$1000,MATCH(0,COUNTIF($Q$12:Q273,$D$13:$D$1000&amp;"")+IF($D$13:$D$1000="",1,0),0)),"")</f>
        <v/>
      </c>
      <c r="R274" s="356" t="str">
        <f t="shared" si="18"/>
        <v/>
      </c>
      <c r="S274" s="383" t="str">
        <f t="shared" si="16"/>
        <v/>
      </c>
      <c r="T274" s="384" t="str">
        <f t="shared" si="19"/>
        <v/>
      </c>
      <c r="U274" s="349"/>
      <c r="V274" s="385"/>
      <c r="W274" s="385"/>
      <c r="X274" s="386"/>
    </row>
    <row r="275" spans="2:24">
      <c r="B275" s="395"/>
      <c r="C275" s="371"/>
      <c r="D275" s="372" t="str">
        <f>IFERROR(INDEX('[11]Equipment List'!$B$2:$B$2038,MATCH(E275,'[11]Equipment List'!$A$2:$A$2038,0)),"")</f>
        <v/>
      </c>
      <c r="E275" s="388"/>
      <c r="F275" s="374"/>
      <c r="G275" s="375"/>
      <c r="H275" s="397"/>
      <c r="I275" s="377"/>
      <c r="J275" s="378"/>
      <c r="K275" s="379"/>
      <c r="L275" s="387"/>
      <c r="M275" s="380" t="str">
        <f t="array" ref="M275">IF(L275="","",(MAX(IF(AN$15:AN$144=B275,AO$15:AO$144))/60))</f>
        <v/>
      </c>
      <c r="N275" s="387"/>
      <c r="O275" s="387"/>
      <c r="P275" s="381" t="str">
        <f t="shared" si="17"/>
        <v/>
      </c>
      <c r="Q275" s="382" t="str">
        <f t="array" ref="Q275">IFERROR(INDEX($D$13:$D$1000,MATCH(0,COUNTIF($Q$12:Q274,$D$13:$D$1000&amp;"")+IF($D$13:$D$1000="",1,0),0)),"")</f>
        <v/>
      </c>
      <c r="R275" s="356" t="str">
        <f t="shared" si="18"/>
        <v/>
      </c>
      <c r="S275" s="383" t="str">
        <f t="shared" si="16"/>
        <v/>
      </c>
      <c r="T275" s="384" t="str">
        <f t="shared" si="19"/>
        <v/>
      </c>
      <c r="U275" s="349"/>
      <c r="V275" s="385"/>
      <c r="W275" s="385"/>
      <c r="X275" s="386"/>
    </row>
    <row r="276" spans="2:24">
      <c r="B276" s="395"/>
      <c r="C276" s="371"/>
      <c r="D276" s="372" t="str">
        <f>IFERROR(INDEX('[11]Equipment List'!$B$2:$B$2038,MATCH(E276,'[11]Equipment List'!$A$2:$A$2038,0)),"")</f>
        <v/>
      </c>
      <c r="E276" s="388"/>
      <c r="F276" s="374"/>
      <c r="G276" s="375"/>
      <c r="H276" s="397"/>
      <c r="I276" s="377"/>
      <c r="J276" s="378"/>
      <c r="K276" s="379"/>
      <c r="L276" s="387"/>
      <c r="M276" s="380" t="str">
        <f t="array" ref="M276">IF(L276="","",(MAX(IF(AN$15:AN$144=B276,AO$15:AO$144))/60))</f>
        <v/>
      </c>
      <c r="N276" s="387"/>
      <c r="O276" s="387"/>
      <c r="P276" s="381" t="str">
        <f t="shared" si="17"/>
        <v/>
      </c>
      <c r="Q276" s="382" t="str">
        <f t="array" ref="Q276">IFERROR(INDEX($D$13:$D$1000,MATCH(0,COUNTIF($Q$12:Q275,$D$13:$D$1000&amp;"")+IF($D$13:$D$1000="",1,0),0)),"")</f>
        <v/>
      </c>
      <c r="R276" s="356" t="str">
        <f t="shared" si="18"/>
        <v/>
      </c>
      <c r="S276" s="383" t="str">
        <f t="shared" si="16"/>
        <v/>
      </c>
      <c r="T276" s="384" t="str">
        <f t="shared" si="19"/>
        <v/>
      </c>
      <c r="U276" s="349"/>
      <c r="V276" s="385"/>
      <c r="W276" s="385"/>
      <c r="X276" s="386"/>
    </row>
    <row r="277" spans="2:24">
      <c r="B277" s="395"/>
      <c r="C277" s="371"/>
      <c r="D277" s="372" t="str">
        <f>IFERROR(INDEX('[11]Equipment List'!$B$2:$B$2038,MATCH(E277,'[11]Equipment List'!$A$2:$A$2038,0)),"")</f>
        <v/>
      </c>
      <c r="E277" s="388"/>
      <c r="F277" s="374"/>
      <c r="G277" s="375"/>
      <c r="H277" s="397"/>
      <c r="I277" s="377"/>
      <c r="J277" s="378"/>
      <c r="K277" s="379"/>
      <c r="L277" s="387"/>
      <c r="M277" s="380" t="str">
        <f t="array" ref="M277">IF(L277="","",(MAX(IF(AN$15:AN$144=B277,AO$15:AO$144))/60))</f>
        <v/>
      </c>
      <c r="N277" s="387"/>
      <c r="O277" s="387"/>
      <c r="P277" s="381" t="str">
        <f t="shared" si="17"/>
        <v/>
      </c>
      <c r="Q277" s="382" t="str">
        <f t="array" ref="Q277">IFERROR(INDEX($D$13:$D$1000,MATCH(0,COUNTIF($Q$12:Q276,$D$13:$D$1000&amp;"")+IF($D$13:$D$1000="",1,0),0)),"")</f>
        <v/>
      </c>
      <c r="R277" s="356" t="str">
        <f t="shared" si="18"/>
        <v/>
      </c>
      <c r="S277" s="383" t="str">
        <f t="shared" si="16"/>
        <v/>
      </c>
      <c r="T277" s="384" t="str">
        <f t="shared" si="19"/>
        <v/>
      </c>
      <c r="U277" s="349"/>
      <c r="V277" s="385"/>
      <c r="W277" s="385"/>
      <c r="X277" s="386"/>
    </row>
    <row r="278" spans="2:24">
      <c r="B278" s="395"/>
      <c r="C278" s="371"/>
      <c r="D278" s="372" t="str">
        <f>IFERROR(INDEX('[11]Equipment List'!$B$2:$B$2038,MATCH(E278,'[11]Equipment List'!$A$2:$A$2038,0)),"")</f>
        <v/>
      </c>
      <c r="E278" s="388"/>
      <c r="F278" s="374"/>
      <c r="G278" s="375"/>
      <c r="H278" s="397"/>
      <c r="I278" s="377"/>
      <c r="J278" s="378"/>
      <c r="K278" s="379"/>
      <c r="L278" s="387"/>
      <c r="M278" s="380" t="str">
        <f t="array" ref="M278">IF(L278="","",(MAX(IF(AN$15:AN$144=B278,AO$15:AO$144))/60))</f>
        <v/>
      </c>
      <c r="N278" s="387"/>
      <c r="O278" s="387"/>
      <c r="P278" s="381" t="str">
        <f t="shared" si="17"/>
        <v/>
      </c>
      <c r="Q278" s="382" t="str">
        <f t="array" ref="Q278">IFERROR(INDEX($D$13:$D$1000,MATCH(0,COUNTIF($Q$12:Q277,$D$13:$D$1000&amp;"")+IF($D$13:$D$1000="",1,0),0)),"")</f>
        <v/>
      </c>
      <c r="R278" s="356" t="str">
        <f t="shared" si="18"/>
        <v/>
      </c>
      <c r="S278" s="383" t="str">
        <f t="shared" si="16"/>
        <v/>
      </c>
      <c r="T278" s="384" t="str">
        <f t="shared" si="19"/>
        <v/>
      </c>
      <c r="U278" s="349"/>
      <c r="V278" s="385"/>
      <c r="W278" s="385"/>
      <c r="X278" s="386"/>
    </row>
    <row r="279" spans="2:24">
      <c r="B279" s="395"/>
      <c r="C279" s="371"/>
      <c r="D279" s="372" t="str">
        <f>IFERROR(INDEX('[11]Equipment List'!$B$2:$B$2038,MATCH(E279,'[11]Equipment List'!$A$2:$A$2038,0)),"")</f>
        <v/>
      </c>
      <c r="E279" s="388"/>
      <c r="F279" s="374"/>
      <c r="G279" s="375"/>
      <c r="H279" s="397"/>
      <c r="I279" s="377"/>
      <c r="J279" s="378"/>
      <c r="K279" s="379"/>
      <c r="L279" s="387"/>
      <c r="M279" s="380" t="str">
        <f t="array" ref="M279">IF(L279="","",(MAX(IF(AN$15:AN$144=B279,AO$15:AO$144))/60))</f>
        <v/>
      </c>
      <c r="N279" s="387"/>
      <c r="O279" s="387"/>
      <c r="P279" s="381" t="str">
        <f t="shared" si="17"/>
        <v/>
      </c>
      <c r="Q279" s="382" t="str">
        <f t="array" ref="Q279">IFERROR(INDEX($D$13:$D$1000,MATCH(0,COUNTIF($Q$12:Q278,$D$13:$D$1000&amp;"")+IF($D$13:$D$1000="",1,0),0)),"")</f>
        <v/>
      </c>
      <c r="R279" s="356" t="str">
        <f t="shared" si="18"/>
        <v/>
      </c>
      <c r="S279" s="383" t="str">
        <f t="shared" si="16"/>
        <v/>
      </c>
      <c r="T279" s="384" t="str">
        <f t="shared" si="19"/>
        <v/>
      </c>
      <c r="U279" s="349"/>
      <c r="V279" s="385"/>
      <c r="W279" s="385"/>
      <c r="X279" s="386"/>
    </row>
    <row r="280" spans="2:24">
      <c r="B280" s="395"/>
      <c r="C280" s="371"/>
      <c r="D280" s="372" t="str">
        <f>IFERROR(INDEX('[11]Equipment List'!$B$2:$B$2038,MATCH(E280,'[11]Equipment List'!$A$2:$A$2038,0)),"")</f>
        <v/>
      </c>
      <c r="E280" s="388"/>
      <c r="F280" s="374"/>
      <c r="G280" s="375"/>
      <c r="H280" s="397"/>
      <c r="I280" s="377"/>
      <c r="J280" s="378"/>
      <c r="K280" s="379"/>
      <c r="L280" s="387"/>
      <c r="M280" s="380" t="str">
        <f t="array" ref="M280">IF(L280="","",(MAX(IF(AN$15:AN$144=B280,AO$15:AO$144))/60))</f>
        <v/>
      </c>
      <c r="N280" s="387"/>
      <c r="O280" s="387"/>
      <c r="P280" s="381" t="str">
        <f t="shared" si="17"/>
        <v/>
      </c>
      <c r="Q280" s="382" t="str">
        <f t="array" ref="Q280">IFERROR(INDEX($D$13:$D$1000,MATCH(0,COUNTIF($Q$12:Q279,$D$13:$D$1000&amp;"")+IF($D$13:$D$1000="",1,0),0)),"")</f>
        <v/>
      </c>
      <c r="R280" s="356" t="str">
        <f t="shared" si="18"/>
        <v/>
      </c>
      <c r="S280" s="383" t="str">
        <f t="shared" si="16"/>
        <v/>
      </c>
      <c r="T280" s="384" t="str">
        <f t="shared" si="19"/>
        <v/>
      </c>
      <c r="U280" s="349"/>
      <c r="V280" s="385"/>
      <c r="W280" s="385"/>
      <c r="X280" s="386"/>
    </row>
    <row r="281" spans="2:24">
      <c r="B281" s="395"/>
      <c r="C281" s="371"/>
      <c r="D281" s="372" t="str">
        <f>IFERROR(INDEX('[11]Equipment List'!$B$2:$B$2038,MATCH(E281,'[11]Equipment List'!$A$2:$A$2038,0)),"")</f>
        <v/>
      </c>
      <c r="E281" s="388"/>
      <c r="F281" s="374"/>
      <c r="G281" s="375"/>
      <c r="H281" s="397"/>
      <c r="I281" s="377"/>
      <c r="J281" s="378"/>
      <c r="K281" s="379"/>
      <c r="L281" s="387"/>
      <c r="M281" s="380" t="str">
        <f t="array" ref="M281">IF(L281="","",(MAX(IF(AN$15:AN$144=B281,AO$15:AO$144))/60))</f>
        <v/>
      </c>
      <c r="N281" s="387"/>
      <c r="O281" s="387"/>
      <c r="P281" s="381" t="str">
        <f t="shared" si="17"/>
        <v/>
      </c>
      <c r="Q281" s="382" t="str">
        <f t="array" ref="Q281">IFERROR(INDEX($D$13:$D$1000,MATCH(0,COUNTIF($Q$12:Q280,$D$13:$D$1000&amp;"")+IF($D$13:$D$1000="",1,0),0)),"")</f>
        <v/>
      </c>
      <c r="R281" s="356" t="str">
        <f t="shared" si="18"/>
        <v/>
      </c>
      <c r="S281" s="383" t="str">
        <f t="shared" si="16"/>
        <v/>
      </c>
      <c r="T281" s="384" t="str">
        <f t="shared" si="19"/>
        <v/>
      </c>
      <c r="U281" s="349"/>
      <c r="V281" s="385"/>
      <c r="W281" s="385"/>
      <c r="X281" s="386"/>
    </row>
    <row r="282" spans="2:24">
      <c r="B282" s="395"/>
      <c r="C282" s="371"/>
      <c r="D282" s="372" t="str">
        <f>IFERROR(INDEX('[11]Equipment List'!$B$2:$B$2038,MATCH(E282,'[11]Equipment List'!$A$2:$A$2038,0)),"")</f>
        <v/>
      </c>
      <c r="E282" s="388"/>
      <c r="F282" s="374"/>
      <c r="G282" s="375"/>
      <c r="H282" s="397"/>
      <c r="I282" s="377"/>
      <c r="J282" s="378"/>
      <c r="K282" s="379"/>
      <c r="L282" s="387"/>
      <c r="M282" s="380" t="str">
        <f t="array" ref="M282">IF(L282="","",(MAX(IF(AN$15:AN$144=B282,AO$15:AO$144))/60))</f>
        <v/>
      </c>
      <c r="N282" s="387"/>
      <c r="O282" s="387"/>
      <c r="P282" s="381" t="str">
        <f t="shared" si="17"/>
        <v/>
      </c>
      <c r="Q282" s="382" t="str">
        <f t="array" ref="Q282">IFERROR(INDEX($D$13:$D$1000,MATCH(0,COUNTIF($Q$12:Q281,$D$13:$D$1000&amp;"")+IF($D$13:$D$1000="",1,0),0)),"")</f>
        <v/>
      </c>
      <c r="R282" s="356" t="str">
        <f t="shared" si="18"/>
        <v/>
      </c>
      <c r="S282" s="383" t="str">
        <f t="shared" si="16"/>
        <v/>
      </c>
      <c r="T282" s="384" t="str">
        <f t="shared" si="19"/>
        <v/>
      </c>
      <c r="U282" s="349"/>
      <c r="V282" s="385"/>
      <c r="W282" s="385"/>
      <c r="X282" s="386"/>
    </row>
    <row r="283" spans="2:24">
      <c r="B283" s="395"/>
      <c r="C283" s="371"/>
      <c r="D283" s="372" t="str">
        <f>IFERROR(INDEX('[11]Equipment List'!$B$2:$B$2038,MATCH(E283,'[11]Equipment List'!$A$2:$A$2038,0)),"")</f>
        <v/>
      </c>
      <c r="E283" s="388"/>
      <c r="F283" s="374"/>
      <c r="G283" s="375"/>
      <c r="H283" s="397"/>
      <c r="I283" s="377"/>
      <c r="J283" s="378"/>
      <c r="K283" s="379"/>
      <c r="L283" s="387"/>
      <c r="M283" s="380" t="str">
        <f t="array" ref="M283">IF(L283="","",(MAX(IF(AN$15:AN$144=B283,AO$15:AO$144))/60))</f>
        <v/>
      </c>
      <c r="N283" s="387"/>
      <c r="O283" s="387"/>
      <c r="P283" s="381" t="str">
        <f t="shared" si="17"/>
        <v/>
      </c>
      <c r="Q283" s="382" t="str">
        <f t="array" ref="Q283">IFERROR(INDEX($D$13:$D$1000,MATCH(0,COUNTIF($Q$12:Q282,$D$13:$D$1000&amp;"")+IF($D$13:$D$1000="",1,0),0)),"")</f>
        <v/>
      </c>
      <c r="R283" s="356" t="str">
        <f t="shared" si="18"/>
        <v/>
      </c>
      <c r="S283" s="383" t="str">
        <f t="shared" si="16"/>
        <v/>
      </c>
      <c r="T283" s="384" t="str">
        <f t="shared" si="19"/>
        <v/>
      </c>
      <c r="U283" s="349"/>
      <c r="V283" s="385"/>
      <c r="W283" s="385"/>
      <c r="X283" s="386"/>
    </row>
    <row r="284" spans="2:24">
      <c r="B284" s="395"/>
      <c r="C284" s="371"/>
      <c r="D284" s="372" t="str">
        <f>IFERROR(INDEX('[11]Equipment List'!$B$2:$B$2038,MATCH(E284,'[11]Equipment List'!$A$2:$A$2038,0)),"")</f>
        <v/>
      </c>
      <c r="E284" s="388"/>
      <c r="F284" s="374"/>
      <c r="G284" s="375"/>
      <c r="H284" s="397"/>
      <c r="I284" s="377"/>
      <c r="J284" s="378"/>
      <c r="K284" s="379"/>
      <c r="L284" s="387"/>
      <c r="M284" s="380" t="str">
        <f t="array" ref="M284">IF(L284="","",(MAX(IF(AN$15:AN$144=B284,AO$15:AO$144))/60))</f>
        <v/>
      </c>
      <c r="N284" s="387"/>
      <c r="O284" s="387"/>
      <c r="P284" s="381" t="str">
        <f t="shared" si="17"/>
        <v/>
      </c>
      <c r="Q284" s="382" t="str">
        <f t="array" ref="Q284">IFERROR(INDEX($D$13:$D$1000,MATCH(0,COUNTIF($Q$12:Q283,$D$13:$D$1000&amp;"")+IF($D$13:$D$1000="",1,0),0)),"")</f>
        <v/>
      </c>
      <c r="R284" s="356" t="str">
        <f t="shared" si="18"/>
        <v/>
      </c>
      <c r="S284" s="383" t="str">
        <f t="shared" si="16"/>
        <v/>
      </c>
      <c r="T284" s="384" t="str">
        <f t="shared" si="19"/>
        <v/>
      </c>
      <c r="U284" s="349"/>
      <c r="V284" s="385"/>
      <c r="W284" s="385"/>
      <c r="X284" s="386"/>
    </row>
    <row r="285" spans="2:24">
      <c r="B285" s="395"/>
      <c r="C285" s="371"/>
      <c r="D285" s="372" t="str">
        <f>IFERROR(INDEX('[11]Equipment List'!$B$2:$B$2038,MATCH(E285,'[11]Equipment List'!$A$2:$A$2038,0)),"")</f>
        <v/>
      </c>
      <c r="E285" s="388"/>
      <c r="F285" s="374"/>
      <c r="G285" s="375"/>
      <c r="H285" s="397"/>
      <c r="I285" s="377"/>
      <c r="J285" s="378"/>
      <c r="K285" s="379"/>
      <c r="L285" s="387"/>
      <c r="M285" s="380" t="str">
        <f t="array" ref="M285">IF(L285="","",(MAX(IF(AN$15:AN$144=B285,AO$15:AO$144))/60))</f>
        <v/>
      </c>
      <c r="N285" s="387"/>
      <c r="O285" s="387"/>
      <c r="P285" s="381" t="str">
        <f t="shared" si="17"/>
        <v/>
      </c>
      <c r="Q285" s="382" t="str">
        <f t="array" ref="Q285">IFERROR(INDEX($D$13:$D$1000,MATCH(0,COUNTIF($Q$12:Q284,$D$13:$D$1000&amp;"")+IF($D$13:$D$1000="",1,0),0)),"")</f>
        <v/>
      </c>
      <c r="R285" s="356" t="str">
        <f t="shared" si="18"/>
        <v/>
      </c>
      <c r="S285" s="383" t="str">
        <f t="shared" si="16"/>
        <v/>
      </c>
      <c r="T285" s="384" t="str">
        <f t="shared" si="19"/>
        <v/>
      </c>
      <c r="U285" s="349"/>
      <c r="V285" s="385"/>
      <c r="W285" s="385"/>
      <c r="X285" s="386"/>
    </row>
    <row r="286" spans="2:24">
      <c r="B286" s="395"/>
      <c r="C286" s="371"/>
      <c r="D286" s="372" t="str">
        <f>IFERROR(INDEX('[11]Equipment List'!$B$2:$B$2038,MATCH(E286,'[11]Equipment List'!$A$2:$A$2038,0)),"")</f>
        <v/>
      </c>
      <c r="E286" s="388"/>
      <c r="F286" s="374"/>
      <c r="G286" s="375"/>
      <c r="H286" s="397"/>
      <c r="I286" s="377"/>
      <c r="J286" s="378"/>
      <c r="K286" s="379"/>
      <c r="L286" s="387"/>
      <c r="M286" s="380" t="str">
        <f t="array" ref="M286">IF(L286="","",(MAX(IF(AN$15:AN$144=B286,AO$15:AO$144))/60))</f>
        <v/>
      </c>
      <c r="N286" s="387"/>
      <c r="O286" s="387"/>
      <c r="P286" s="381" t="str">
        <f t="shared" si="17"/>
        <v/>
      </c>
      <c r="Q286" s="382" t="str">
        <f t="array" ref="Q286">IFERROR(INDEX($D$13:$D$1000,MATCH(0,COUNTIF($Q$12:Q285,$D$13:$D$1000&amp;"")+IF($D$13:$D$1000="",1,0),0)),"")</f>
        <v/>
      </c>
      <c r="R286" s="356" t="str">
        <f t="shared" si="18"/>
        <v/>
      </c>
      <c r="S286" s="383" t="str">
        <f t="shared" si="16"/>
        <v/>
      </c>
      <c r="T286" s="384" t="str">
        <f t="shared" si="19"/>
        <v/>
      </c>
      <c r="U286" s="349"/>
      <c r="V286" s="385"/>
      <c r="W286" s="385"/>
      <c r="X286" s="386"/>
    </row>
    <row r="287" spans="2:24">
      <c r="B287" s="395"/>
      <c r="C287" s="371"/>
      <c r="D287" s="372" t="str">
        <f>IFERROR(INDEX('[11]Equipment List'!$B$2:$B$2038,MATCH(E287,'[11]Equipment List'!$A$2:$A$2038,0)),"")</f>
        <v/>
      </c>
      <c r="E287" s="388"/>
      <c r="F287" s="374"/>
      <c r="G287" s="375"/>
      <c r="H287" s="397"/>
      <c r="I287" s="377"/>
      <c r="J287" s="378"/>
      <c r="K287" s="379"/>
      <c r="L287" s="387"/>
      <c r="M287" s="380" t="str">
        <f t="array" ref="M287">IF(L287="","",(MAX(IF(AN$15:AN$144=B287,AO$15:AO$144))/60))</f>
        <v/>
      </c>
      <c r="N287" s="387"/>
      <c r="O287" s="387"/>
      <c r="P287" s="381" t="str">
        <f t="shared" si="17"/>
        <v/>
      </c>
      <c r="Q287" s="382" t="str">
        <f t="array" ref="Q287">IFERROR(INDEX($D$13:$D$1000,MATCH(0,COUNTIF($Q$12:Q286,$D$13:$D$1000&amp;"")+IF($D$13:$D$1000="",1,0),0)),"")</f>
        <v/>
      </c>
      <c r="R287" s="356" t="str">
        <f t="shared" si="18"/>
        <v/>
      </c>
      <c r="S287" s="383" t="str">
        <f t="shared" si="16"/>
        <v/>
      </c>
      <c r="T287" s="384" t="str">
        <f t="shared" si="19"/>
        <v/>
      </c>
      <c r="U287" s="349"/>
      <c r="V287" s="385"/>
      <c r="W287" s="385"/>
      <c r="X287" s="386"/>
    </row>
    <row r="288" spans="2:24">
      <c r="B288" s="395"/>
      <c r="C288" s="371"/>
      <c r="D288" s="372" t="str">
        <f>IFERROR(INDEX('[11]Equipment List'!$B$2:$B$2038,MATCH(E288,'[11]Equipment List'!$A$2:$A$2038,0)),"")</f>
        <v/>
      </c>
      <c r="E288" s="388"/>
      <c r="F288" s="374"/>
      <c r="G288" s="375"/>
      <c r="H288" s="397"/>
      <c r="I288" s="377"/>
      <c r="J288" s="378"/>
      <c r="K288" s="379"/>
      <c r="L288" s="387"/>
      <c r="M288" s="380" t="str">
        <f t="array" ref="M288">IF(L288="","",(MAX(IF(AN$15:AN$144=B288,AO$15:AO$144))/60))</f>
        <v/>
      </c>
      <c r="N288" s="387"/>
      <c r="O288" s="387"/>
      <c r="P288" s="381" t="str">
        <f t="shared" si="17"/>
        <v/>
      </c>
      <c r="Q288" s="382" t="str">
        <f t="array" ref="Q288">IFERROR(INDEX($D$13:$D$1000,MATCH(0,COUNTIF($Q$12:Q287,$D$13:$D$1000&amp;"")+IF($D$13:$D$1000="",1,0),0)),"")</f>
        <v/>
      </c>
      <c r="R288" s="356" t="str">
        <f t="shared" si="18"/>
        <v/>
      </c>
      <c r="S288" s="383" t="str">
        <f t="shared" si="16"/>
        <v/>
      </c>
      <c r="T288" s="384" t="str">
        <f t="shared" si="19"/>
        <v/>
      </c>
      <c r="U288" s="349"/>
      <c r="V288" s="385"/>
      <c r="W288" s="385"/>
      <c r="X288" s="386"/>
    </row>
    <row r="289" spans="2:24">
      <c r="B289" s="395"/>
      <c r="C289" s="371"/>
      <c r="D289" s="372" t="str">
        <f>IFERROR(INDEX('[11]Equipment List'!$B$2:$B$2038,MATCH(E289,'[11]Equipment List'!$A$2:$A$2038,0)),"")</f>
        <v/>
      </c>
      <c r="E289" s="388"/>
      <c r="F289" s="374"/>
      <c r="G289" s="375"/>
      <c r="H289" s="397"/>
      <c r="I289" s="377"/>
      <c r="J289" s="378"/>
      <c r="K289" s="379"/>
      <c r="L289" s="387"/>
      <c r="M289" s="380" t="str">
        <f t="array" ref="M289">IF(L289="","",(MAX(IF(AN$15:AN$144=B289,AO$15:AO$144))/60))</f>
        <v/>
      </c>
      <c r="N289" s="387"/>
      <c r="O289" s="387"/>
      <c r="P289" s="381" t="str">
        <f t="shared" si="17"/>
        <v/>
      </c>
      <c r="Q289" s="382" t="str">
        <f t="array" ref="Q289">IFERROR(INDEX($D$13:$D$1000,MATCH(0,COUNTIF($Q$12:Q288,$D$13:$D$1000&amp;"")+IF($D$13:$D$1000="",1,0),0)),"")</f>
        <v/>
      </c>
      <c r="R289" s="356" t="str">
        <f t="shared" si="18"/>
        <v/>
      </c>
      <c r="S289" s="383" t="str">
        <f t="shared" si="16"/>
        <v/>
      </c>
      <c r="T289" s="384" t="str">
        <f t="shared" si="19"/>
        <v/>
      </c>
      <c r="U289" s="349"/>
      <c r="V289" s="385"/>
      <c r="W289" s="385"/>
      <c r="X289" s="386"/>
    </row>
    <row r="290" spans="2:24">
      <c r="B290" s="395"/>
      <c r="C290" s="371"/>
      <c r="D290" s="372" t="str">
        <f>IFERROR(INDEX('[11]Equipment List'!$B$2:$B$2038,MATCH(E290,'[11]Equipment List'!$A$2:$A$2038,0)),"")</f>
        <v/>
      </c>
      <c r="E290" s="388"/>
      <c r="F290" s="374"/>
      <c r="G290" s="375"/>
      <c r="H290" s="397"/>
      <c r="I290" s="377"/>
      <c r="J290" s="378"/>
      <c r="K290" s="379"/>
      <c r="L290" s="387"/>
      <c r="M290" s="380" t="str">
        <f t="array" ref="M290">IF(L290="","",(MAX(IF(AN$15:AN$144=B290,AO$15:AO$144))/60))</f>
        <v/>
      </c>
      <c r="N290" s="387"/>
      <c r="O290" s="387"/>
      <c r="P290" s="381" t="str">
        <f t="shared" si="17"/>
        <v/>
      </c>
      <c r="Q290" s="382" t="str">
        <f t="array" ref="Q290">IFERROR(INDEX($D$13:$D$1000,MATCH(0,COUNTIF($Q$12:Q289,$D$13:$D$1000&amp;"")+IF($D$13:$D$1000="",1,0),0)),"")</f>
        <v/>
      </c>
      <c r="R290" s="356" t="str">
        <f t="shared" si="18"/>
        <v/>
      </c>
      <c r="S290" s="383" t="str">
        <f t="shared" si="16"/>
        <v/>
      </c>
      <c r="T290" s="384" t="str">
        <f t="shared" si="19"/>
        <v/>
      </c>
      <c r="U290" s="349"/>
      <c r="V290" s="385"/>
      <c r="W290" s="385"/>
      <c r="X290" s="386"/>
    </row>
    <row r="291" spans="2:24">
      <c r="B291" s="395"/>
      <c r="C291" s="371"/>
      <c r="D291" s="372" t="str">
        <f>IFERROR(INDEX('[11]Equipment List'!$B$2:$B$2038,MATCH(E291,'[11]Equipment List'!$A$2:$A$2038,0)),"")</f>
        <v/>
      </c>
      <c r="E291" s="388"/>
      <c r="F291" s="374"/>
      <c r="G291" s="375"/>
      <c r="H291" s="397"/>
      <c r="I291" s="377"/>
      <c r="J291" s="378"/>
      <c r="K291" s="379"/>
      <c r="L291" s="387"/>
      <c r="M291" s="380" t="str">
        <f t="array" ref="M291">IF(L291="","",(MAX(IF(AN$15:AN$144=B291,AO$15:AO$144))/60))</f>
        <v/>
      </c>
      <c r="N291" s="387"/>
      <c r="O291" s="387"/>
      <c r="P291" s="381" t="str">
        <f t="shared" si="17"/>
        <v/>
      </c>
      <c r="Q291" s="382" t="str">
        <f t="array" ref="Q291">IFERROR(INDEX($D$13:$D$1000,MATCH(0,COUNTIF($Q$12:Q290,$D$13:$D$1000&amp;"")+IF($D$13:$D$1000="",1,0),0)),"")</f>
        <v/>
      </c>
      <c r="R291" s="356" t="str">
        <f t="shared" si="18"/>
        <v/>
      </c>
      <c r="S291" s="383" t="str">
        <f t="shared" si="16"/>
        <v/>
      </c>
      <c r="T291" s="384" t="str">
        <f t="shared" si="19"/>
        <v/>
      </c>
      <c r="U291" s="349"/>
      <c r="V291" s="385"/>
      <c r="W291" s="385"/>
      <c r="X291" s="386"/>
    </row>
    <row r="292" spans="2:24">
      <c r="B292" s="395"/>
      <c r="C292" s="371"/>
      <c r="D292" s="372" t="str">
        <f>IFERROR(INDEX('[11]Equipment List'!$B$2:$B$2038,MATCH(E292,'[11]Equipment List'!$A$2:$A$2038,0)),"")</f>
        <v/>
      </c>
      <c r="E292" s="388"/>
      <c r="F292" s="374"/>
      <c r="G292" s="375"/>
      <c r="H292" s="397"/>
      <c r="I292" s="377"/>
      <c r="J292" s="378"/>
      <c r="K292" s="379"/>
      <c r="L292" s="387"/>
      <c r="M292" s="380" t="str">
        <f t="array" ref="M292">IF(L292="","",(MAX(IF(AN$15:AN$144=B292,AO$15:AO$144))/60))</f>
        <v/>
      </c>
      <c r="N292" s="387"/>
      <c r="O292" s="387"/>
      <c r="P292" s="381" t="str">
        <f t="shared" si="17"/>
        <v/>
      </c>
      <c r="Q292" s="382" t="str">
        <f t="array" ref="Q292">IFERROR(INDEX($D$13:$D$1000,MATCH(0,COUNTIF($Q$12:Q291,$D$13:$D$1000&amp;"")+IF($D$13:$D$1000="",1,0),0)),"")</f>
        <v/>
      </c>
      <c r="R292" s="356" t="str">
        <f t="shared" si="18"/>
        <v/>
      </c>
      <c r="S292" s="383" t="str">
        <f t="shared" si="16"/>
        <v/>
      </c>
      <c r="T292" s="384" t="str">
        <f t="shared" si="19"/>
        <v/>
      </c>
      <c r="U292" s="349"/>
      <c r="V292" s="385"/>
      <c r="W292" s="385"/>
      <c r="X292" s="386"/>
    </row>
    <row r="293" spans="2:24">
      <c r="B293" s="395"/>
      <c r="C293" s="371"/>
      <c r="D293" s="372" t="str">
        <f>IFERROR(INDEX('[11]Equipment List'!$B$2:$B$2038,MATCH(E293,'[11]Equipment List'!$A$2:$A$2038,0)),"")</f>
        <v/>
      </c>
      <c r="E293" s="388"/>
      <c r="F293" s="374"/>
      <c r="G293" s="375"/>
      <c r="H293" s="397"/>
      <c r="I293" s="377"/>
      <c r="J293" s="378"/>
      <c r="K293" s="379"/>
      <c r="L293" s="387"/>
      <c r="M293" s="380" t="str">
        <f t="array" ref="M293">IF(L293="","",(MAX(IF(AN$15:AN$144=B293,AO$15:AO$144))/60))</f>
        <v/>
      </c>
      <c r="N293" s="387"/>
      <c r="O293" s="387"/>
      <c r="P293" s="381" t="str">
        <f t="shared" si="17"/>
        <v/>
      </c>
      <c r="Q293" s="382" t="str">
        <f t="array" ref="Q293">IFERROR(INDEX($D$13:$D$1000,MATCH(0,COUNTIF($Q$12:Q292,$D$13:$D$1000&amp;"")+IF($D$13:$D$1000="",1,0),0)),"")</f>
        <v/>
      </c>
      <c r="R293" s="356" t="str">
        <f t="shared" si="18"/>
        <v/>
      </c>
      <c r="S293" s="383" t="str">
        <f t="shared" si="16"/>
        <v/>
      </c>
      <c r="T293" s="384" t="str">
        <f t="shared" si="19"/>
        <v/>
      </c>
      <c r="U293" s="349"/>
      <c r="V293" s="385"/>
      <c r="W293" s="385"/>
      <c r="X293" s="386"/>
    </row>
    <row r="294" spans="2:24">
      <c r="B294" s="395"/>
      <c r="C294" s="371"/>
      <c r="D294" s="372" t="str">
        <f>IFERROR(INDEX('[11]Equipment List'!$B$2:$B$2038,MATCH(E294,'[11]Equipment List'!$A$2:$A$2038,0)),"")</f>
        <v/>
      </c>
      <c r="E294" s="388"/>
      <c r="F294" s="374"/>
      <c r="G294" s="375"/>
      <c r="H294" s="397"/>
      <c r="I294" s="377"/>
      <c r="J294" s="378"/>
      <c r="K294" s="379"/>
      <c r="L294" s="387"/>
      <c r="M294" s="380" t="str">
        <f t="array" ref="M294">IF(L294="","",(MAX(IF(AN$15:AN$144=B294,AO$15:AO$144))/60))</f>
        <v/>
      </c>
      <c r="N294" s="387"/>
      <c r="O294" s="387"/>
      <c r="P294" s="381" t="str">
        <f t="shared" si="17"/>
        <v/>
      </c>
      <c r="Q294" s="382" t="str">
        <f t="array" ref="Q294">IFERROR(INDEX($D$13:$D$1000,MATCH(0,COUNTIF($Q$12:Q293,$D$13:$D$1000&amp;"")+IF($D$13:$D$1000="",1,0),0)),"")</f>
        <v/>
      </c>
      <c r="R294" s="356" t="str">
        <f t="shared" si="18"/>
        <v/>
      </c>
      <c r="S294" s="383" t="str">
        <f t="shared" si="16"/>
        <v/>
      </c>
      <c r="T294" s="384" t="str">
        <f t="shared" si="19"/>
        <v/>
      </c>
      <c r="U294" s="349"/>
      <c r="V294" s="385"/>
      <c r="W294" s="385"/>
      <c r="X294" s="386"/>
    </row>
    <row r="295" spans="2:24">
      <c r="B295" s="395"/>
      <c r="C295" s="371"/>
      <c r="D295" s="372" t="str">
        <f>IFERROR(INDEX('[11]Equipment List'!$B$2:$B$2038,MATCH(E295,'[11]Equipment List'!$A$2:$A$2038,0)),"")</f>
        <v/>
      </c>
      <c r="E295" s="388"/>
      <c r="F295" s="374"/>
      <c r="G295" s="375"/>
      <c r="H295" s="397"/>
      <c r="I295" s="377"/>
      <c r="J295" s="378"/>
      <c r="K295" s="379"/>
      <c r="L295" s="387"/>
      <c r="M295" s="380" t="str">
        <f t="array" ref="M295">IF(L295="","",(MAX(IF(AN$15:AN$144=B295,AO$15:AO$144))/60))</f>
        <v/>
      </c>
      <c r="N295" s="387"/>
      <c r="O295" s="387"/>
      <c r="P295" s="381" t="str">
        <f t="shared" si="17"/>
        <v/>
      </c>
      <c r="Q295" s="382" t="str">
        <f t="array" ref="Q295">IFERROR(INDEX($D$13:$D$1000,MATCH(0,COUNTIF($Q$12:Q294,$D$13:$D$1000&amp;"")+IF($D$13:$D$1000="",1,0),0)),"")</f>
        <v/>
      </c>
      <c r="R295" s="356" t="str">
        <f t="shared" si="18"/>
        <v/>
      </c>
      <c r="S295" s="383" t="str">
        <f t="shared" si="16"/>
        <v/>
      </c>
      <c r="T295" s="384" t="str">
        <f t="shared" si="19"/>
        <v/>
      </c>
      <c r="U295" s="349"/>
      <c r="V295" s="385"/>
      <c r="W295" s="385"/>
      <c r="X295" s="386"/>
    </row>
    <row r="296" spans="2:24">
      <c r="B296" s="395"/>
      <c r="C296" s="371"/>
      <c r="D296" s="372" t="str">
        <f>IFERROR(INDEX('[11]Equipment List'!$B$2:$B$2038,MATCH(E296,'[11]Equipment List'!$A$2:$A$2038,0)),"")</f>
        <v/>
      </c>
      <c r="E296" s="388"/>
      <c r="F296" s="374"/>
      <c r="G296" s="375"/>
      <c r="H296" s="397"/>
      <c r="I296" s="377"/>
      <c r="J296" s="378"/>
      <c r="K296" s="379"/>
      <c r="L296" s="387"/>
      <c r="M296" s="380" t="str">
        <f t="array" ref="M296">IF(L296="","",(MAX(IF(AN$15:AN$144=B296,AO$15:AO$144))/60))</f>
        <v/>
      </c>
      <c r="N296" s="387"/>
      <c r="O296" s="387"/>
      <c r="P296" s="381" t="str">
        <f t="shared" si="17"/>
        <v/>
      </c>
      <c r="Q296" s="382" t="str">
        <f t="array" ref="Q296">IFERROR(INDEX($D$13:$D$1000,MATCH(0,COUNTIF($Q$12:Q295,$D$13:$D$1000&amp;"")+IF($D$13:$D$1000="",1,0),0)),"")</f>
        <v/>
      </c>
      <c r="R296" s="356" t="str">
        <f t="shared" si="18"/>
        <v/>
      </c>
      <c r="S296" s="383" t="str">
        <f t="shared" si="16"/>
        <v/>
      </c>
      <c r="T296" s="384" t="str">
        <f t="shared" si="19"/>
        <v/>
      </c>
      <c r="U296" s="349"/>
      <c r="V296" s="385"/>
      <c r="W296" s="385"/>
      <c r="X296" s="386"/>
    </row>
    <row r="297" spans="2:24">
      <c r="B297" s="395"/>
      <c r="C297" s="371"/>
      <c r="D297" s="372" t="str">
        <f>IFERROR(INDEX('[11]Equipment List'!$B$2:$B$2038,MATCH(E297,'[11]Equipment List'!$A$2:$A$2038,0)),"")</f>
        <v/>
      </c>
      <c r="E297" s="388"/>
      <c r="F297" s="374"/>
      <c r="G297" s="375"/>
      <c r="H297" s="397"/>
      <c r="I297" s="377"/>
      <c r="J297" s="378"/>
      <c r="K297" s="379"/>
      <c r="L297" s="387"/>
      <c r="M297" s="380" t="str">
        <f t="array" ref="M297">IF(L297="","",(MAX(IF(AN$15:AN$144=B297,AO$15:AO$144))/60))</f>
        <v/>
      </c>
      <c r="N297" s="387"/>
      <c r="O297" s="387"/>
      <c r="P297" s="381" t="str">
        <f t="shared" si="17"/>
        <v/>
      </c>
      <c r="Q297" s="382" t="str">
        <f t="array" ref="Q297">IFERROR(INDEX($D$13:$D$1000,MATCH(0,COUNTIF($Q$12:Q296,$D$13:$D$1000&amp;"")+IF($D$13:$D$1000="",1,0),0)),"")</f>
        <v/>
      </c>
      <c r="R297" s="356" t="str">
        <f t="shared" si="18"/>
        <v/>
      </c>
      <c r="S297" s="383" t="str">
        <f t="shared" si="16"/>
        <v/>
      </c>
      <c r="T297" s="384" t="str">
        <f t="shared" si="19"/>
        <v/>
      </c>
      <c r="U297" s="349"/>
      <c r="V297" s="385"/>
      <c r="W297" s="385"/>
      <c r="X297" s="386"/>
    </row>
    <row r="298" spans="2:24">
      <c r="B298" s="395"/>
      <c r="C298" s="371"/>
      <c r="D298" s="372" t="str">
        <f>IFERROR(INDEX('[11]Equipment List'!$B$2:$B$2038,MATCH(E298,'[11]Equipment List'!$A$2:$A$2038,0)),"")</f>
        <v/>
      </c>
      <c r="E298" s="388"/>
      <c r="F298" s="374"/>
      <c r="G298" s="375"/>
      <c r="H298" s="397"/>
      <c r="I298" s="377"/>
      <c r="J298" s="378"/>
      <c r="K298" s="379"/>
      <c r="L298" s="387"/>
      <c r="M298" s="380" t="str">
        <f t="array" ref="M298">IF(L298="","",(MAX(IF(AN$15:AN$144=B298,AO$15:AO$144))/60))</f>
        <v/>
      </c>
      <c r="N298" s="387"/>
      <c r="O298" s="387"/>
      <c r="P298" s="381" t="str">
        <f t="shared" si="17"/>
        <v/>
      </c>
      <c r="Q298" s="382" t="str">
        <f t="array" ref="Q298">IFERROR(INDEX($D$13:$D$1000,MATCH(0,COUNTIF($Q$12:Q297,$D$13:$D$1000&amp;"")+IF($D$13:$D$1000="",1,0),0)),"")</f>
        <v/>
      </c>
      <c r="R298" s="356" t="str">
        <f t="shared" si="18"/>
        <v/>
      </c>
      <c r="S298" s="383" t="str">
        <f t="shared" si="16"/>
        <v/>
      </c>
      <c r="T298" s="384" t="str">
        <f t="shared" si="19"/>
        <v/>
      </c>
      <c r="U298" s="349"/>
      <c r="V298" s="385"/>
      <c r="W298" s="385"/>
      <c r="X298" s="386"/>
    </row>
    <row r="299" spans="2:24">
      <c r="B299" s="395"/>
      <c r="C299" s="371"/>
      <c r="D299" s="372" t="str">
        <f>IFERROR(INDEX('[11]Equipment List'!$B$2:$B$2038,MATCH(E299,'[11]Equipment List'!$A$2:$A$2038,0)),"")</f>
        <v/>
      </c>
      <c r="E299" s="388"/>
      <c r="F299" s="374"/>
      <c r="G299" s="375"/>
      <c r="H299" s="397"/>
      <c r="I299" s="377"/>
      <c r="J299" s="378"/>
      <c r="K299" s="379"/>
      <c r="L299" s="387"/>
      <c r="M299" s="380" t="str">
        <f t="array" ref="M299">IF(L299="","",(MAX(IF(AN$15:AN$144=B299,AO$15:AO$144))/60))</f>
        <v/>
      </c>
      <c r="N299" s="387"/>
      <c r="O299" s="387"/>
      <c r="P299" s="381" t="str">
        <f t="shared" si="17"/>
        <v/>
      </c>
      <c r="Q299" s="382" t="str">
        <f t="array" ref="Q299">IFERROR(INDEX($D$13:$D$1000,MATCH(0,COUNTIF($Q$12:Q298,$D$13:$D$1000&amp;"")+IF($D$13:$D$1000="",1,0),0)),"")</f>
        <v/>
      </c>
      <c r="R299" s="356" t="str">
        <f t="shared" si="18"/>
        <v/>
      </c>
      <c r="S299" s="383" t="str">
        <f t="shared" ref="S299:S362" si="20">IF($Q299="","",SUMIF($D$13:$D$1000,$Q299,I$13:I$1000))</f>
        <v/>
      </c>
      <c r="T299" s="384" t="str">
        <f t="shared" si="19"/>
        <v/>
      </c>
      <c r="U299" s="349"/>
      <c r="V299" s="385"/>
      <c r="W299" s="385"/>
      <c r="X299" s="386"/>
    </row>
    <row r="300" spans="2:24">
      <c r="B300" s="395"/>
      <c r="C300" s="371"/>
      <c r="D300" s="372" t="str">
        <f>IFERROR(INDEX('[11]Equipment List'!$B$2:$B$2038,MATCH(E300,'[11]Equipment List'!$A$2:$A$2038,0)),"")</f>
        <v/>
      </c>
      <c r="E300" s="388"/>
      <c r="F300" s="374"/>
      <c r="G300" s="375"/>
      <c r="H300" s="397"/>
      <c r="I300" s="377"/>
      <c r="J300" s="378"/>
      <c r="K300" s="379"/>
      <c r="L300" s="387"/>
      <c r="M300" s="380" t="str">
        <f t="array" ref="M300">IF(L300="","",(MAX(IF(AN$15:AN$144=B300,AO$15:AO$144))/60))</f>
        <v/>
      </c>
      <c r="N300" s="387"/>
      <c r="O300" s="387"/>
      <c r="P300" s="381" t="str">
        <f t="shared" si="17"/>
        <v/>
      </c>
      <c r="Q300" s="382" t="str">
        <f t="array" ref="Q300">IFERROR(INDEX($D$13:$D$1000,MATCH(0,COUNTIF($Q$12:Q299,$D$13:$D$1000&amp;"")+IF($D$13:$D$1000="",1,0),0)),"")</f>
        <v/>
      </c>
      <c r="R300" s="356" t="str">
        <f t="shared" si="18"/>
        <v/>
      </c>
      <c r="S300" s="383" t="str">
        <f t="shared" si="20"/>
        <v/>
      </c>
      <c r="T300" s="384" t="str">
        <f t="shared" si="19"/>
        <v/>
      </c>
      <c r="U300" s="349"/>
      <c r="V300" s="385"/>
      <c r="W300" s="385"/>
      <c r="X300" s="386"/>
    </row>
    <row r="301" spans="2:24">
      <c r="B301" s="395"/>
      <c r="C301" s="371"/>
      <c r="D301" s="372" t="str">
        <f>IFERROR(INDEX('[11]Equipment List'!$B$2:$B$2038,MATCH(E301,'[11]Equipment List'!$A$2:$A$2038,0)),"")</f>
        <v/>
      </c>
      <c r="E301" s="388"/>
      <c r="F301" s="374"/>
      <c r="G301" s="375"/>
      <c r="H301" s="397"/>
      <c r="I301" s="377"/>
      <c r="J301" s="378"/>
      <c r="K301" s="379"/>
      <c r="L301" s="387"/>
      <c r="M301" s="380" t="str">
        <f t="array" ref="M301">IF(L301="","",(MAX(IF(AN$15:AN$144=B301,AO$15:AO$144))/60))</f>
        <v/>
      </c>
      <c r="N301" s="387"/>
      <c r="O301" s="387"/>
      <c r="P301" s="381" t="str">
        <f t="shared" si="17"/>
        <v/>
      </c>
      <c r="Q301" s="382" t="str">
        <f t="array" ref="Q301">IFERROR(INDEX($D$13:$D$1000,MATCH(0,COUNTIF($Q$12:Q300,$D$13:$D$1000&amp;"")+IF($D$13:$D$1000="",1,0),0)),"")</f>
        <v/>
      </c>
      <c r="R301" s="356" t="str">
        <f t="shared" si="18"/>
        <v/>
      </c>
      <c r="S301" s="383" t="str">
        <f t="shared" si="20"/>
        <v/>
      </c>
      <c r="T301" s="384" t="str">
        <f t="shared" si="19"/>
        <v/>
      </c>
      <c r="U301" s="349"/>
      <c r="V301" s="385"/>
      <c r="W301" s="385"/>
      <c r="X301" s="386"/>
    </row>
    <row r="302" spans="2:24">
      <c r="B302" s="395"/>
      <c r="C302" s="371"/>
      <c r="D302" s="372" t="str">
        <f>IFERROR(INDEX('[11]Equipment List'!$B$2:$B$2038,MATCH(E302,'[11]Equipment List'!$A$2:$A$2038,0)),"")</f>
        <v/>
      </c>
      <c r="E302" s="388"/>
      <c r="F302" s="374"/>
      <c r="G302" s="375"/>
      <c r="H302" s="397"/>
      <c r="I302" s="377"/>
      <c r="J302" s="378"/>
      <c r="K302" s="379"/>
      <c r="L302" s="387"/>
      <c r="M302" s="380" t="str">
        <f t="array" ref="M302">IF(L302="","",(MAX(IF(AN$15:AN$144=B302,AO$15:AO$144))/60))</f>
        <v/>
      </c>
      <c r="N302" s="387"/>
      <c r="O302" s="387"/>
      <c r="P302" s="381" t="str">
        <f t="shared" si="17"/>
        <v/>
      </c>
      <c r="Q302" s="382" t="str">
        <f t="array" ref="Q302">IFERROR(INDEX($D$13:$D$1000,MATCH(0,COUNTIF($Q$12:Q301,$D$13:$D$1000&amp;"")+IF($D$13:$D$1000="",1,0),0)),"")</f>
        <v/>
      </c>
      <c r="R302" s="356" t="str">
        <f t="shared" si="18"/>
        <v/>
      </c>
      <c r="S302" s="383" t="str">
        <f t="shared" si="20"/>
        <v/>
      </c>
      <c r="T302" s="384" t="str">
        <f t="shared" si="19"/>
        <v/>
      </c>
      <c r="U302" s="349"/>
      <c r="V302" s="385"/>
      <c r="W302" s="385"/>
      <c r="X302" s="386"/>
    </row>
    <row r="303" spans="2:24">
      <c r="B303" s="395"/>
      <c r="C303" s="371"/>
      <c r="D303" s="372" t="str">
        <f>IFERROR(INDEX('[11]Equipment List'!$B$2:$B$2038,MATCH(E303,'[11]Equipment List'!$A$2:$A$2038,0)),"")</f>
        <v/>
      </c>
      <c r="E303" s="388"/>
      <c r="F303" s="374"/>
      <c r="G303" s="375"/>
      <c r="H303" s="397"/>
      <c r="I303" s="377"/>
      <c r="J303" s="378"/>
      <c r="K303" s="379"/>
      <c r="L303" s="387"/>
      <c r="M303" s="380" t="str">
        <f t="array" ref="M303">IF(L303="","",(MAX(IF(AN$15:AN$144=B303,AO$15:AO$144))/60))</f>
        <v/>
      </c>
      <c r="N303" s="387"/>
      <c r="O303" s="387"/>
      <c r="P303" s="381" t="str">
        <f t="shared" si="17"/>
        <v/>
      </c>
      <c r="Q303" s="382" t="str">
        <f t="array" ref="Q303">IFERROR(INDEX($D$13:$D$1000,MATCH(0,COUNTIF($Q$12:Q302,$D$13:$D$1000&amp;"")+IF($D$13:$D$1000="",1,0),0)),"")</f>
        <v/>
      </c>
      <c r="R303" s="356" t="str">
        <f t="shared" si="18"/>
        <v/>
      </c>
      <c r="S303" s="383" t="str">
        <f t="shared" si="20"/>
        <v/>
      </c>
      <c r="T303" s="384" t="str">
        <f t="shared" si="19"/>
        <v/>
      </c>
      <c r="U303" s="349"/>
      <c r="V303" s="385"/>
      <c r="W303" s="385"/>
      <c r="X303" s="386"/>
    </row>
    <row r="304" spans="2:24">
      <c r="B304" s="395"/>
      <c r="C304" s="371"/>
      <c r="D304" s="372" t="str">
        <f>IFERROR(INDEX('[11]Equipment List'!$B$2:$B$2038,MATCH(E304,'[11]Equipment List'!$A$2:$A$2038,0)),"")</f>
        <v/>
      </c>
      <c r="E304" s="388"/>
      <c r="F304" s="374"/>
      <c r="G304" s="375"/>
      <c r="H304" s="397"/>
      <c r="I304" s="377"/>
      <c r="J304" s="378"/>
      <c r="K304" s="379"/>
      <c r="L304" s="387"/>
      <c r="M304" s="380" t="str">
        <f t="array" ref="M304">IF(L304="","",(MAX(IF(AN$15:AN$144=B304,AO$15:AO$144))/60))</f>
        <v/>
      </c>
      <c r="N304" s="387"/>
      <c r="O304" s="387"/>
      <c r="P304" s="381" t="str">
        <f t="shared" si="17"/>
        <v/>
      </c>
      <c r="Q304" s="382" t="str">
        <f t="array" ref="Q304">IFERROR(INDEX($D$13:$D$1000,MATCH(0,COUNTIF($Q$12:Q303,$D$13:$D$1000&amp;"")+IF($D$13:$D$1000="",1,0),0)),"")</f>
        <v/>
      </c>
      <c r="R304" s="356" t="str">
        <f t="shared" si="18"/>
        <v/>
      </c>
      <c r="S304" s="383" t="str">
        <f t="shared" si="20"/>
        <v/>
      </c>
      <c r="T304" s="384" t="str">
        <f t="shared" si="19"/>
        <v/>
      </c>
      <c r="U304" s="349"/>
      <c r="V304" s="385"/>
      <c r="W304" s="385"/>
      <c r="X304" s="386"/>
    </row>
    <row r="305" spans="2:24">
      <c r="B305" s="395"/>
      <c r="C305" s="371"/>
      <c r="D305" s="372" t="str">
        <f>IFERROR(INDEX('[11]Equipment List'!$B$2:$B$2038,MATCH(E305,'[11]Equipment List'!$A$2:$A$2038,0)),"")</f>
        <v/>
      </c>
      <c r="E305" s="388"/>
      <c r="F305" s="374"/>
      <c r="G305" s="375"/>
      <c r="H305" s="397"/>
      <c r="I305" s="377"/>
      <c r="J305" s="378"/>
      <c r="K305" s="379"/>
      <c r="L305" s="387"/>
      <c r="M305" s="380" t="str">
        <f t="array" ref="M305">IF(L305="","",(MAX(IF(AN$15:AN$144=B305,AO$15:AO$144))/60))</f>
        <v/>
      </c>
      <c r="N305" s="387"/>
      <c r="O305" s="387"/>
      <c r="P305" s="381" t="str">
        <f t="shared" si="17"/>
        <v/>
      </c>
      <c r="Q305" s="382" t="str">
        <f t="array" ref="Q305">IFERROR(INDEX($D$13:$D$1000,MATCH(0,COUNTIF($Q$12:Q304,$D$13:$D$1000&amp;"")+IF($D$13:$D$1000="",1,0),0)),"")</f>
        <v/>
      </c>
      <c r="R305" s="356" t="str">
        <f t="shared" si="18"/>
        <v/>
      </c>
      <c r="S305" s="383" t="str">
        <f t="shared" si="20"/>
        <v/>
      </c>
      <c r="T305" s="384" t="str">
        <f t="shared" si="19"/>
        <v/>
      </c>
      <c r="U305" s="349"/>
      <c r="V305" s="385"/>
      <c r="W305" s="385"/>
      <c r="X305" s="386"/>
    </row>
    <row r="306" spans="2:24">
      <c r="B306" s="395"/>
      <c r="C306" s="371"/>
      <c r="D306" s="372" t="str">
        <f>IFERROR(INDEX('[11]Equipment List'!$B$2:$B$2038,MATCH(E306,'[11]Equipment List'!$A$2:$A$2038,0)),"")</f>
        <v/>
      </c>
      <c r="E306" s="388"/>
      <c r="F306" s="374"/>
      <c r="G306" s="375"/>
      <c r="H306" s="397"/>
      <c r="I306" s="377"/>
      <c r="J306" s="378"/>
      <c r="K306" s="379"/>
      <c r="L306" s="387"/>
      <c r="M306" s="380" t="str">
        <f t="array" ref="M306">IF(L306="","",(MAX(IF(AN$15:AN$144=B306,AO$15:AO$144))/60))</f>
        <v/>
      </c>
      <c r="N306" s="387"/>
      <c r="O306" s="387"/>
      <c r="P306" s="381" t="str">
        <f t="shared" si="17"/>
        <v/>
      </c>
      <c r="Q306" s="382" t="str">
        <f t="array" ref="Q306">IFERROR(INDEX($D$13:$D$1000,MATCH(0,COUNTIF($Q$12:Q305,$D$13:$D$1000&amp;"")+IF($D$13:$D$1000="",1,0),0)),"")</f>
        <v/>
      </c>
      <c r="R306" s="356" t="str">
        <f t="shared" si="18"/>
        <v/>
      </c>
      <c r="S306" s="383" t="str">
        <f t="shared" si="20"/>
        <v/>
      </c>
      <c r="T306" s="384" t="str">
        <f t="shared" si="19"/>
        <v/>
      </c>
      <c r="U306" s="349"/>
      <c r="V306" s="385"/>
      <c r="W306" s="385"/>
      <c r="X306" s="386"/>
    </row>
    <row r="307" spans="2:24">
      <c r="B307" s="395"/>
      <c r="C307" s="371"/>
      <c r="D307" s="372" t="str">
        <f>IFERROR(INDEX('[11]Equipment List'!$B$2:$B$2038,MATCH(E307,'[11]Equipment List'!$A$2:$A$2038,0)),"")</f>
        <v/>
      </c>
      <c r="E307" s="388"/>
      <c r="F307" s="374"/>
      <c r="G307" s="375"/>
      <c r="H307" s="397"/>
      <c r="I307" s="377"/>
      <c r="J307" s="378"/>
      <c r="K307" s="379"/>
      <c r="L307" s="387"/>
      <c r="M307" s="380" t="str">
        <f t="array" ref="M307">IF(L307="","",(MAX(IF(AN$15:AN$144=B307,AO$15:AO$144))/60))</f>
        <v/>
      </c>
      <c r="N307" s="387"/>
      <c r="O307" s="387"/>
      <c r="P307" s="381" t="str">
        <f t="shared" si="17"/>
        <v/>
      </c>
      <c r="Q307" s="382" t="str">
        <f t="array" ref="Q307">IFERROR(INDEX($D$13:$D$1000,MATCH(0,COUNTIF($Q$12:Q306,$D$13:$D$1000&amp;"")+IF($D$13:$D$1000="",1,0),0)),"")</f>
        <v/>
      </c>
      <c r="R307" s="356" t="str">
        <f t="shared" si="18"/>
        <v/>
      </c>
      <c r="S307" s="383" t="str">
        <f t="shared" si="20"/>
        <v/>
      </c>
      <c r="T307" s="384" t="str">
        <f t="shared" si="19"/>
        <v/>
      </c>
      <c r="U307" s="349"/>
      <c r="V307" s="385"/>
      <c r="W307" s="385"/>
      <c r="X307" s="386"/>
    </row>
    <row r="308" spans="2:24">
      <c r="B308" s="395"/>
      <c r="C308" s="371"/>
      <c r="D308" s="372" t="str">
        <f>IFERROR(INDEX('[11]Equipment List'!$B$2:$B$2038,MATCH(E308,'[11]Equipment List'!$A$2:$A$2038,0)),"")</f>
        <v/>
      </c>
      <c r="E308" s="388"/>
      <c r="F308" s="374"/>
      <c r="G308" s="375"/>
      <c r="H308" s="397"/>
      <c r="I308" s="377"/>
      <c r="J308" s="378"/>
      <c r="K308" s="379"/>
      <c r="L308" s="387"/>
      <c r="M308" s="380" t="str">
        <f t="array" ref="M308">IF(L308="","",(MAX(IF(AN$15:AN$144=B308,AO$15:AO$144))/60))</f>
        <v/>
      </c>
      <c r="N308" s="387"/>
      <c r="O308" s="387"/>
      <c r="P308" s="381" t="str">
        <f t="shared" si="17"/>
        <v/>
      </c>
      <c r="Q308" s="382" t="str">
        <f t="array" ref="Q308">IFERROR(INDEX($D$13:$D$1000,MATCH(0,COUNTIF($Q$12:Q307,$D$13:$D$1000&amp;"")+IF($D$13:$D$1000="",1,0),0)),"")</f>
        <v/>
      </c>
      <c r="R308" s="356" t="str">
        <f t="shared" si="18"/>
        <v/>
      </c>
      <c r="S308" s="383" t="str">
        <f t="shared" si="20"/>
        <v/>
      </c>
      <c r="T308" s="384" t="str">
        <f t="shared" si="19"/>
        <v/>
      </c>
      <c r="U308" s="349"/>
      <c r="V308" s="385"/>
      <c r="W308" s="385"/>
      <c r="X308" s="386"/>
    </row>
    <row r="309" spans="2:24">
      <c r="B309" s="395"/>
      <c r="C309" s="371"/>
      <c r="D309" s="372" t="str">
        <f>IFERROR(INDEX('[11]Equipment List'!$B$2:$B$2038,MATCH(E309,'[11]Equipment List'!$A$2:$A$2038,0)),"")</f>
        <v/>
      </c>
      <c r="E309" s="388"/>
      <c r="F309" s="374"/>
      <c r="G309" s="375"/>
      <c r="H309" s="397"/>
      <c r="I309" s="377"/>
      <c r="J309" s="378"/>
      <c r="K309" s="379"/>
      <c r="L309" s="387"/>
      <c r="M309" s="380" t="str">
        <f t="array" ref="M309">IF(L309="","",(MAX(IF(AN$15:AN$144=B309,AO$15:AO$144))/60))</f>
        <v/>
      </c>
      <c r="N309" s="387"/>
      <c r="O309" s="387"/>
      <c r="P309" s="381" t="str">
        <f t="shared" si="17"/>
        <v/>
      </c>
      <c r="Q309" s="382" t="str">
        <f t="array" ref="Q309">IFERROR(INDEX($D$13:$D$1000,MATCH(0,COUNTIF($Q$12:Q308,$D$13:$D$1000&amp;"")+IF($D$13:$D$1000="",1,0),0)),"")</f>
        <v/>
      </c>
      <c r="R309" s="356" t="str">
        <f t="shared" si="18"/>
        <v/>
      </c>
      <c r="S309" s="383" t="str">
        <f t="shared" si="20"/>
        <v/>
      </c>
      <c r="T309" s="384" t="str">
        <f t="shared" si="19"/>
        <v/>
      </c>
      <c r="U309" s="349"/>
      <c r="V309" s="385"/>
      <c r="W309" s="385"/>
      <c r="X309" s="386"/>
    </row>
    <row r="310" spans="2:24">
      <c r="B310" s="395"/>
      <c r="C310" s="371"/>
      <c r="D310" s="372" t="str">
        <f>IFERROR(INDEX('[11]Equipment List'!$B$2:$B$2038,MATCH(E310,'[11]Equipment List'!$A$2:$A$2038,0)),"")</f>
        <v/>
      </c>
      <c r="E310" s="388"/>
      <c r="F310" s="374"/>
      <c r="G310" s="375"/>
      <c r="H310" s="397"/>
      <c r="I310" s="377"/>
      <c r="J310" s="378"/>
      <c r="K310" s="379"/>
      <c r="L310" s="387"/>
      <c r="M310" s="380" t="str">
        <f t="array" ref="M310">IF(L310="","",(MAX(IF(AN$15:AN$144=B310,AO$15:AO$144))/60))</f>
        <v/>
      </c>
      <c r="N310" s="387"/>
      <c r="O310" s="387"/>
      <c r="P310" s="381" t="str">
        <f t="shared" si="17"/>
        <v/>
      </c>
      <c r="Q310" s="382" t="str">
        <f t="array" ref="Q310">IFERROR(INDEX($D$13:$D$1000,MATCH(0,COUNTIF($Q$12:Q309,$D$13:$D$1000&amp;"")+IF($D$13:$D$1000="",1,0),0)),"")</f>
        <v/>
      </c>
      <c r="R310" s="356" t="str">
        <f t="shared" si="18"/>
        <v/>
      </c>
      <c r="S310" s="383" t="str">
        <f t="shared" si="20"/>
        <v/>
      </c>
      <c r="T310" s="384" t="str">
        <f t="shared" si="19"/>
        <v/>
      </c>
      <c r="U310" s="349"/>
      <c r="V310" s="385"/>
      <c r="W310" s="385"/>
      <c r="X310" s="386"/>
    </row>
    <row r="311" spans="2:24">
      <c r="B311" s="395"/>
      <c r="C311" s="371"/>
      <c r="D311" s="372" t="str">
        <f>IFERROR(INDEX('[11]Equipment List'!$B$2:$B$2038,MATCH(E311,'[11]Equipment List'!$A$2:$A$2038,0)),"")</f>
        <v/>
      </c>
      <c r="E311" s="388"/>
      <c r="F311" s="374"/>
      <c r="G311" s="375"/>
      <c r="H311" s="397"/>
      <c r="I311" s="377"/>
      <c r="J311" s="378"/>
      <c r="K311" s="379"/>
      <c r="L311" s="387"/>
      <c r="M311" s="380" t="str">
        <f t="array" ref="M311">IF(L311="","",(MAX(IF(AN$15:AN$144=B311,AO$15:AO$144))/60))</f>
        <v/>
      </c>
      <c r="N311" s="387"/>
      <c r="O311" s="387"/>
      <c r="P311" s="381" t="str">
        <f t="shared" si="17"/>
        <v/>
      </c>
      <c r="Q311" s="382" t="str">
        <f t="array" ref="Q311">IFERROR(INDEX($D$13:$D$1000,MATCH(0,COUNTIF($Q$12:Q310,$D$13:$D$1000&amp;"")+IF($D$13:$D$1000="",1,0),0)),"")</f>
        <v/>
      </c>
      <c r="R311" s="356" t="str">
        <f t="shared" si="18"/>
        <v/>
      </c>
      <c r="S311" s="383" t="str">
        <f t="shared" si="20"/>
        <v/>
      </c>
      <c r="T311" s="384" t="str">
        <f t="shared" si="19"/>
        <v/>
      </c>
      <c r="U311" s="349"/>
      <c r="V311" s="385"/>
      <c r="W311" s="385"/>
      <c r="X311" s="386"/>
    </row>
    <row r="312" spans="2:24">
      <c r="B312" s="395"/>
      <c r="C312" s="371"/>
      <c r="D312" s="372" t="str">
        <f>IFERROR(INDEX('[11]Equipment List'!$B$2:$B$2038,MATCH(E312,'[11]Equipment List'!$A$2:$A$2038,0)),"")</f>
        <v/>
      </c>
      <c r="E312" s="388"/>
      <c r="F312" s="374"/>
      <c r="G312" s="375"/>
      <c r="H312" s="397"/>
      <c r="I312" s="377"/>
      <c r="J312" s="378"/>
      <c r="K312" s="379"/>
      <c r="L312" s="387"/>
      <c r="M312" s="380" t="str">
        <f t="array" ref="M312">IF(L312="","",(MAX(IF(AN$15:AN$144=B312,AO$15:AO$144))/60))</f>
        <v/>
      </c>
      <c r="N312" s="387"/>
      <c r="O312" s="387"/>
      <c r="P312" s="381" t="str">
        <f t="shared" si="17"/>
        <v/>
      </c>
      <c r="Q312" s="382" t="str">
        <f t="array" ref="Q312">IFERROR(INDEX($D$13:$D$1000,MATCH(0,COUNTIF($Q$12:Q311,$D$13:$D$1000&amp;"")+IF($D$13:$D$1000="",1,0),0)),"")</f>
        <v/>
      </c>
      <c r="R312" s="356" t="str">
        <f t="shared" si="18"/>
        <v/>
      </c>
      <c r="S312" s="383" t="str">
        <f t="shared" si="20"/>
        <v/>
      </c>
      <c r="T312" s="384" t="str">
        <f t="shared" si="19"/>
        <v/>
      </c>
      <c r="U312" s="349"/>
      <c r="V312" s="385"/>
      <c r="W312" s="385"/>
      <c r="X312" s="386"/>
    </row>
    <row r="313" spans="2:24">
      <c r="B313" s="395"/>
      <c r="C313" s="371"/>
      <c r="D313" s="372" t="str">
        <f>IFERROR(INDEX('[11]Equipment List'!$B$2:$B$2038,MATCH(E313,'[11]Equipment List'!$A$2:$A$2038,0)),"")</f>
        <v/>
      </c>
      <c r="E313" s="388"/>
      <c r="F313" s="374"/>
      <c r="G313" s="375"/>
      <c r="H313" s="397"/>
      <c r="I313" s="377"/>
      <c r="J313" s="378"/>
      <c r="K313" s="379"/>
      <c r="L313" s="387"/>
      <c r="M313" s="380" t="str">
        <f t="array" ref="M313">IF(L313="","",(MAX(IF(AN$15:AN$144=B313,AO$15:AO$144))/60))</f>
        <v/>
      </c>
      <c r="N313" s="387"/>
      <c r="O313" s="387"/>
      <c r="P313" s="381" t="str">
        <f t="shared" si="17"/>
        <v/>
      </c>
      <c r="Q313" s="382" t="str">
        <f t="array" ref="Q313">IFERROR(INDEX($D$13:$D$1000,MATCH(0,COUNTIF($Q$12:Q312,$D$13:$D$1000&amp;"")+IF($D$13:$D$1000="",1,0),0)),"")</f>
        <v/>
      </c>
      <c r="R313" s="356" t="str">
        <f t="shared" si="18"/>
        <v/>
      </c>
      <c r="S313" s="383" t="str">
        <f t="shared" si="20"/>
        <v/>
      </c>
      <c r="T313" s="384" t="str">
        <f t="shared" si="19"/>
        <v/>
      </c>
      <c r="U313" s="349"/>
      <c r="V313" s="385"/>
      <c r="W313" s="385"/>
      <c r="X313" s="386"/>
    </row>
    <row r="314" spans="2:24">
      <c r="B314" s="395"/>
      <c r="C314" s="371"/>
      <c r="D314" s="372" t="str">
        <f>IFERROR(INDEX('[11]Equipment List'!$B$2:$B$2038,MATCH(E314,'[11]Equipment List'!$A$2:$A$2038,0)),"")</f>
        <v/>
      </c>
      <c r="E314" s="388"/>
      <c r="F314" s="374"/>
      <c r="G314" s="375"/>
      <c r="H314" s="397"/>
      <c r="I314" s="377"/>
      <c r="J314" s="378"/>
      <c r="K314" s="379"/>
      <c r="L314" s="387"/>
      <c r="M314" s="380" t="str">
        <f t="array" ref="M314">IF(L314="","",(MAX(IF(AN$15:AN$144=B314,AO$15:AO$144))/60))</f>
        <v/>
      </c>
      <c r="N314" s="387"/>
      <c r="O314" s="387"/>
      <c r="P314" s="381" t="str">
        <f t="shared" si="17"/>
        <v/>
      </c>
      <c r="Q314" s="382" t="str">
        <f t="array" ref="Q314">IFERROR(INDEX($D$13:$D$1000,MATCH(0,COUNTIF($Q$12:Q313,$D$13:$D$1000&amp;"")+IF($D$13:$D$1000="",1,0),0)),"")</f>
        <v/>
      </c>
      <c r="R314" s="356" t="str">
        <f t="shared" si="18"/>
        <v/>
      </c>
      <c r="S314" s="383" t="str">
        <f t="shared" si="20"/>
        <v/>
      </c>
      <c r="T314" s="384" t="str">
        <f t="shared" si="19"/>
        <v/>
      </c>
      <c r="U314" s="349"/>
      <c r="V314" s="385"/>
      <c r="W314" s="385"/>
      <c r="X314" s="386"/>
    </row>
    <row r="315" spans="2:24">
      <c r="B315" s="395"/>
      <c r="C315" s="371"/>
      <c r="D315" s="372" t="str">
        <f>IFERROR(INDEX('[11]Equipment List'!$B$2:$B$2038,MATCH(E315,'[11]Equipment List'!$A$2:$A$2038,0)),"")</f>
        <v/>
      </c>
      <c r="E315" s="388"/>
      <c r="F315" s="374"/>
      <c r="G315" s="375"/>
      <c r="H315" s="397"/>
      <c r="I315" s="377"/>
      <c r="J315" s="378"/>
      <c r="K315" s="379"/>
      <c r="L315" s="387"/>
      <c r="M315" s="380" t="str">
        <f t="array" ref="M315">IF(L315="","",(MAX(IF(AN$15:AN$144=B315,AO$15:AO$144))/60))</f>
        <v/>
      </c>
      <c r="N315" s="387"/>
      <c r="O315" s="387"/>
      <c r="P315" s="381" t="str">
        <f t="shared" si="17"/>
        <v/>
      </c>
      <c r="Q315" s="382" t="str">
        <f t="array" ref="Q315">IFERROR(INDEX($D$13:$D$1000,MATCH(0,COUNTIF($Q$12:Q314,$D$13:$D$1000&amp;"")+IF($D$13:$D$1000="",1,0),0)),"")</f>
        <v/>
      </c>
      <c r="R315" s="356" t="str">
        <f t="shared" si="18"/>
        <v/>
      </c>
      <c r="S315" s="383" t="str">
        <f t="shared" si="20"/>
        <v/>
      </c>
      <c r="T315" s="384" t="str">
        <f t="shared" si="19"/>
        <v/>
      </c>
      <c r="U315" s="349"/>
      <c r="V315" s="385"/>
      <c r="W315" s="385"/>
      <c r="X315" s="386"/>
    </row>
    <row r="316" spans="2:24">
      <c r="B316" s="395"/>
      <c r="C316" s="371"/>
      <c r="D316" s="372" t="str">
        <f>IFERROR(INDEX('[11]Equipment List'!$B$2:$B$2038,MATCH(E316,'[11]Equipment List'!$A$2:$A$2038,0)),"")</f>
        <v/>
      </c>
      <c r="E316" s="388"/>
      <c r="F316" s="374"/>
      <c r="G316" s="375"/>
      <c r="H316" s="397"/>
      <c r="I316" s="377"/>
      <c r="J316" s="378"/>
      <c r="K316" s="379"/>
      <c r="L316" s="387"/>
      <c r="M316" s="380" t="str">
        <f t="array" ref="M316">IF(L316="","",(MAX(IF(AN$15:AN$144=B316,AO$15:AO$144))/60))</f>
        <v/>
      </c>
      <c r="N316" s="387"/>
      <c r="O316" s="387"/>
      <c r="P316" s="381" t="str">
        <f t="shared" si="17"/>
        <v/>
      </c>
      <c r="Q316" s="382" t="str">
        <f t="array" ref="Q316">IFERROR(INDEX($D$13:$D$1000,MATCH(0,COUNTIF($Q$12:Q315,$D$13:$D$1000&amp;"")+IF($D$13:$D$1000="",1,0),0)),"")</f>
        <v/>
      </c>
      <c r="R316" s="356" t="str">
        <f t="shared" si="18"/>
        <v/>
      </c>
      <c r="S316" s="383" t="str">
        <f t="shared" si="20"/>
        <v/>
      </c>
      <c r="T316" s="384" t="str">
        <f t="shared" si="19"/>
        <v/>
      </c>
      <c r="U316" s="349"/>
      <c r="V316" s="385"/>
      <c r="W316" s="385"/>
      <c r="X316" s="386"/>
    </row>
    <row r="317" spans="2:24">
      <c r="B317" s="395"/>
      <c r="C317" s="371"/>
      <c r="D317" s="372" t="str">
        <f>IFERROR(INDEX('[11]Equipment List'!$B$2:$B$2038,MATCH(E317,'[11]Equipment List'!$A$2:$A$2038,0)),"")</f>
        <v/>
      </c>
      <c r="E317" s="388"/>
      <c r="F317" s="374"/>
      <c r="G317" s="375"/>
      <c r="H317" s="397"/>
      <c r="I317" s="377"/>
      <c r="J317" s="378"/>
      <c r="K317" s="379"/>
      <c r="L317" s="387"/>
      <c r="M317" s="380" t="str">
        <f t="array" ref="M317">IF(L317="","",(MAX(IF(AN$15:AN$144=B317,AO$15:AO$144))/60))</f>
        <v/>
      </c>
      <c r="N317" s="387"/>
      <c r="O317" s="387"/>
      <c r="P317" s="381" t="str">
        <f t="shared" si="17"/>
        <v/>
      </c>
      <c r="Q317" s="382" t="str">
        <f t="array" ref="Q317">IFERROR(INDEX($D$13:$D$1000,MATCH(0,COUNTIF($Q$12:Q316,$D$13:$D$1000&amp;"")+IF($D$13:$D$1000="",1,0),0)),"")</f>
        <v/>
      </c>
      <c r="R317" s="356" t="str">
        <f t="shared" si="18"/>
        <v/>
      </c>
      <c r="S317" s="383" t="str">
        <f t="shared" si="20"/>
        <v/>
      </c>
      <c r="T317" s="384" t="str">
        <f t="shared" si="19"/>
        <v/>
      </c>
      <c r="U317" s="349"/>
      <c r="V317" s="385"/>
      <c r="W317" s="385"/>
      <c r="X317" s="386"/>
    </row>
    <row r="318" spans="2:24">
      <c r="B318" s="395"/>
      <c r="C318" s="371"/>
      <c r="D318" s="372" t="str">
        <f>IFERROR(INDEX('[11]Equipment List'!$B$2:$B$2038,MATCH(E318,'[11]Equipment List'!$A$2:$A$2038,0)),"")</f>
        <v/>
      </c>
      <c r="E318" s="388"/>
      <c r="F318" s="374"/>
      <c r="G318" s="375"/>
      <c r="H318" s="397"/>
      <c r="I318" s="377"/>
      <c r="J318" s="378"/>
      <c r="K318" s="379"/>
      <c r="L318" s="387"/>
      <c r="M318" s="380" t="str">
        <f t="array" ref="M318">IF(L318="","",(MAX(IF(AN$15:AN$144=B318,AO$15:AO$144))/60))</f>
        <v/>
      </c>
      <c r="N318" s="387"/>
      <c r="O318" s="387"/>
      <c r="P318" s="381" t="str">
        <f t="shared" si="17"/>
        <v/>
      </c>
      <c r="Q318" s="382" t="str">
        <f t="array" ref="Q318">IFERROR(INDEX($D$13:$D$1000,MATCH(0,COUNTIF($Q$12:Q317,$D$13:$D$1000&amp;"")+IF($D$13:$D$1000="",1,0),0)),"")</f>
        <v/>
      </c>
      <c r="R318" s="356" t="str">
        <f t="shared" si="18"/>
        <v/>
      </c>
      <c r="S318" s="383" t="str">
        <f t="shared" si="20"/>
        <v/>
      </c>
      <c r="T318" s="384" t="str">
        <f t="shared" si="19"/>
        <v/>
      </c>
      <c r="U318" s="349"/>
      <c r="V318" s="385"/>
      <c r="W318" s="385"/>
      <c r="X318" s="386"/>
    </row>
    <row r="319" spans="2:24">
      <c r="B319" s="395"/>
      <c r="C319" s="371"/>
      <c r="D319" s="372" t="str">
        <f>IFERROR(INDEX('[11]Equipment List'!$B$2:$B$2038,MATCH(E319,'[11]Equipment List'!$A$2:$A$2038,0)),"")</f>
        <v/>
      </c>
      <c r="E319" s="388"/>
      <c r="F319" s="374"/>
      <c r="G319" s="375"/>
      <c r="H319" s="397"/>
      <c r="I319" s="377"/>
      <c r="J319" s="378"/>
      <c r="K319" s="379"/>
      <c r="L319" s="387"/>
      <c r="M319" s="380" t="str">
        <f t="array" ref="M319">IF(L319="","",(MAX(IF(AN$15:AN$144=B319,AO$15:AO$144))/60))</f>
        <v/>
      </c>
      <c r="N319" s="387"/>
      <c r="O319" s="387"/>
      <c r="P319" s="381" t="str">
        <f t="shared" si="17"/>
        <v/>
      </c>
      <c r="Q319" s="382" t="str">
        <f t="array" ref="Q319">IFERROR(INDEX($D$13:$D$1000,MATCH(0,COUNTIF($Q$12:Q318,$D$13:$D$1000&amp;"")+IF($D$13:$D$1000="",1,0),0)),"")</f>
        <v/>
      </c>
      <c r="R319" s="356" t="str">
        <f t="shared" si="18"/>
        <v/>
      </c>
      <c r="S319" s="383" t="str">
        <f t="shared" si="20"/>
        <v/>
      </c>
      <c r="T319" s="384" t="str">
        <f t="shared" si="19"/>
        <v/>
      </c>
      <c r="U319" s="349"/>
      <c r="V319" s="385"/>
      <c r="W319" s="385"/>
      <c r="X319" s="386"/>
    </row>
    <row r="320" spans="2:24">
      <c r="B320" s="395"/>
      <c r="C320" s="371"/>
      <c r="D320" s="372" t="str">
        <f>IFERROR(INDEX('[11]Equipment List'!$B$2:$B$2038,MATCH(E320,'[11]Equipment List'!$A$2:$A$2038,0)),"")</f>
        <v/>
      </c>
      <c r="E320" s="388"/>
      <c r="F320" s="374"/>
      <c r="G320" s="375"/>
      <c r="H320" s="397"/>
      <c r="I320" s="377"/>
      <c r="J320" s="378"/>
      <c r="K320" s="379"/>
      <c r="L320" s="387"/>
      <c r="M320" s="380" t="str">
        <f t="array" ref="M320">IF(L320="","",(MAX(IF(AN$15:AN$144=B320,AO$15:AO$144))/60))</f>
        <v/>
      </c>
      <c r="N320" s="387"/>
      <c r="O320" s="387"/>
      <c r="P320" s="381" t="str">
        <f t="shared" si="17"/>
        <v/>
      </c>
      <c r="Q320" s="382" t="str">
        <f t="array" ref="Q320">IFERROR(INDEX($D$13:$D$1000,MATCH(0,COUNTIF($Q$12:Q319,$D$13:$D$1000&amp;"")+IF($D$13:$D$1000="",1,0),0)),"")</f>
        <v/>
      </c>
      <c r="R320" s="356" t="str">
        <f t="shared" si="18"/>
        <v/>
      </c>
      <c r="S320" s="383" t="str">
        <f t="shared" si="20"/>
        <v/>
      </c>
      <c r="T320" s="384" t="str">
        <f t="shared" si="19"/>
        <v/>
      </c>
      <c r="U320" s="349"/>
      <c r="V320" s="385"/>
      <c r="W320" s="385"/>
      <c r="X320" s="386"/>
    </row>
    <row r="321" spans="2:24">
      <c r="B321" s="395"/>
      <c r="C321" s="371"/>
      <c r="D321" s="372" t="str">
        <f>IFERROR(INDEX('[11]Equipment List'!$B$2:$B$2038,MATCH(E321,'[11]Equipment List'!$A$2:$A$2038,0)),"")</f>
        <v/>
      </c>
      <c r="E321" s="388"/>
      <c r="F321" s="374"/>
      <c r="G321" s="375"/>
      <c r="H321" s="397"/>
      <c r="I321" s="377"/>
      <c r="J321" s="378"/>
      <c r="K321" s="379"/>
      <c r="L321" s="387"/>
      <c r="M321" s="380" t="str">
        <f t="array" ref="M321">IF(L321="","",(MAX(IF(AN$15:AN$144=B321,AO$15:AO$144))/60))</f>
        <v/>
      </c>
      <c r="N321" s="387"/>
      <c r="O321" s="387"/>
      <c r="P321" s="381" t="str">
        <f t="shared" si="17"/>
        <v/>
      </c>
      <c r="Q321" s="382" t="str">
        <f t="array" ref="Q321">IFERROR(INDEX($D$13:$D$1000,MATCH(0,COUNTIF($Q$12:Q320,$D$13:$D$1000&amp;"")+IF($D$13:$D$1000="",1,0),0)),"")</f>
        <v/>
      </c>
      <c r="R321" s="356" t="str">
        <f t="shared" si="18"/>
        <v/>
      </c>
      <c r="S321" s="383" t="str">
        <f t="shared" si="20"/>
        <v/>
      </c>
      <c r="T321" s="384" t="str">
        <f t="shared" si="19"/>
        <v/>
      </c>
      <c r="U321" s="349"/>
      <c r="V321" s="385"/>
      <c r="W321" s="385"/>
      <c r="X321" s="386"/>
    </row>
    <row r="322" spans="2:24">
      <c r="B322" s="395"/>
      <c r="C322" s="371"/>
      <c r="D322" s="372" t="str">
        <f>IFERROR(INDEX('[11]Equipment List'!$B$2:$B$2038,MATCH(E322,'[11]Equipment List'!$A$2:$A$2038,0)),"")</f>
        <v/>
      </c>
      <c r="E322" s="388"/>
      <c r="F322" s="374"/>
      <c r="G322" s="375"/>
      <c r="H322" s="397"/>
      <c r="I322" s="377"/>
      <c r="J322" s="378"/>
      <c r="K322" s="379"/>
      <c r="L322" s="387"/>
      <c r="M322" s="380" t="str">
        <f t="array" ref="M322">IF(L322="","",(MAX(IF(AN$15:AN$144=B322,AO$15:AO$144))/60))</f>
        <v/>
      </c>
      <c r="N322" s="387"/>
      <c r="O322" s="387"/>
      <c r="P322" s="381" t="str">
        <f t="shared" si="17"/>
        <v/>
      </c>
      <c r="Q322" s="382" t="str">
        <f t="array" ref="Q322">IFERROR(INDEX($D$13:$D$1000,MATCH(0,COUNTIF($Q$12:Q321,$D$13:$D$1000&amp;"")+IF($D$13:$D$1000="",1,0),0)),"")</f>
        <v/>
      </c>
      <c r="R322" s="356" t="str">
        <f t="shared" si="18"/>
        <v/>
      </c>
      <c r="S322" s="383" t="str">
        <f t="shared" si="20"/>
        <v/>
      </c>
      <c r="T322" s="384" t="str">
        <f t="shared" si="19"/>
        <v/>
      </c>
      <c r="U322" s="349"/>
      <c r="V322" s="385"/>
      <c r="W322" s="385"/>
      <c r="X322" s="386"/>
    </row>
    <row r="323" spans="2:24">
      <c r="B323" s="395"/>
      <c r="C323" s="371"/>
      <c r="D323" s="372" t="str">
        <f>IFERROR(INDEX('[11]Equipment List'!$B$2:$B$2038,MATCH(E323,'[11]Equipment List'!$A$2:$A$2038,0)),"")</f>
        <v/>
      </c>
      <c r="E323" s="388"/>
      <c r="F323" s="374"/>
      <c r="G323" s="375"/>
      <c r="H323" s="397"/>
      <c r="I323" s="377"/>
      <c r="J323" s="378"/>
      <c r="K323" s="379"/>
      <c r="L323" s="387"/>
      <c r="M323" s="380" t="str">
        <f t="array" ref="M323">IF(L323="","",(MAX(IF(AN$15:AN$144=B323,AO$15:AO$144))/60))</f>
        <v/>
      </c>
      <c r="N323" s="387"/>
      <c r="O323" s="387"/>
      <c r="P323" s="381" t="str">
        <f t="shared" si="17"/>
        <v/>
      </c>
      <c r="Q323" s="382" t="str">
        <f t="array" ref="Q323">IFERROR(INDEX($D$13:$D$1000,MATCH(0,COUNTIF($Q$12:Q322,$D$13:$D$1000&amp;"")+IF($D$13:$D$1000="",1,0),0)),"")</f>
        <v/>
      </c>
      <c r="R323" s="356" t="str">
        <f t="shared" si="18"/>
        <v/>
      </c>
      <c r="S323" s="383" t="str">
        <f t="shared" si="20"/>
        <v/>
      </c>
      <c r="T323" s="384" t="str">
        <f t="shared" si="19"/>
        <v/>
      </c>
      <c r="U323" s="349"/>
      <c r="V323" s="385"/>
      <c r="W323" s="385"/>
      <c r="X323" s="386"/>
    </row>
    <row r="324" spans="2:24">
      <c r="B324" s="395"/>
      <c r="C324" s="371"/>
      <c r="D324" s="372" t="str">
        <f>IFERROR(INDEX('[11]Equipment List'!$B$2:$B$2038,MATCH(E324,'[11]Equipment List'!$A$2:$A$2038,0)),"")</f>
        <v/>
      </c>
      <c r="E324" s="388"/>
      <c r="F324" s="374"/>
      <c r="G324" s="375"/>
      <c r="H324" s="397"/>
      <c r="I324" s="377"/>
      <c r="J324" s="378"/>
      <c r="K324" s="379"/>
      <c r="L324" s="387"/>
      <c r="M324" s="380" t="str">
        <f t="array" ref="M324">IF(L324="","",(MAX(IF(AN$15:AN$144=B324,AO$15:AO$144))/60))</f>
        <v/>
      </c>
      <c r="N324" s="387"/>
      <c r="O324" s="387"/>
      <c r="P324" s="381" t="str">
        <f t="shared" si="17"/>
        <v/>
      </c>
      <c r="Q324" s="382" t="str">
        <f t="array" ref="Q324">IFERROR(INDEX($D$13:$D$1000,MATCH(0,COUNTIF($Q$12:Q323,$D$13:$D$1000&amp;"")+IF($D$13:$D$1000="",1,0),0)),"")</f>
        <v/>
      </c>
      <c r="R324" s="356" t="str">
        <f t="shared" si="18"/>
        <v/>
      </c>
      <c r="S324" s="383" t="str">
        <f t="shared" si="20"/>
        <v/>
      </c>
      <c r="T324" s="384" t="str">
        <f t="shared" si="19"/>
        <v/>
      </c>
      <c r="U324" s="349"/>
      <c r="V324" s="385"/>
      <c r="W324" s="385"/>
      <c r="X324" s="386"/>
    </row>
    <row r="325" spans="2:24">
      <c r="B325" s="395"/>
      <c r="C325" s="371"/>
      <c r="D325" s="372" t="str">
        <f>IFERROR(INDEX('[11]Equipment List'!$B$2:$B$2038,MATCH(E325,'[11]Equipment List'!$A$2:$A$2038,0)),"")</f>
        <v/>
      </c>
      <c r="E325" s="388"/>
      <c r="F325" s="374"/>
      <c r="G325" s="375"/>
      <c r="H325" s="397"/>
      <c r="I325" s="377"/>
      <c r="J325" s="378"/>
      <c r="K325" s="379"/>
      <c r="L325" s="387"/>
      <c r="M325" s="380" t="str">
        <f t="array" ref="M325">IF(L325="","",(MAX(IF(AN$15:AN$144=B325,AO$15:AO$144))/60))</f>
        <v/>
      </c>
      <c r="N325" s="387"/>
      <c r="O325" s="387"/>
      <c r="P325" s="381" t="str">
        <f t="shared" si="17"/>
        <v/>
      </c>
      <c r="Q325" s="382" t="str">
        <f t="array" ref="Q325">IFERROR(INDEX($D$13:$D$1000,MATCH(0,COUNTIF($Q$12:Q324,$D$13:$D$1000&amp;"")+IF($D$13:$D$1000="",1,0),0)),"")</f>
        <v/>
      </c>
      <c r="R325" s="356" t="str">
        <f t="shared" si="18"/>
        <v/>
      </c>
      <c r="S325" s="383" t="str">
        <f t="shared" si="20"/>
        <v/>
      </c>
      <c r="T325" s="384" t="str">
        <f t="shared" si="19"/>
        <v/>
      </c>
      <c r="U325" s="349"/>
      <c r="V325" s="385"/>
      <c r="W325" s="385"/>
      <c r="X325" s="386"/>
    </row>
    <row r="326" spans="2:24">
      <c r="B326" s="395"/>
      <c r="C326" s="371"/>
      <c r="D326" s="372" t="str">
        <f>IFERROR(INDEX('[11]Equipment List'!$B$2:$B$2038,MATCH(E326,'[11]Equipment List'!$A$2:$A$2038,0)),"")</f>
        <v/>
      </c>
      <c r="E326" s="388"/>
      <c r="F326" s="374"/>
      <c r="G326" s="375"/>
      <c r="H326" s="397"/>
      <c r="I326" s="377"/>
      <c r="J326" s="378"/>
      <c r="K326" s="379"/>
      <c r="L326" s="387"/>
      <c r="M326" s="380" t="str">
        <f t="array" ref="M326">IF(L326="","",(MAX(IF(AN$15:AN$144=B326,AO$15:AO$144))/60))</f>
        <v/>
      </c>
      <c r="N326" s="387"/>
      <c r="O326" s="387"/>
      <c r="P326" s="381" t="str">
        <f t="shared" si="17"/>
        <v/>
      </c>
      <c r="Q326" s="382" t="str">
        <f t="array" ref="Q326">IFERROR(INDEX($D$13:$D$1000,MATCH(0,COUNTIF($Q$12:Q325,$D$13:$D$1000&amp;"")+IF($D$13:$D$1000="",1,0),0)),"")</f>
        <v/>
      </c>
      <c r="R326" s="356" t="str">
        <f t="shared" si="18"/>
        <v/>
      </c>
      <c r="S326" s="383" t="str">
        <f t="shared" si="20"/>
        <v/>
      </c>
      <c r="T326" s="384" t="str">
        <f t="shared" si="19"/>
        <v/>
      </c>
      <c r="U326" s="349"/>
      <c r="V326" s="385"/>
      <c r="W326" s="385"/>
      <c r="X326" s="386"/>
    </row>
    <row r="327" spans="2:24">
      <c r="B327" s="395"/>
      <c r="C327" s="371"/>
      <c r="D327" s="372" t="str">
        <f>IFERROR(INDEX('[11]Equipment List'!$B$2:$B$2038,MATCH(E327,'[11]Equipment List'!$A$2:$A$2038,0)),"")</f>
        <v/>
      </c>
      <c r="E327" s="388"/>
      <c r="F327" s="374"/>
      <c r="G327" s="375"/>
      <c r="H327" s="397"/>
      <c r="I327" s="377"/>
      <c r="J327" s="378"/>
      <c r="K327" s="379"/>
      <c r="L327" s="387"/>
      <c r="M327" s="380" t="str">
        <f t="array" ref="M327">IF(L327="","",(MAX(IF(AN$15:AN$144=B327,AO$15:AO$144))/60))</f>
        <v/>
      </c>
      <c r="N327" s="387"/>
      <c r="O327" s="387"/>
      <c r="P327" s="381" t="str">
        <f t="shared" si="17"/>
        <v/>
      </c>
      <c r="Q327" s="382" t="str">
        <f t="array" ref="Q327">IFERROR(INDEX($D$13:$D$1000,MATCH(0,COUNTIF($Q$12:Q326,$D$13:$D$1000&amp;"")+IF($D$13:$D$1000="",1,0),0)),"")</f>
        <v/>
      </c>
      <c r="R327" s="356" t="str">
        <f t="shared" si="18"/>
        <v/>
      </c>
      <c r="S327" s="383" t="str">
        <f t="shared" si="20"/>
        <v/>
      </c>
      <c r="T327" s="384" t="str">
        <f t="shared" si="19"/>
        <v/>
      </c>
      <c r="U327" s="349"/>
      <c r="V327" s="385"/>
      <c r="W327" s="385"/>
      <c r="X327" s="386"/>
    </row>
    <row r="328" spans="2:24">
      <c r="B328" s="395"/>
      <c r="C328" s="371"/>
      <c r="D328" s="372" t="str">
        <f>IFERROR(INDEX('[11]Equipment List'!$B$2:$B$2038,MATCH(E328,'[11]Equipment List'!$A$2:$A$2038,0)),"")</f>
        <v/>
      </c>
      <c r="E328" s="388"/>
      <c r="F328" s="374"/>
      <c r="G328" s="375"/>
      <c r="H328" s="397"/>
      <c r="I328" s="377"/>
      <c r="J328" s="378"/>
      <c r="K328" s="379"/>
      <c r="L328" s="387"/>
      <c r="M328" s="380" t="str">
        <f t="array" ref="M328">IF(L328="","",(MAX(IF(AN$15:AN$144=B328,AO$15:AO$144))/60))</f>
        <v/>
      </c>
      <c r="N328" s="387"/>
      <c r="O328" s="387"/>
      <c r="P328" s="381" t="str">
        <f t="shared" si="17"/>
        <v/>
      </c>
      <c r="Q328" s="382" t="str">
        <f t="array" ref="Q328">IFERROR(INDEX($D$13:$D$1000,MATCH(0,COUNTIF($Q$12:Q327,$D$13:$D$1000&amp;"")+IF($D$13:$D$1000="",1,0),0)),"")</f>
        <v/>
      </c>
      <c r="R328" s="356" t="str">
        <f t="shared" si="18"/>
        <v/>
      </c>
      <c r="S328" s="383" t="str">
        <f t="shared" si="20"/>
        <v/>
      </c>
      <c r="T328" s="384" t="str">
        <f t="shared" si="19"/>
        <v/>
      </c>
      <c r="U328" s="349"/>
      <c r="V328" s="385"/>
      <c r="W328" s="385"/>
      <c r="X328" s="386"/>
    </row>
    <row r="329" spans="2:24">
      <c r="B329" s="395"/>
      <c r="C329" s="371"/>
      <c r="D329" s="372" t="str">
        <f>IFERROR(INDEX('[11]Equipment List'!$B$2:$B$2038,MATCH(E329,'[11]Equipment List'!$A$2:$A$2038,0)),"")</f>
        <v/>
      </c>
      <c r="E329" s="388"/>
      <c r="F329" s="374"/>
      <c r="G329" s="375"/>
      <c r="H329" s="397"/>
      <c r="I329" s="377"/>
      <c r="J329" s="378"/>
      <c r="K329" s="379"/>
      <c r="L329" s="387"/>
      <c r="M329" s="380" t="str">
        <f t="array" ref="M329">IF(L329="","",(MAX(IF(AN$15:AN$144=B329,AO$15:AO$144))/60))</f>
        <v/>
      </c>
      <c r="N329" s="387"/>
      <c r="O329" s="387"/>
      <c r="P329" s="381" t="str">
        <f t="shared" si="17"/>
        <v/>
      </c>
      <c r="Q329" s="382" t="str">
        <f t="array" ref="Q329">IFERROR(INDEX($D$13:$D$1000,MATCH(0,COUNTIF($Q$12:Q328,$D$13:$D$1000&amp;"")+IF($D$13:$D$1000="",1,0),0)),"")</f>
        <v/>
      </c>
      <c r="R329" s="356" t="str">
        <f t="shared" si="18"/>
        <v/>
      </c>
      <c r="S329" s="383" t="str">
        <f t="shared" si="20"/>
        <v/>
      </c>
      <c r="T329" s="384" t="str">
        <f t="shared" si="19"/>
        <v/>
      </c>
      <c r="U329" s="349"/>
      <c r="V329" s="385"/>
      <c r="W329" s="385"/>
      <c r="X329" s="386"/>
    </row>
    <row r="330" spans="2:24">
      <c r="B330" s="395"/>
      <c r="C330" s="371"/>
      <c r="D330" s="372" t="str">
        <f>IFERROR(INDEX('[11]Equipment List'!$B$2:$B$2038,MATCH(E330,'[11]Equipment List'!$A$2:$A$2038,0)),"")</f>
        <v/>
      </c>
      <c r="E330" s="388"/>
      <c r="F330" s="374"/>
      <c r="G330" s="375"/>
      <c r="H330" s="397"/>
      <c r="I330" s="377"/>
      <c r="J330" s="378"/>
      <c r="K330" s="379"/>
      <c r="L330" s="387"/>
      <c r="M330" s="380" t="str">
        <f t="array" ref="M330">IF(L330="","",(MAX(IF(AN$15:AN$144=B330,AO$15:AO$144))/60))</f>
        <v/>
      </c>
      <c r="N330" s="387"/>
      <c r="O330" s="387"/>
      <c r="P330" s="381" t="str">
        <f t="shared" si="17"/>
        <v/>
      </c>
      <c r="Q330" s="382" t="str">
        <f t="array" ref="Q330">IFERROR(INDEX($D$13:$D$1000,MATCH(0,COUNTIF($Q$12:Q329,$D$13:$D$1000&amp;"")+IF($D$13:$D$1000="",1,0),0)),"")</f>
        <v/>
      </c>
      <c r="R330" s="356" t="str">
        <f t="shared" si="18"/>
        <v/>
      </c>
      <c r="S330" s="383" t="str">
        <f t="shared" si="20"/>
        <v/>
      </c>
      <c r="T330" s="384" t="str">
        <f t="shared" si="19"/>
        <v/>
      </c>
      <c r="U330" s="349"/>
      <c r="V330" s="385"/>
      <c r="W330" s="385"/>
      <c r="X330" s="386"/>
    </row>
    <row r="331" spans="2:24">
      <c r="B331" s="395"/>
      <c r="C331" s="371"/>
      <c r="D331" s="372" t="str">
        <f>IFERROR(INDEX('[11]Equipment List'!$B$2:$B$2038,MATCH(E331,'[11]Equipment List'!$A$2:$A$2038,0)),"")</f>
        <v/>
      </c>
      <c r="E331" s="388"/>
      <c r="F331" s="374"/>
      <c r="G331" s="375"/>
      <c r="H331" s="397"/>
      <c r="I331" s="377"/>
      <c r="J331" s="378"/>
      <c r="K331" s="379"/>
      <c r="L331" s="387"/>
      <c r="M331" s="380" t="str">
        <f t="array" ref="M331">IF(L331="","",(MAX(IF(AN$15:AN$144=B331,AO$15:AO$144))/60))</f>
        <v/>
      </c>
      <c r="N331" s="387"/>
      <c r="O331" s="387"/>
      <c r="P331" s="381" t="str">
        <f t="shared" si="17"/>
        <v/>
      </c>
      <c r="Q331" s="382" t="str">
        <f t="array" ref="Q331">IFERROR(INDEX($D$13:$D$1000,MATCH(0,COUNTIF($Q$12:Q330,$D$13:$D$1000&amp;"")+IF($D$13:$D$1000="",1,0),0)),"")</f>
        <v/>
      </c>
      <c r="R331" s="356" t="str">
        <f t="shared" si="18"/>
        <v/>
      </c>
      <c r="S331" s="383" t="str">
        <f t="shared" si="20"/>
        <v/>
      </c>
      <c r="T331" s="384" t="str">
        <f t="shared" si="19"/>
        <v/>
      </c>
      <c r="U331" s="349"/>
      <c r="V331" s="385"/>
      <c r="W331" s="385"/>
      <c r="X331" s="386"/>
    </row>
    <row r="332" spans="2:24">
      <c r="B332" s="395"/>
      <c r="C332" s="371"/>
      <c r="D332" s="372" t="str">
        <f>IFERROR(INDEX('[11]Equipment List'!$B$2:$B$2038,MATCH(E332,'[11]Equipment List'!$A$2:$A$2038,0)),"")</f>
        <v/>
      </c>
      <c r="E332" s="388"/>
      <c r="F332" s="374"/>
      <c r="G332" s="375"/>
      <c r="H332" s="397"/>
      <c r="I332" s="377"/>
      <c r="J332" s="378"/>
      <c r="K332" s="379"/>
      <c r="L332" s="387"/>
      <c r="M332" s="380" t="str">
        <f t="array" ref="M332">IF(L332="","",(MAX(IF(AN$15:AN$144=B332,AO$15:AO$144))/60))</f>
        <v/>
      </c>
      <c r="N332" s="387"/>
      <c r="O332" s="387"/>
      <c r="P332" s="381" t="str">
        <f t="shared" ref="P332:P395" si="21">IFERROR((((K332/5/250/$F$8)+(N332*$F$9))/$S$4)*(M332/60),"")</f>
        <v/>
      </c>
      <c r="Q332" s="382" t="str">
        <f t="array" ref="Q332">IFERROR(INDEX($D$13:$D$1000,MATCH(0,COUNTIF($Q$12:Q331,$D$13:$D$1000&amp;"")+IF($D$13:$D$1000="",1,0),0)),"")</f>
        <v/>
      </c>
      <c r="R332" s="356" t="str">
        <f t="shared" si="18"/>
        <v/>
      </c>
      <c r="S332" s="383" t="str">
        <f t="shared" si="20"/>
        <v/>
      </c>
      <c r="T332" s="384" t="str">
        <f t="shared" si="19"/>
        <v/>
      </c>
      <c r="U332" s="349"/>
      <c r="V332" s="385"/>
      <c r="W332" s="385"/>
      <c r="X332" s="386"/>
    </row>
    <row r="333" spans="2:24">
      <c r="B333" s="395"/>
      <c r="C333" s="371"/>
      <c r="D333" s="372" t="str">
        <f>IFERROR(INDEX('[11]Equipment List'!$B$2:$B$2038,MATCH(E333,'[11]Equipment List'!$A$2:$A$2038,0)),"")</f>
        <v/>
      </c>
      <c r="E333" s="388"/>
      <c r="F333" s="374"/>
      <c r="G333" s="375"/>
      <c r="H333" s="397"/>
      <c r="I333" s="377"/>
      <c r="J333" s="378"/>
      <c r="K333" s="379"/>
      <c r="L333" s="387"/>
      <c r="M333" s="380" t="str">
        <f t="array" ref="M333">IF(L333="","",(MAX(IF(AN$15:AN$144=B333,AO$15:AO$144))/60))</f>
        <v/>
      </c>
      <c r="N333" s="387"/>
      <c r="O333" s="387"/>
      <c r="P333" s="381" t="str">
        <f t="shared" si="21"/>
        <v/>
      </c>
      <c r="Q333" s="382" t="str">
        <f t="array" ref="Q333">IFERROR(INDEX($D$13:$D$1000,MATCH(0,COUNTIF($Q$12:Q332,$D$13:$D$1000&amp;"")+IF($D$13:$D$1000="",1,0),0)),"")</f>
        <v/>
      </c>
      <c r="R333" s="356" t="str">
        <f t="shared" ref="R333:R396" si="22">IF(Q333="","",COUNTIF($D$13:$D$1000,$Q333))</f>
        <v/>
      </c>
      <c r="S333" s="383" t="str">
        <f t="shared" si="20"/>
        <v/>
      </c>
      <c r="T333" s="384" t="str">
        <f t="shared" ref="T333:T396" si="23">IF($Q333="","",SUMIF($D$13:$D$1000,$Q333,N$13:N$1000))</f>
        <v/>
      </c>
      <c r="U333" s="349"/>
      <c r="V333" s="385"/>
      <c r="W333" s="385"/>
      <c r="X333" s="386"/>
    </row>
    <row r="334" spans="2:24">
      <c r="B334" s="395"/>
      <c r="C334" s="371"/>
      <c r="D334" s="372" t="str">
        <f>IFERROR(INDEX('[11]Equipment List'!$B$2:$B$2038,MATCH(E334,'[11]Equipment List'!$A$2:$A$2038,0)),"")</f>
        <v/>
      </c>
      <c r="E334" s="388"/>
      <c r="F334" s="374"/>
      <c r="G334" s="375"/>
      <c r="H334" s="397"/>
      <c r="I334" s="377"/>
      <c r="J334" s="378"/>
      <c r="K334" s="379"/>
      <c r="L334" s="387"/>
      <c r="M334" s="380" t="str">
        <f t="array" ref="M334">IF(L334="","",(MAX(IF(AN$15:AN$144=B334,AO$15:AO$144))/60))</f>
        <v/>
      </c>
      <c r="N334" s="387"/>
      <c r="O334" s="387"/>
      <c r="P334" s="381" t="str">
        <f t="shared" si="21"/>
        <v/>
      </c>
      <c r="Q334" s="382" t="str">
        <f t="array" ref="Q334">IFERROR(INDEX($D$13:$D$1000,MATCH(0,COUNTIF($Q$12:Q333,$D$13:$D$1000&amp;"")+IF($D$13:$D$1000="",1,0),0)),"")</f>
        <v/>
      </c>
      <c r="R334" s="356" t="str">
        <f t="shared" si="22"/>
        <v/>
      </c>
      <c r="S334" s="383" t="str">
        <f t="shared" si="20"/>
        <v/>
      </c>
      <c r="T334" s="384" t="str">
        <f t="shared" si="23"/>
        <v/>
      </c>
      <c r="U334" s="349"/>
      <c r="V334" s="385"/>
      <c r="W334" s="385"/>
      <c r="X334" s="386"/>
    </row>
    <row r="335" spans="2:24">
      <c r="B335" s="395"/>
      <c r="C335" s="371"/>
      <c r="D335" s="372" t="str">
        <f>IFERROR(INDEX('[11]Equipment List'!$B$2:$B$2038,MATCH(E335,'[11]Equipment List'!$A$2:$A$2038,0)),"")</f>
        <v/>
      </c>
      <c r="E335" s="388"/>
      <c r="F335" s="374"/>
      <c r="G335" s="375"/>
      <c r="H335" s="397"/>
      <c r="I335" s="377"/>
      <c r="J335" s="378"/>
      <c r="K335" s="379"/>
      <c r="L335" s="387"/>
      <c r="M335" s="380" t="str">
        <f t="array" ref="M335">IF(L335="","",(MAX(IF(AN$15:AN$144=B335,AO$15:AO$144))/60))</f>
        <v/>
      </c>
      <c r="N335" s="387"/>
      <c r="O335" s="387"/>
      <c r="P335" s="381" t="str">
        <f t="shared" si="21"/>
        <v/>
      </c>
      <c r="Q335" s="382" t="str">
        <f t="array" ref="Q335">IFERROR(INDEX($D$13:$D$1000,MATCH(0,COUNTIF($Q$12:Q334,$D$13:$D$1000&amp;"")+IF($D$13:$D$1000="",1,0),0)),"")</f>
        <v/>
      </c>
      <c r="R335" s="356" t="str">
        <f t="shared" si="22"/>
        <v/>
      </c>
      <c r="S335" s="383" t="str">
        <f t="shared" si="20"/>
        <v/>
      </c>
      <c r="T335" s="384" t="str">
        <f t="shared" si="23"/>
        <v/>
      </c>
      <c r="U335" s="349"/>
      <c r="V335" s="385"/>
      <c r="W335" s="385"/>
      <c r="X335" s="386"/>
    </row>
    <row r="336" spans="2:24">
      <c r="B336" s="395"/>
      <c r="C336" s="371"/>
      <c r="D336" s="372" t="str">
        <f>IFERROR(INDEX('[11]Equipment List'!$B$2:$B$2038,MATCH(E336,'[11]Equipment List'!$A$2:$A$2038,0)),"")</f>
        <v/>
      </c>
      <c r="E336" s="388"/>
      <c r="F336" s="374"/>
      <c r="G336" s="375"/>
      <c r="H336" s="397"/>
      <c r="I336" s="377"/>
      <c r="J336" s="378"/>
      <c r="K336" s="379"/>
      <c r="L336" s="387"/>
      <c r="M336" s="380" t="str">
        <f t="array" ref="M336">IF(L336="","",(MAX(IF(AN$15:AN$144=B336,AO$15:AO$144))/60))</f>
        <v/>
      </c>
      <c r="N336" s="387"/>
      <c r="O336" s="387"/>
      <c r="P336" s="381" t="str">
        <f t="shared" si="21"/>
        <v/>
      </c>
      <c r="Q336" s="382" t="str">
        <f t="array" ref="Q336">IFERROR(INDEX($D$13:$D$1000,MATCH(0,COUNTIF($Q$12:Q335,$D$13:$D$1000&amp;"")+IF($D$13:$D$1000="",1,0),0)),"")</f>
        <v/>
      </c>
      <c r="R336" s="356" t="str">
        <f t="shared" si="22"/>
        <v/>
      </c>
      <c r="S336" s="383" t="str">
        <f t="shared" si="20"/>
        <v/>
      </c>
      <c r="T336" s="384" t="str">
        <f t="shared" si="23"/>
        <v/>
      </c>
      <c r="U336" s="349"/>
      <c r="V336" s="385"/>
      <c r="W336" s="385"/>
      <c r="X336" s="386"/>
    </row>
    <row r="337" spans="2:24">
      <c r="B337" s="395"/>
      <c r="C337" s="371"/>
      <c r="D337" s="372" t="str">
        <f>IFERROR(INDEX('[11]Equipment List'!$B$2:$B$2038,MATCH(E337,'[11]Equipment List'!$A$2:$A$2038,0)),"")</f>
        <v/>
      </c>
      <c r="E337" s="388"/>
      <c r="F337" s="374"/>
      <c r="G337" s="375"/>
      <c r="H337" s="397"/>
      <c r="I337" s="377"/>
      <c r="J337" s="378"/>
      <c r="K337" s="379"/>
      <c r="L337" s="387"/>
      <c r="M337" s="380" t="str">
        <f t="array" ref="M337">IF(L337="","",(MAX(IF(AN$15:AN$144=B337,AO$15:AO$144))/60))</f>
        <v/>
      </c>
      <c r="N337" s="387"/>
      <c r="O337" s="387"/>
      <c r="P337" s="381" t="str">
        <f t="shared" si="21"/>
        <v/>
      </c>
      <c r="Q337" s="382" t="str">
        <f t="array" ref="Q337">IFERROR(INDEX($D$13:$D$1000,MATCH(0,COUNTIF($Q$12:Q336,$D$13:$D$1000&amp;"")+IF($D$13:$D$1000="",1,0),0)),"")</f>
        <v/>
      </c>
      <c r="R337" s="356" t="str">
        <f t="shared" si="22"/>
        <v/>
      </c>
      <c r="S337" s="383" t="str">
        <f t="shared" si="20"/>
        <v/>
      </c>
      <c r="T337" s="384" t="str">
        <f t="shared" si="23"/>
        <v/>
      </c>
      <c r="U337" s="349"/>
      <c r="V337" s="385"/>
      <c r="W337" s="385"/>
      <c r="X337" s="386"/>
    </row>
    <row r="338" spans="2:24">
      <c r="B338" s="395"/>
      <c r="C338" s="371"/>
      <c r="D338" s="372" t="str">
        <f>IFERROR(INDEX('[11]Equipment List'!$B$2:$B$2038,MATCH(E338,'[11]Equipment List'!$A$2:$A$2038,0)),"")</f>
        <v/>
      </c>
      <c r="E338" s="388"/>
      <c r="F338" s="374"/>
      <c r="G338" s="375"/>
      <c r="H338" s="397"/>
      <c r="I338" s="377"/>
      <c r="J338" s="378"/>
      <c r="K338" s="379"/>
      <c r="L338" s="387"/>
      <c r="M338" s="380" t="str">
        <f t="array" ref="M338">IF(L338="","",(MAX(IF(AN$15:AN$144=B338,AO$15:AO$144))/60))</f>
        <v/>
      </c>
      <c r="N338" s="387"/>
      <c r="O338" s="387"/>
      <c r="P338" s="381" t="str">
        <f t="shared" si="21"/>
        <v/>
      </c>
      <c r="Q338" s="382" t="str">
        <f t="array" ref="Q338">IFERROR(INDEX($D$13:$D$1000,MATCH(0,COUNTIF($Q$12:Q337,$D$13:$D$1000&amp;"")+IF($D$13:$D$1000="",1,0),0)),"")</f>
        <v/>
      </c>
      <c r="R338" s="356" t="str">
        <f t="shared" si="22"/>
        <v/>
      </c>
      <c r="S338" s="383" t="str">
        <f t="shared" si="20"/>
        <v/>
      </c>
      <c r="T338" s="384" t="str">
        <f t="shared" si="23"/>
        <v/>
      </c>
      <c r="U338" s="349"/>
      <c r="V338" s="385"/>
      <c r="W338" s="385"/>
      <c r="X338" s="386"/>
    </row>
    <row r="339" spans="2:24">
      <c r="B339" s="395"/>
      <c r="C339" s="371"/>
      <c r="D339" s="372" t="str">
        <f>IFERROR(INDEX('[11]Equipment List'!$B$2:$B$2038,MATCH(E339,'[11]Equipment List'!$A$2:$A$2038,0)),"")</f>
        <v/>
      </c>
      <c r="E339" s="388"/>
      <c r="F339" s="374"/>
      <c r="G339" s="375"/>
      <c r="H339" s="397"/>
      <c r="I339" s="377"/>
      <c r="J339" s="378"/>
      <c r="K339" s="379"/>
      <c r="L339" s="387"/>
      <c r="M339" s="380" t="str">
        <f t="array" ref="M339">IF(L339="","",(MAX(IF(AN$15:AN$144=B339,AO$15:AO$144))/60))</f>
        <v/>
      </c>
      <c r="N339" s="387"/>
      <c r="O339" s="387"/>
      <c r="P339" s="381" t="str">
        <f t="shared" si="21"/>
        <v/>
      </c>
      <c r="Q339" s="382" t="str">
        <f t="array" ref="Q339">IFERROR(INDEX($D$13:$D$1000,MATCH(0,COUNTIF($Q$12:Q338,$D$13:$D$1000&amp;"")+IF($D$13:$D$1000="",1,0),0)),"")</f>
        <v/>
      </c>
      <c r="R339" s="356" t="str">
        <f t="shared" si="22"/>
        <v/>
      </c>
      <c r="S339" s="383" t="str">
        <f t="shared" si="20"/>
        <v/>
      </c>
      <c r="T339" s="384" t="str">
        <f t="shared" si="23"/>
        <v/>
      </c>
      <c r="U339" s="349"/>
      <c r="V339" s="385"/>
      <c r="W339" s="385"/>
      <c r="X339" s="386"/>
    </row>
    <row r="340" spans="2:24">
      <c r="B340" s="395"/>
      <c r="C340" s="371"/>
      <c r="D340" s="372" t="str">
        <f>IFERROR(INDEX('[11]Equipment List'!$B$2:$B$2038,MATCH(E340,'[11]Equipment List'!$A$2:$A$2038,0)),"")</f>
        <v/>
      </c>
      <c r="E340" s="388"/>
      <c r="F340" s="374"/>
      <c r="G340" s="375"/>
      <c r="H340" s="397"/>
      <c r="I340" s="377"/>
      <c r="J340" s="378"/>
      <c r="K340" s="379"/>
      <c r="L340" s="387"/>
      <c r="M340" s="380" t="str">
        <f t="array" ref="M340">IF(L340="","",(MAX(IF(AN$15:AN$144=B340,AO$15:AO$144))/60))</f>
        <v/>
      </c>
      <c r="N340" s="387"/>
      <c r="O340" s="387"/>
      <c r="P340" s="381" t="str">
        <f t="shared" si="21"/>
        <v/>
      </c>
      <c r="Q340" s="382" t="str">
        <f t="array" ref="Q340">IFERROR(INDEX($D$13:$D$1000,MATCH(0,COUNTIF($Q$12:Q339,$D$13:$D$1000&amp;"")+IF($D$13:$D$1000="",1,0),0)),"")</f>
        <v/>
      </c>
      <c r="R340" s="356" t="str">
        <f t="shared" si="22"/>
        <v/>
      </c>
      <c r="S340" s="383" t="str">
        <f t="shared" si="20"/>
        <v/>
      </c>
      <c r="T340" s="384" t="str">
        <f t="shared" si="23"/>
        <v/>
      </c>
      <c r="U340" s="349"/>
      <c r="V340" s="385"/>
      <c r="W340" s="385"/>
      <c r="X340" s="386"/>
    </row>
    <row r="341" spans="2:24">
      <c r="B341" s="395"/>
      <c r="C341" s="371"/>
      <c r="D341" s="372" t="str">
        <f>IFERROR(INDEX('[11]Equipment List'!$B$2:$B$2038,MATCH(E341,'[11]Equipment List'!$A$2:$A$2038,0)),"")</f>
        <v/>
      </c>
      <c r="E341" s="388"/>
      <c r="F341" s="374"/>
      <c r="G341" s="375"/>
      <c r="H341" s="397"/>
      <c r="I341" s="377"/>
      <c r="J341" s="378"/>
      <c r="K341" s="379"/>
      <c r="L341" s="387"/>
      <c r="M341" s="380" t="str">
        <f t="array" ref="M341">IF(L341="","",(MAX(IF(AN$15:AN$144=B341,AO$15:AO$144))/60))</f>
        <v/>
      </c>
      <c r="N341" s="387"/>
      <c r="O341" s="387"/>
      <c r="P341" s="381" t="str">
        <f t="shared" si="21"/>
        <v/>
      </c>
      <c r="Q341" s="382" t="str">
        <f t="array" ref="Q341">IFERROR(INDEX($D$13:$D$1000,MATCH(0,COUNTIF($Q$12:Q340,$D$13:$D$1000&amp;"")+IF($D$13:$D$1000="",1,0),0)),"")</f>
        <v/>
      </c>
      <c r="R341" s="356" t="str">
        <f t="shared" si="22"/>
        <v/>
      </c>
      <c r="S341" s="383" t="str">
        <f t="shared" si="20"/>
        <v/>
      </c>
      <c r="T341" s="384" t="str">
        <f t="shared" si="23"/>
        <v/>
      </c>
      <c r="U341" s="349"/>
      <c r="V341" s="385"/>
      <c r="W341" s="385"/>
      <c r="X341" s="386"/>
    </row>
    <row r="342" spans="2:24">
      <c r="B342" s="395"/>
      <c r="C342" s="371"/>
      <c r="D342" s="372" t="str">
        <f>IFERROR(INDEX('[11]Equipment List'!$B$2:$B$2038,MATCH(E342,'[11]Equipment List'!$A$2:$A$2038,0)),"")</f>
        <v/>
      </c>
      <c r="E342" s="388"/>
      <c r="F342" s="374"/>
      <c r="G342" s="375"/>
      <c r="H342" s="397"/>
      <c r="I342" s="377"/>
      <c r="J342" s="378"/>
      <c r="K342" s="379"/>
      <c r="L342" s="387"/>
      <c r="M342" s="380" t="str">
        <f t="array" ref="M342">IF(L342="","",(MAX(IF(AN$15:AN$144=B342,AO$15:AO$144))/60))</f>
        <v/>
      </c>
      <c r="N342" s="387"/>
      <c r="O342" s="387"/>
      <c r="P342" s="381" t="str">
        <f t="shared" si="21"/>
        <v/>
      </c>
      <c r="Q342" s="382" t="str">
        <f t="array" ref="Q342">IFERROR(INDEX($D$13:$D$1000,MATCH(0,COUNTIF($Q$12:Q341,$D$13:$D$1000&amp;"")+IF($D$13:$D$1000="",1,0),0)),"")</f>
        <v/>
      </c>
      <c r="R342" s="356" t="str">
        <f t="shared" si="22"/>
        <v/>
      </c>
      <c r="S342" s="383" t="str">
        <f t="shared" si="20"/>
        <v/>
      </c>
      <c r="T342" s="384" t="str">
        <f t="shared" si="23"/>
        <v/>
      </c>
      <c r="U342" s="349"/>
      <c r="V342" s="385"/>
      <c r="W342" s="385"/>
      <c r="X342" s="386"/>
    </row>
    <row r="343" spans="2:24">
      <c r="B343" s="395"/>
      <c r="C343" s="371"/>
      <c r="D343" s="372" t="str">
        <f>IFERROR(INDEX('[11]Equipment List'!$B$2:$B$2038,MATCH(E343,'[11]Equipment List'!$A$2:$A$2038,0)),"")</f>
        <v/>
      </c>
      <c r="E343" s="388"/>
      <c r="F343" s="374"/>
      <c r="G343" s="375"/>
      <c r="H343" s="397"/>
      <c r="I343" s="377"/>
      <c r="J343" s="378"/>
      <c r="K343" s="379"/>
      <c r="L343" s="387"/>
      <c r="M343" s="380" t="str">
        <f t="array" ref="M343">IF(L343="","",(MAX(IF(AN$15:AN$144=B343,AO$15:AO$144))/60))</f>
        <v/>
      </c>
      <c r="N343" s="387"/>
      <c r="O343" s="387"/>
      <c r="P343" s="381" t="str">
        <f t="shared" si="21"/>
        <v/>
      </c>
      <c r="Q343" s="382" t="str">
        <f t="array" ref="Q343">IFERROR(INDEX($D$13:$D$1000,MATCH(0,COUNTIF($Q$12:Q342,$D$13:$D$1000&amp;"")+IF($D$13:$D$1000="",1,0),0)),"")</f>
        <v/>
      </c>
      <c r="R343" s="356" t="str">
        <f t="shared" si="22"/>
        <v/>
      </c>
      <c r="S343" s="383" t="str">
        <f t="shared" si="20"/>
        <v/>
      </c>
      <c r="T343" s="384" t="str">
        <f t="shared" si="23"/>
        <v/>
      </c>
      <c r="U343" s="349"/>
      <c r="V343" s="385"/>
      <c r="W343" s="385"/>
      <c r="X343" s="386"/>
    </row>
    <row r="344" spans="2:24">
      <c r="B344" s="395"/>
      <c r="C344" s="371"/>
      <c r="D344" s="372" t="str">
        <f>IFERROR(INDEX('[11]Equipment List'!$B$2:$B$2038,MATCH(E344,'[11]Equipment List'!$A$2:$A$2038,0)),"")</f>
        <v/>
      </c>
      <c r="E344" s="388"/>
      <c r="F344" s="374"/>
      <c r="G344" s="375"/>
      <c r="H344" s="397"/>
      <c r="I344" s="377"/>
      <c r="J344" s="378"/>
      <c r="K344" s="379"/>
      <c r="L344" s="387"/>
      <c r="M344" s="380" t="str">
        <f t="array" ref="M344">IF(L344="","",(MAX(IF(AN$15:AN$144=B344,AO$15:AO$144))/60))</f>
        <v/>
      </c>
      <c r="N344" s="387"/>
      <c r="O344" s="387"/>
      <c r="P344" s="381" t="str">
        <f t="shared" si="21"/>
        <v/>
      </c>
      <c r="Q344" s="382" t="str">
        <f t="array" ref="Q344">IFERROR(INDEX($D$13:$D$1000,MATCH(0,COUNTIF($Q$12:Q343,$D$13:$D$1000&amp;"")+IF($D$13:$D$1000="",1,0),0)),"")</f>
        <v/>
      </c>
      <c r="R344" s="356" t="str">
        <f t="shared" si="22"/>
        <v/>
      </c>
      <c r="S344" s="383" t="str">
        <f t="shared" si="20"/>
        <v/>
      </c>
      <c r="T344" s="384" t="str">
        <f t="shared" si="23"/>
        <v/>
      </c>
      <c r="U344" s="349"/>
      <c r="V344" s="385"/>
      <c r="W344" s="385"/>
      <c r="X344" s="386"/>
    </row>
    <row r="345" spans="2:24">
      <c r="B345" s="395"/>
      <c r="C345" s="371"/>
      <c r="D345" s="372" t="str">
        <f>IFERROR(INDEX('[11]Equipment List'!$B$2:$B$2038,MATCH(E345,'[11]Equipment List'!$A$2:$A$2038,0)),"")</f>
        <v/>
      </c>
      <c r="E345" s="388"/>
      <c r="F345" s="374"/>
      <c r="G345" s="375"/>
      <c r="H345" s="397"/>
      <c r="I345" s="377"/>
      <c r="J345" s="378"/>
      <c r="K345" s="379"/>
      <c r="L345" s="387"/>
      <c r="M345" s="380" t="str">
        <f t="array" ref="M345">IF(L345="","",(MAX(IF(AN$15:AN$144=B345,AO$15:AO$144))/60))</f>
        <v/>
      </c>
      <c r="N345" s="387"/>
      <c r="O345" s="387"/>
      <c r="P345" s="381" t="str">
        <f t="shared" si="21"/>
        <v/>
      </c>
      <c r="Q345" s="382" t="str">
        <f t="array" ref="Q345">IFERROR(INDEX($D$13:$D$1000,MATCH(0,COUNTIF($Q$12:Q344,$D$13:$D$1000&amp;"")+IF($D$13:$D$1000="",1,0),0)),"")</f>
        <v/>
      </c>
      <c r="R345" s="356" t="str">
        <f t="shared" si="22"/>
        <v/>
      </c>
      <c r="S345" s="383" t="str">
        <f t="shared" si="20"/>
        <v/>
      </c>
      <c r="T345" s="384" t="str">
        <f t="shared" si="23"/>
        <v/>
      </c>
      <c r="U345" s="349"/>
      <c r="V345" s="385"/>
      <c r="W345" s="385"/>
      <c r="X345" s="386"/>
    </row>
    <row r="346" spans="2:24">
      <c r="B346" s="395"/>
      <c r="C346" s="371"/>
      <c r="D346" s="372" t="str">
        <f>IFERROR(INDEX('[11]Equipment List'!$B$2:$B$2038,MATCH(E346,'[11]Equipment List'!$A$2:$A$2038,0)),"")</f>
        <v/>
      </c>
      <c r="E346" s="388"/>
      <c r="F346" s="374"/>
      <c r="G346" s="375"/>
      <c r="H346" s="397"/>
      <c r="I346" s="377"/>
      <c r="J346" s="378"/>
      <c r="K346" s="379"/>
      <c r="L346" s="387"/>
      <c r="M346" s="380" t="str">
        <f t="array" ref="M346">IF(L346="","",(MAX(IF(AN$15:AN$144=B346,AO$15:AO$144))/60))</f>
        <v/>
      </c>
      <c r="N346" s="387"/>
      <c r="O346" s="387"/>
      <c r="P346" s="381" t="str">
        <f t="shared" si="21"/>
        <v/>
      </c>
      <c r="Q346" s="382" t="str">
        <f t="array" ref="Q346">IFERROR(INDEX($D$13:$D$1000,MATCH(0,COUNTIF($Q$12:Q345,$D$13:$D$1000&amp;"")+IF($D$13:$D$1000="",1,0),0)),"")</f>
        <v/>
      </c>
      <c r="R346" s="356" t="str">
        <f t="shared" si="22"/>
        <v/>
      </c>
      <c r="S346" s="383" t="str">
        <f t="shared" si="20"/>
        <v/>
      </c>
      <c r="T346" s="384" t="str">
        <f t="shared" si="23"/>
        <v/>
      </c>
      <c r="U346" s="349"/>
      <c r="V346" s="385"/>
      <c r="W346" s="385"/>
      <c r="X346" s="386"/>
    </row>
    <row r="347" spans="2:24">
      <c r="B347" s="395"/>
      <c r="C347" s="371"/>
      <c r="D347" s="372" t="str">
        <f>IFERROR(INDEX('[11]Equipment List'!$B$2:$B$2038,MATCH(E347,'[11]Equipment List'!$A$2:$A$2038,0)),"")</f>
        <v/>
      </c>
      <c r="E347" s="388"/>
      <c r="F347" s="374"/>
      <c r="G347" s="375"/>
      <c r="H347" s="397"/>
      <c r="I347" s="377"/>
      <c r="J347" s="378"/>
      <c r="K347" s="379"/>
      <c r="L347" s="387"/>
      <c r="M347" s="380" t="str">
        <f t="array" ref="M347">IF(L347="","",(MAX(IF(AN$15:AN$144=B347,AO$15:AO$144))/60))</f>
        <v/>
      </c>
      <c r="N347" s="387"/>
      <c r="O347" s="387"/>
      <c r="P347" s="381" t="str">
        <f t="shared" si="21"/>
        <v/>
      </c>
      <c r="Q347" s="382" t="str">
        <f t="array" ref="Q347">IFERROR(INDEX($D$13:$D$1000,MATCH(0,COUNTIF($Q$12:Q346,$D$13:$D$1000&amp;"")+IF($D$13:$D$1000="",1,0),0)),"")</f>
        <v/>
      </c>
      <c r="R347" s="356" t="str">
        <f t="shared" si="22"/>
        <v/>
      </c>
      <c r="S347" s="383" t="str">
        <f t="shared" si="20"/>
        <v/>
      </c>
      <c r="T347" s="384" t="str">
        <f t="shared" si="23"/>
        <v/>
      </c>
      <c r="U347" s="349"/>
      <c r="V347" s="385"/>
      <c r="W347" s="385"/>
      <c r="X347" s="386"/>
    </row>
    <row r="348" spans="2:24">
      <c r="B348" s="395"/>
      <c r="C348" s="371"/>
      <c r="D348" s="372" t="str">
        <f>IFERROR(INDEX('[11]Equipment List'!$B$2:$B$2038,MATCH(E348,'[11]Equipment List'!$A$2:$A$2038,0)),"")</f>
        <v/>
      </c>
      <c r="E348" s="388"/>
      <c r="F348" s="374"/>
      <c r="G348" s="375"/>
      <c r="H348" s="397"/>
      <c r="I348" s="377"/>
      <c r="J348" s="378"/>
      <c r="K348" s="379"/>
      <c r="L348" s="387"/>
      <c r="M348" s="380" t="str">
        <f t="array" ref="M348">IF(L348="","",(MAX(IF(AN$15:AN$144=B348,AO$15:AO$144))/60))</f>
        <v/>
      </c>
      <c r="N348" s="387"/>
      <c r="O348" s="387"/>
      <c r="P348" s="381" t="str">
        <f t="shared" si="21"/>
        <v/>
      </c>
      <c r="Q348" s="382" t="str">
        <f t="array" ref="Q348">IFERROR(INDEX($D$13:$D$1000,MATCH(0,COUNTIF($Q$12:Q347,$D$13:$D$1000&amp;"")+IF($D$13:$D$1000="",1,0),0)),"")</f>
        <v/>
      </c>
      <c r="R348" s="356" t="str">
        <f t="shared" si="22"/>
        <v/>
      </c>
      <c r="S348" s="383" t="str">
        <f t="shared" si="20"/>
        <v/>
      </c>
      <c r="T348" s="384" t="str">
        <f t="shared" si="23"/>
        <v/>
      </c>
      <c r="U348" s="349"/>
      <c r="V348" s="385"/>
      <c r="W348" s="385"/>
      <c r="X348" s="386"/>
    </row>
    <row r="349" spans="2:24">
      <c r="B349" s="395"/>
      <c r="C349" s="371"/>
      <c r="D349" s="372" t="str">
        <f>IFERROR(INDEX('[11]Equipment List'!$B$2:$B$2038,MATCH(E349,'[11]Equipment List'!$A$2:$A$2038,0)),"")</f>
        <v/>
      </c>
      <c r="E349" s="388"/>
      <c r="F349" s="374"/>
      <c r="G349" s="375"/>
      <c r="H349" s="397"/>
      <c r="I349" s="377"/>
      <c r="J349" s="378"/>
      <c r="K349" s="379"/>
      <c r="L349" s="387"/>
      <c r="M349" s="380" t="str">
        <f t="array" ref="M349">IF(L349="","",(MAX(IF(AN$15:AN$144=B349,AO$15:AO$144))/60))</f>
        <v/>
      </c>
      <c r="N349" s="387"/>
      <c r="O349" s="387"/>
      <c r="P349" s="381" t="str">
        <f t="shared" si="21"/>
        <v/>
      </c>
      <c r="Q349" s="382" t="str">
        <f t="array" ref="Q349">IFERROR(INDEX($D$13:$D$1000,MATCH(0,COUNTIF($Q$12:Q348,$D$13:$D$1000&amp;"")+IF($D$13:$D$1000="",1,0),0)),"")</f>
        <v/>
      </c>
      <c r="R349" s="356" t="str">
        <f t="shared" si="22"/>
        <v/>
      </c>
      <c r="S349" s="383" t="str">
        <f t="shared" si="20"/>
        <v/>
      </c>
      <c r="T349" s="384" t="str">
        <f t="shared" si="23"/>
        <v/>
      </c>
      <c r="U349" s="349"/>
      <c r="V349" s="385"/>
      <c r="W349" s="385"/>
      <c r="X349" s="386"/>
    </row>
    <row r="350" spans="2:24">
      <c r="B350" s="395"/>
      <c r="C350" s="371"/>
      <c r="D350" s="372" t="str">
        <f>IFERROR(INDEX('[11]Equipment List'!$B$2:$B$2038,MATCH(E350,'[11]Equipment List'!$A$2:$A$2038,0)),"")</f>
        <v/>
      </c>
      <c r="E350" s="388"/>
      <c r="F350" s="374"/>
      <c r="G350" s="375"/>
      <c r="H350" s="397"/>
      <c r="I350" s="377"/>
      <c r="J350" s="378"/>
      <c r="K350" s="379"/>
      <c r="L350" s="387"/>
      <c r="M350" s="380" t="str">
        <f t="array" ref="M350">IF(L350="","",(MAX(IF(AN$15:AN$144=B350,AO$15:AO$144))/60))</f>
        <v/>
      </c>
      <c r="N350" s="387"/>
      <c r="O350" s="387"/>
      <c r="P350" s="381" t="str">
        <f t="shared" si="21"/>
        <v/>
      </c>
      <c r="Q350" s="382" t="str">
        <f t="array" ref="Q350">IFERROR(INDEX($D$13:$D$1000,MATCH(0,COUNTIF($Q$12:Q349,$D$13:$D$1000&amp;"")+IF($D$13:$D$1000="",1,0),0)),"")</f>
        <v/>
      </c>
      <c r="R350" s="356" t="str">
        <f t="shared" si="22"/>
        <v/>
      </c>
      <c r="S350" s="383" t="str">
        <f t="shared" si="20"/>
        <v/>
      </c>
      <c r="T350" s="384" t="str">
        <f t="shared" si="23"/>
        <v/>
      </c>
      <c r="U350" s="349"/>
      <c r="V350" s="385"/>
      <c r="W350" s="385"/>
      <c r="X350" s="386"/>
    </row>
    <row r="351" spans="2:24">
      <c r="B351" s="395"/>
      <c r="C351" s="371"/>
      <c r="D351" s="372" t="str">
        <f>IFERROR(INDEX('[11]Equipment List'!$B$2:$B$2038,MATCH(E351,'[11]Equipment List'!$A$2:$A$2038,0)),"")</f>
        <v/>
      </c>
      <c r="E351" s="388"/>
      <c r="F351" s="374"/>
      <c r="G351" s="375"/>
      <c r="H351" s="397"/>
      <c r="I351" s="377"/>
      <c r="J351" s="378"/>
      <c r="K351" s="379"/>
      <c r="L351" s="387"/>
      <c r="M351" s="380" t="str">
        <f t="array" ref="M351">IF(L351="","",(MAX(IF(AN$15:AN$144=B351,AO$15:AO$144))/60))</f>
        <v/>
      </c>
      <c r="N351" s="387"/>
      <c r="O351" s="387"/>
      <c r="P351" s="381" t="str">
        <f t="shared" si="21"/>
        <v/>
      </c>
      <c r="Q351" s="382" t="str">
        <f t="array" ref="Q351">IFERROR(INDEX($D$13:$D$1000,MATCH(0,COUNTIF($Q$12:Q350,$D$13:$D$1000&amp;"")+IF($D$13:$D$1000="",1,0),0)),"")</f>
        <v/>
      </c>
      <c r="R351" s="356" t="str">
        <f t="shared" si="22"/>
        <v/>
      </c>
      <c r="S351" s="383" t="str">
        <f t="shared" si="20"/>
        <v/>
      </c>
      <c r="T351" s="384" t="str">
        <f t="shared" si="23"/>
        <v/>
      </c>
      <c r="U351" s="349"/>
      <c r="V351" s="385"/>
      <c r="W351" s="385"/>
      <c r="X351" s="386"/>
    </row>
    <row r="352" spans="2:24">
      <c r="B352" s="395"/>
      <c r="C352" s="371"/>
      <c r="D352" s="372" t="str">
        <f>IFERROR(INDEX('[11]Equipment List'!$B$2:$B$2038,MATCH(E352,'[11]Equipment List'!$A$2:$A$2038,0)),"")</f>
        <v/>
      </c>
      <c r="E352" s="388"/>
      <c r="F352" s="374"/>
      <c r="G352" s="375"/>
      <c r="H352" s="397"/>
      <c r="I352" s="377"/>
      <c r="J352" s="378"/>
      <c r="K352" s="379"/>
      <c r="L352" s="387"/>
      <c r="M352" s="380" t="str">
        <f t="array" ref="M352">IF(L352="","",(MAX(IF(AN$15:AN$144=B352,AO$15:AO$144))/60))</f>
        <v/>
      </c>
      <c r="N352" s="387"/>
      <c r="O352" s="387"/>
      <c r="P352" s="381" t="str">
        <f t="shared" si="21"/>
        <v/>
      </c>
      <c r="Q352" s="382" t="str">
        <f t="array" ref="Q352">IFERROR(INDEX($D$13:$D$1000,MATCH(0,COUNTIF($Q$12:Q351,$D$13:$D$1000&amp;"")+IF($D$13:$D$1000="",1,0),0)),"")</f>
        <v/>
      </c>
      <c r="R352" s="356" t="str">
        <f t="shared" si="22"/>
        <v/>
      </c>
      <c r="S352" s="383" t="str">
        <f t="shared" si="20"/>
        <v/>
      </c>
      <c r="T352" s="384" t="str">
        <f t="shared" si="23"/>
        <v/>
      </c>
      <c r="U352" s="349"/>
      <c r="V352" s="385"/>
      <c r="W352" s="385"/>
      <c r="X352" s="386"/>
    </row>
    <row r="353" spans="2:24">
      <c r="B353" s="395"/>
      <c r="C353" s="371"/>
      <c r="D353" s="372" t="str">
        <f>IFERROR(INDEX('[11]Equipment List'!$B$2:$B$2038,MATCH(E353,'[11]Equipment List'!$A$2:$A$2038,0)),"")</f>
        <v/>
      </c>
      <c r="E353" s="388"/>
      <c r="F353" s="374"/>
      <c r="G353" s="375"/>
      <c r="H353" s="397"/>
      <c r="I353" s="377"/>
      <c r="J353" s="378"/>
      <c r="K353" s="379"/>
      <c r="L353" s="387"/>
      <c r="M353" s="380" t="str">
        <f t="array" ref="M353">IF(L353="","",(MAX(IF(AN$15:AN$144=B353,AO$15:AO$144))/60))</f>
        <v/>
      </c>
      <c r="N353" s="387"/>
      <c r="O353" s="387"/>
      <c r="P353" s="381" t="str">
        <f t="shared" si="21"/>
        <v/>
      </c>
      <c r="Q353" s="382" t="str">
        <f t="array" ref="Q353">IFERROR(INDEX($D$13:$D$1000,MATCH(0,COUNTIF($Q$12:Q352,$D$13:$D$1000&amp;"")+IF($D$13:$D$1000="",1,0),0)),"")</f>
        <v/>
      </c>
      <c r="R353" s="356" t="str">
        <f t="shared" si="22"/>
        <v/>
      </c>
      <c r="S353" s="383" t="str">
        <f t="shared" si="20"/>
        <v/>
      </c>
      <c r="T353" s="384" t="str">
        <f t="shared" si="23"/>
        <v/>
      </c>
      <c r="U353" s="349"/>
      <c r="V353" s="385"/>
      <c r="W353" s="385"/>
      <c r="X353" s="386"/>
    </row>
    <row r="354" spans="2:24">
      <c r="B354" s="395"/>
      <c r="C354" s="371"/>
      <c r="D354" s="372" t="str">
        <f>IFERROR(INDEX('[11]Equipment List'!$B$2:$B$2038,MATCH(E354,'[11]Equipment List'!$A$2:$A$2038,0)),"")</f>
        <v/>
      </c>
      <c r="E354" s="388"/>
      <c r="F354" s="374"/>
      <c r="G354" s="375"/>
      <c r="H354" s="397"/>
      <c r="I354" s="377"/>
      <c r="J354" s="378"/>
      <c r="K354" s="379"/>
      <c r="L354" s="387"/>
      <c r="M354" s="380" t="str">
        <f t="array" ref="M354">IF(L354="","",(MAX(IF(AN$15:AN$144=B354,AO$15:AO$144))/60))</f>
        <v/>
      </c>
      <c r="N354" s="387"/>
      <c r="O354" s="387"/>
      <c r="P354" s="381" t="str">
        <f t="shared" si="21"/>
        <v/>
      </c>
      <c r="Q354" s="382" t="str">
        <f t="array" ref="Q354">IFERROR(INDEX($D$13:$D$1000,MATCH(0,COUNTIF($Q$12:Q353,$D$13:$D$1000&amp;"")+IF($D$13:$D$1000="",1,0),0)),"")</f>
        <v/>
      </c>
      <c r="R354" s="356" t="str">
        <f t="shared" si="22"/>
        <v/>
      </c>
      <c r="S354" s="383" t="str">
        <f t="shared" si="20"/>
        <v/>
      </c>
      <c r="T354" s="384" t="str">
        <f t="shared" si="23"/>
        <v/>
      </c>
      <c r="U354" s="349"/>
      <c r="V354" s="385"/>
      <c r="W354" s="385"/>
      <c r="X354" s="386"/>
    </row>
    <row r="355" spans="2:24">
      <c r="B355" s="395"/>
      <c r="C355" s="371"/>
      <c r="D355" s="372" t="str">
        <f>IFERROR(INDEX('[11]Equipment List'!$B$2:$B$2038,MATCH(E355,'[11]Equipment List'!$A$2:$A$2038,0)),"")</f>
        <v/>
      </c>
      <c r="E355" s="388"/>
      <c r="F355" s="374"/>
      <c r="G355" s="375"/>
      <c r="H355" s="397"/>
      <c r="I355" s="377"/>
      <c r="J355" s="378"/>
      <c r="K355" s="379"/>
      <c r="L355" s="387"/>
      <c r="M355" s="380" t="str">
        <f t="array" ref="M355">IF(L355="","",(MAX(IF(AN$15:AN$144=B355,AO$15:AO$144))/60))</f>
        <v/>
      </c>
      <c r="N355" s="387"/>
      <c r="O355" s="387"/>
      <c r="P355" s="381" t="str">
        <f t="shared" si="21"/>
        <v/>
      </c>
      <c r="Q355" s="382" t="str">
        <f t="array" ref="Q355">IFERROR(INDEX($D$13:$D$1000,MATCH(0,COUNTIF($Q$12:Q354,$D$13:$D$1000&amp;"")+IF($D$13:$D$1000="",1,0),0)),"")</f>
        <v/>
      </c>
      <c r="R355" s="356" t="str">
        <f t="shared" si="22"/>
        <v/>
      </c>
      <c r="S355" s="383" t="str">
        <f t="shared" si="20"/>
        <v/>
      </c>
      <c r="T355" s="384" t="str">
        <f t="shared" si="23"/>
        <v/>
      </c>
      <c r="U355" s="349"/>
      <c r="V355" s="385"/>
      <c r="W355" s="385"/>
      <c r="X355" s="386"/>
    </row>
    <row r="356" spans="2:24">
      <c r="B356" s="395"/>
      <c r="C356" s="371"/>
      <c r="D356" s="372" t="str">
        <f>IFERROR(INDEX('[11]Equipment List'!$B$2:$B$2038,MATCH(E356,'[11]Equipment List'!$A$2:$A$2038,0)),"")</f>
        <v/>
      </c>
      <c r="E356" s="388"/>
      <c r="F356" s="374"/>
      <c r="G356" s="375"/>
      <c r="H356" s="397"/>
      <c r="I356" s="377"/>
      <c r="J356" s="378"/>
      <c r="K356" s="379"/>
      <c r="L356" s="387"/>
      <c r="M356" s="380" t="str">
        <f t="array" ref="M356">IF(L356="","",(MAX(IF(AN$15:AN$144=B356,AO$15:AO$144))/60))</f>
        <v/>
      </c>
      <c r="N356" s="387"/>
      <c r="O356" s="387"/>
      <c r="P356" s="381" t="str">
        <f t="shared" si="21"/>
        <v/>
      </c>
      <c r="Q356" s="382" t="str">
        <f t="array" ref="Q356">IFERROR(INDEX($D$13:$D$1000,MATCH(0,COUNTIF($Q$12:Q355,$D$13:$D$1000&amp;"")+IF($D$13:$D$1000="",1,0),0)),"")</f>
        <v/>
      </c>
      <c r="R356" s="356" t="str">
        <f t="shared" si="22"/>
        <v/>
      </c>
      <c r="S356" s="383" t="str">
        <f t="shared" si="20"/>
        <v/>
      </c>
      <c r="T356" s="384" t="str">
        <f t="shared" si="23"/>
        <v/>
      </c>
      <c r="U356" s="349"/>
      <c r="V356" s="385"/>
      <c r="W356" s="385"/>
      <c r="X356" s="386"/>
    </row>
    <row r="357" spans="2:24">
      <c r="B357" s="395"/>
      <c r="C357" s="371"/>
      <c r="D357" s="372" t="str">
        <f>IFERROR(INDEX('[11]Equipment List'!$B$2:$B$2038,MATCH(E357,'[11]Equipment List'!$A$2:$A$2038,0)),"")</f>
        <v/>
      </c>
      <c r="E357" s="388"/>
      <c r="F357" s="374"/>
      <c r="G357" s="375"/>
      <c r="H357" s="397"/>
      <c r="I357" s="377"/>
      <c r="J357" s="378"/>
      <c r="K357" s="379"/>
      <c r="L357" s="387"/>
      <c r="M357" s="380" t="str">
        <f t="array" ref="M357">IF(L357="","",(MAX(IF(AN$15:AN$144=B357,AO$15:AO$144))/60))</f>
        <v/>
      </c>
      <c r="N357" s="387"/>
      <c r="O357" s="387"/>
      <c r="P357" s="381" t="str">
        <f t="shared" si="21"/>
        <v/>
      </c>
      <c r="Q357" s="382" t="str">
        <f t="array" ref="Q357">IFERROR(INDEX($D$13:$D$1000,MATCH(0,COUNTIF($Q$12:Q356,$D$13:$D$1000&amp;"")+IF($D$13:$D$1000="",1,0),0)),"")</f>
        <v/>
      </c>
      <c r="R357" s="356" t="str">
        <f t="shared" si="22"/>
        <v/>
      </c>
      <c r="S357" s="383" t="str">
        <f t="shared" si="20"/>
        <v/>
      </c>
      <c r="T357" s="384" t="str">
        <f t="shared" si="23"/>
        <v/>
      </c>
      <c r="U357" s="349"/>
      <c r="V357" s="385"/>
      <c r="W357" s="385"/>
      <c r="X357" s="386"/>
    </row>
    <row r="358" spans="2:24">
      <c r="B358" s="395"/>
      <c r="C358" s="371"/>
      <c r="D358" s="372" t="str">
        <f>IFERROR(INDEX('[11]Equipment List'!$B$2:$B$2038,MATCH(E358,'[11]Equipment List'!$A$2:$A$2038,0)),"")</f>
        <v/>
      </c>
      <c r="E358" s="388"/>
      <c r="F358" s="374"/>
      <c r="G358" s="375"/>
      <c r="H358" s="397"/>
      <c r="I358" s="377"/>
      <c r="J358" s="378"/>
      <c r="K358" s="379"/>
      <c r="L358" s="387"/>
      <c r="M358" s="380" t="str">
        <f t="array" ref="M358">IF(L358="","",(MAX(IF(AN$15:AN$144=B358,AO$15:AO$144))/60))</f>
        <v/>
      </c>
      <c r="N358" s="387"/>
      <c r="O358" s="387"/>
      <c r="P358" s="381" t="str">
        <f t="shared" si="21"/>
        <v/>
      </c>
      <c r="Q358" s="382" t="str">
        <f t="array" ref="Q358">IFERROR(INDEX($D$13:$D$1000,MATCH(0,COUNTIF($Q$12:Q357,$D$13:$D$1000&amp;"")+IF($D$13:$D$1000="",1,0),0)),"")</f>
        <v/>
      </c>
      <c r="R358" s="356" t="str">
        <f t="shared" si="22"/>
        <v/>
      </c>
      <c r="S358" s="383" t="str">
        <f t="shared" si="20"/>
        <v/>
      </c>
      <c r="T358" s="384" t="str">
        <f t="shared" si="23"/>
        <v/>
      </c>
      <c r="U358" s="349"/>
      <c r="V358" s="385"/>
      <c r="W358" s="385"/>
      <c r="X358" s="386"/>
    </row>
    <row r="359" spans="2:24">
      <c r="B359" s="395"/>
      <c r="C359" s="371"/>
      <c r="D359" s="372" t="str">
        <f>IFERROR(INDEX('[11]Equipment List'!$B$2:$B$2038,MATCH(E359,'[11]Equipment List'!$A$2:$A$2038,0)),"")</f>
        <v/>
      </c>
      <c r="E359" s="388"/>
      <c r="F359" s="374"/>
      <c r="G359" s="375"/>
      <c r="H359" s="397"/>
      <c r="I359" s="377"/>
      <c r="J359" s="378"/>
      <c r="K359" s="379"/>
      <c r="L359" s="387"/>
      <c r="M359" s="380" t="str">
        <f t="array" ref="M359">IF(L359="","",(MAX(IF(AN$15:AN$144=B359,AO$15:AO$144))/60))</f>
        <v/>
      </c>
      <c r="N359" s="387"/>
      <c r="O359" s="387"/>
      <c r="P359" s="381" t="str">
        <f t="shared" si="21"/>
        <v/>
      </c>
      <c r="Q359" s="382" t="str">
        <f t="array" ref="Q359">IFERROR(INDEX($D$13:$D$1000,MATCH(0,COUNTIF($Q$12:Q358,$D$13:$D$1000&amp;"")+IF($D$13:$D$1000="",1,0),0)),"")</f>
        <v/>
      </c>
      <c r="R359" s="356" t="str">
        <f t="shared" si="22"/>
        <v/>
      </c>
      <c r="S359" s="383" t="str">
        <f t="shared" si="20"/>
        <v/>
      </c>
      <c r="T359" s="384" t="str">
        <f t="shared" si="23"/>
        <v/>
      </c>
      <c r="U359" s="349"/>
      <c r="V359" s="385"/>
      <c r="W359" s="385"/>
      <c r="X359" s="386"/>
    </row>
    <row r="360" spans="2:24">
      <c r="B360" s="395"/>
      <c r="C360" s="371"/>
      <c r="D360" s="372" t="str">
        <f>IFERROR(INDEX('[11]Equipment List'!$B$2:$B$2038,MATCH(E360,'[11]Equipment List'!$A$2:$A$2038,0)),"")</f>
        <v/>
      </c>
      <c r="E360" s="388"/>
      <c r="F360" s="374"/>
      <c r="G360" s="375"/>
      <c r="H360" s="397"/>
      <c r="I360" s="377"/>
      <c r="J360" s="378"/>
      <c r="K360" s="379"/>
      <c r="L360" s="387"/>
      <c r="M360" s="380" t="str">
        <f t="array" ref="M360">IF(L360="","",(MAX(IF(AN$15:AN$144=B360,AO$15:AO$144))/60))</f>
        <v/>
      </c>
      <c r="N360" s="387"/>
      <c r="O360" s="387"/>
      <c r="P360" s="381" t="str">
        <f t="shared" si="21"/>
        <v/>
      </c>
      <c r="Q360" s="382" t="str">
        <f t="array" ref="Q360">IFERROR(INDEX($D$13:$D$1000,MATCH(0,COUNTIF($Q$12:Q359,$D$13:$D$1000&amp;"")+IF($D$13:$D$1000="",1,0),0)),"")</f>
        <v/>
      </c>
      <c r="R360" s="356" t="str">
        <f t="shared" si="22"/>
        <v/>
      </c>
      <c r="S360" s="383" t="str">
        <f t="shared" si="20"/>
        <v/>
      </c>
      <c r="T360" s="384" t="str">
        <f t="shared" si="23"/>
        <v/>
      </c>
      <c r="U360" s="349"/>
      <c r="V360" s="385"/>
      <c r="W360" s="385"/>
      <c r="X360" s="386"/>
    </row>
    <row r="361" spans="2:24">
      <c r="B361" s="395"/>
      <c r="C361" s="371"/>
      <c r="D361" s="372" t="str">
        <f>IFERROR(INDEX('[11]Equipment List'!$B$2:$B$2038,MATCH(E361,'[11]Equipment List'!$A$2:$A$2038,0)),"")</f>
        <v/>
      </c>
      <c r="E361" s="388"/>
      <c r="F361" s="374"/>
      <c r="G361" s="375"/>
      <c r="H361" s="397"/>
      <c r="I361" s="377"/>
      <c r="J361" s="378"/>
      <c r="K361" s="379"/>
      <c r="L361" s="387"/>
      <c r="M361" s="380" t="str">
        <f t="array" ref="M361">IF(L361="","",(MAX(IF(AN$15:AN$144=B361,AO$15:AO$144))/60))</f>
        <v/>
      </c>
      <c r="N361" s="387"/>
      <c r="O361" s="387"/>
      <c r="P361" s="381" t="str">
        <f t="shared" si="21"/>
        <v/>
      </c>
      <c r="Q361" s="382" t="str">
        <f t="array" ref="Q361">IFERROR(INDEX($D$13:$D$1000,MATCH(0,COUNTIF($Q$12:Q360,$D$13:$D$1000&amp;"")+IF($D$13:$D$1000="",1,0),0)),"")</f>
        <v/>
      </c>
      <c r="R361" s="356" t="str">
        <f t="shared" si="22"/>
        <v/>
      </c>
      <c r="S361" s="383" t="str">
        <f t="shared" si="20"/>
        <v/>
      </c>
      <c r="T361" s="384" t="str">
        <f t="shared" si="23"/>
        <v/>
      </c>
      <c r="U361" s="349"/>
      <c r="V361" s="385"/>
      <c r="W361" s="385"/>
      <c r="X361" s="386"/>
    </row>
    <row r="362" spans="2:24">
      <c r="B362" s="395"/>
      <c r="C362" s="371"/>
      <c r="D362" s="372" t="str">
        <f>IFERROR(INDEX('[11]Equipment List'!$B$2:$B$2038,MATCH(E362,'[11]Equipment List'!$A$2:$A$2038,0)),"")</f>
        <v/>
      </c>
      <c r="E362" s="388"/>
      <c r="F362" s="374"/>
      <c r="G362" s="375"/>
      <c r="H362" s="397"/>
      <c r="I362" s="377"/>
      <c r="J362" s="378"/>
      <c r="K362" s="379"/>
      <c r="L362" s="387"/>
      <c r="M362" s="380" t="str">
        <f t="array" ref="M362">IF(L362="","",(MAX(IF(AN$15:AN$144=B362,AO$15:AO$144))/60))</f>
        <v/>
      </c>
      <c r="N362" s="387"/>
      <c r="O362" s="387"/>
      <c r="P362" s="381" t="str">
        <f t="shared" si="21"/>
        <v/>
      </c>
      <c r="Q362" s="382" t="str">
        <f t="array" ref="Q362">IFERROR(INDEX($D$13:$D$1000,MATCH(0,COUNTIF($Q$12:Q361,$D$13:$D$1000&amp;"")+IF($D$13:$D$1000="",1,0),0)),"")</f>
        <v/>
      </c>
      <c r="R362" s="356" t="str">
        <f t="shared" si="22"/>
        <v/>
      </c>
      <c r="S362" s="383" t="str">
        <f t="shared" si="20"/>
        <v/>
      </c>
      <c r="T362" s="384" t="str">
        <f t="shared" si="23"/>
        <v/>
      </c>
      <c r="U362" s="349"/>
      <c r="V362" s="385"/>
      <c r="W362" s="385"/>
      <c r="X362" s="386"/>
    </row>
    <row r="363" spans="2:24">
      <c r="B363" s="395"/>
      <c r="C363" s="371"/>
      <c r="D363" s="372" t="str">
        <f>IFERROR(INDEX('[11]Equipment List'!$B$2:$B$2038,MATCH(E363,'[11]Equipment List'!$A$2:$A$2038,0)),"")</f>
        <v/>
      </c>
      <c r="E363" s="388"/>
      <c r="F363" s="374"/>
      <c r="G363" s="375"/>
      <c r="H363" s="397"/>
      <c r="I363" s="377"/>
      <c r="J363" s="378"/>
      <c r="K363" s="379"/>
      <c r="L363" s="387"/>
      <c r="M363" s="380" t="str">
        <f t="array" ref="M363">IF(L363="","",(MAX(IF(AN$15:AN$144=B363,AO$15:AO$144))/60))</f>
        <v/>
      </c>
      <c r="N363" s="387"/>
      <c r="O363" s="387"/>
      <c r="P363" s="381" t="str">
        <f t="shared" si="21"/>
        <v/>
      </c>
      <c r="Q363" s="382" t="str">
        <f t="array" ref="Q363">IFERROR(INDEX($D$13:$D$1000,MATCH(0,COUNTIF($Q$12:Q362,$D$13:$D$1000&amp;"")+IF($D$13:$D$1000="",1,0),0)),"")</f>
        <v/>
      </c>
      <c r="R363" s="356" t="str">
        <f t="shared" si="22"/>
        <v/>
      </c>
      <c r="S363" s="383" t="str">
        <f t="shared" ref="S363:S426" si="24">IF($Q363="","",SUMIF($D$13:$D$1000,$Q363,I$13:I$1000))</f>
        <v/>
      </c>
      <c r="T363" s="384" t="str">
        <f t="shared" si="23"/>
        <v/>
      </c>
      <c r="U363" s="349"/>
      <c r="V363" s="385"/>
      <c r="W363" s="385"/>
      <c r="X363" s="386"/>
    </row>
    <row r="364" spans="2:24">
      <c r="B364" s="395"/>
      <c r="C364" s="371"/>
      <c r="D364" s="372" t="str">
        <f>IFERROR(INDEX('[11]Equipment List'!$B$2:$B$2038,MATCH(E364,'[11]Equipment List'!$A$2:$A$2038,0)),"")</f>
        <v/>
      </c>
      <c r="E364" s="388"/>
      <c r="F364" s="374"/>
      <c r="G364" s="375"/>
      <c r="H364" s="397"/>
      <c r="I364" s="377"/>
      <c r="J364" s="378"/>
      <c r="K364" s="379"/>
      <c r="L364" s="387"/>
      <c r="M364" s="380" t="str">
        <f t="array" ref="M364">IF(L364="","",(MAX(IF(AN$15:AN$144=B364,AO$15:AO$144))/60))</f>
        <v/>
      </c>
      <c r="N364" s="387"/>
      <c r="O364" s="387"/>
      <c r="P364" s="381" t="str">
        <f t="shared" si="21"/>
        <v/>
      </c>
      <c r="Q364" s="382" t="str">
        <f t="array" ref="Q364">IFERROR(INDEX($D$13:$D$1000,MATCH(0,COUNTIF($Q$12:Q363,$D$13:$D$1000&amp;"")+IF($D$13:$D$1000="",1,0),0)),"")</f>
        <v/>
      </c>
      <c r="R364" s="356" t="str">
        <f t="shared" si="22"/>
        <v/>
      </c>
      <c r="S364" s="383" t="str">
        <f t="shared" si="24"/>
        <v/>
      </c>
      <c r="T364" s="384" t="str">
        <f t="shared" si="23"/>
        <v/>
      </c>
      <c r="U364" s="349"/>
      <c r="V364" s="385"/>
      <c r="W364" s="385"/>
      <c r="X364" s="386"/>
    </row>
    <row r="365" spans="2:24">
      <c r="B365" s="395"/>
      <c r="C365" s="371"/>
      <c r="D365" s="372" t="str">
        <f>IFERROR(INDEX('[11]Equipment List'!$B$2:$B$2038,MATCH(E365,'[11]Equipment List'!$A$2:$A$2038,0)),"")</f>
        <v/>
      </c>
      <c r="E365" s="388"/>
      <c r="F365" s="374"/>
      <c r="G365" s="375"/>
      <c r="H365" s="397"/>
      <c r="I365" s="377"/>
      <c r="J365" s="378"/>
      <c r="K365" s="379"/>
      <c r="L365" s="387"/>
      <c r="M365" s="380" t="str">
        <f t="array" ref="M365">IF(L365="","",(MAX(IF(AN$15:AN$144=B365,AO$15:AO$144))/60))</f>
        <v/>
      </c>
      <c r="N365" s="387"/>
      <c r="O365" s="387"/>
      <c r="P365" s="381" t="str">
        <f t="shared" si="21"/>
        <v/>
      </c>
      <c r="Q365" s="382" t="str">
        <f t="array" ref="Q365">IFERROR(INDEX($D$13:$D$1000,MATCH(0,COUNTIF($Q$12:Q364,$D$13:$D$1000&amp;"")+IF($D$13:$D$1000="",1,0),0)),"")</f>
        <v/>
      </c>
      <c r="R365" s="356" t="str">
        <f t="shared" si="22"/>
        <v/>
      </c>
      <c r="S365" s="383" t="str">
        <f t="shared" si="24"/>
        <v/>
      </c>
      <c r="T365" s="384" t="str">
        <f t="shared" si="23"/>
        <v/>
      </c>
      <c r="U365" s="349"/>
      <c r="V365" s="385"/>
      <c r="W365" s="385"/>
      <c r="X365" s="386"/>
    </row>
    <row r="366" spans="2:24">
      <c r="B366" s="395"/>
      <c r="C366" s="371"/>
      <c r="D366" s="372" t="str">
        <f>IFERROR(INDEX('[11]Equipment List'!$B$2:$B$2038,MATCH(E366,'[11]Equipment List'!$A$2:$A$2038,0)),"")</f>
        <v/>
      </c>
      <c r="E366" s="388"/>
      <c r="F366" s="374"/>
      <c r="G366" s="375"/>
      <c r="H366" s="397"/>
      <c r="I366" s="377"/>
      <c r="J366" s="378"/>
      <c r="K366" s="379"/>
      <c r="L366" s="387"/>
      <c r="M366" s="380" t="str">
        <f t="array" ref="M366">IF(L366="","",(MAX(IF(AN$15:AN$144=B366,AO$15:AO$144))/60))</f>
        <v/>
      </c>
      <c r="N366" s="387"/>
      <c r="O366" s="387"/>
      <c r="P366" s="381" t="str">
        <f t="shared" si="21"/>
        <v/>
      </c>
      <c r="Q366" s="382" t="str">
        <f t="array" ref="Q366">IFERROR(INDEX($D$13:$D$1000,MATCH(0,COUNTIF($Q$12:Q365,$D$13:$D$1000&amp;"")+IF($D$13:$D$1000="",1,0),0)),"")</f>
        <v/>
      </c>
      <c r="R366" s="356" t="str">
        <f t="shared" si="22"/>
        <v/>
      </c>
      <c r="S366" s="383" t="str">
        <f t="shared" si="24"/>
        <v/>
      </c>
      <c r="T366" s="384" t="str">
        <f t="shared" si="23"/>
        <v/>
      </c>
      <c r="U366" s="349"/>
      <c r="V366" s="385"/>
      <c r="W366" s="385"/>
      <c r="X366" s="386"/>
    </row>
    <row r="367" spans="2:24">
      <c r="B367" s="395"/>
      <c r="C367" s="371"/>
      <c r="D367" s="372" t="str">
        <f>IFERROR(INDEX('[11]Equipment List'!$B$2:$B$2038,MATCH(E367,'[11]Equipment List'!$A$2:$A$2038,0)),"")</f>
        <v/>
      </c>
      <c r="E367" s="388"/>
      <c r="F367" s="374"/>
      <c r="G367" s="375"/>
      <c r="H367" s="397"/>
      <c r="I367" s="377"/>
      <c r="J367" s="378"/>
      <c r="K367" s="379"/>
      <c r="L367" s="387"/>
      <c r="M367" s="380" t="str">
        <f t="array" ref="M367">IF(L367="","",(MAX(IF(AN$15:AN$144=B367,AO$15:AO$144))/60))</f>
        <v/>
      </c>
      <c r="N367" s="387"/>
      <c r="O367" s="387"/>
      <c r="P367" s="381" t="str">
        <f t="shared" si="21"/>
        <v/>
      </c>
      <c r="Q367" s="382" t="str">
        <f t="array" ref="Q367">IFERROR(INDEX($D$13:$D$1000,MATCH(0,COUNTIF($Q$12:Q366,$D$13:$D$1000&amp;"")+IF($D$13:$D$1000="",1,0),0)),"")</f>
        <v/>
      </c>
      <c r="R367" s="356" t="str">
        <f t="shared" si="22"/>
        <v/>
      </c>
      <c r="S367" s="383" t="str">
        <f t="shared" si="24"/>
        <v/>
      </c>
      <c r="T367" s="384" t="str">
        <f t="shared" si="23"/>
        <v/>
      </c>
      <c r="U367" s="349"/>
      <c r="V367" s="385"/>
      <c r="W367" s="385"/>
      <c r="X367" s="386"/>
    </row>
    <row r="368" spans="2:24">
      <c r="B368" s="395"/>
      <c r="C368" s="371"/>
      <c r="D368" s="372" t="str">
        <f>IFERROR(INDEX('[11]Equipment List'!$B$2:$B$2038,MATCH(E368,'[11]Equipment List'!$A$2:$A$2038,0)),"")</f>
        <v/>
      </c>
      <c r="E368" s="388"/>
      <c r="F368" s="374"/>
      <c r="G368" s="375"/>
      <c r="H368" s="397"/>
      <c r="I368" s="377"/>
      <c r="J368" s="378"/>
      <c r="K368" s="379"/>
      <c r="L368" s="387"/>
      <c r="M368" s="380" t="str">
        <f t="array" ref="M368">IF(L368="","",(MAX(IF(AN$15:AN$144=B368,AO$15:AO$144))/60))</f>
        <v/>
      </c>
      <c r="N368" s="387"/>
      <c r="O368" s="387"/>
      <c r="P368" s="381" t="str">
        <f t="shared" si="21"/>
        <v/>
      </c>
      <c r="Q368" s="382" t="str">
        <f t="array" ref="Q368">IFERROR(INDEX($D$13:$D$1000,MATCH(0,COUNTIF($Q$12:Q367,$D$13:$D$1000&amp;"")+IF($D$13:$D$1000="",1,0),0)),"")</f>
        <v/>
      </c>
      <c r="R368" s="356" t="str">
        <f t="shared" si="22"/>
        <v/>
      </c>
      <c r="S368" s="383" t="str">
        <f t="shared" si="24"/>
        <v/>
      </c>
      <c r="T368" s="384" t="str">
        <f t="shared" si="23"/>
        <v/>
      </c>
      <c r="U368" s="349"/>
      <c r="V368" s="385"/>
      <c r="W368" s="385"/>
      <c r="X368" s="386"/>
    </row>
    <row r="369" spans="2:24">
      <c r="B369" s="395"/>
      <c r="C369" s="371"/>
      <c r="D369" s="372" t="str">
        <f>IFERROR(INDEX('[11]Equipment List'!$B$2:$B$2038,MATCH(E369,'[11]Equipment List'!$A$2:$A$2038,0)),"")</f>
        <v/>
      </c>
      <c r="E369" s="388"/>
      <c r="F369" s="374"/>
      <c r="G369" s="375"/>
      <c r="H369" s="397"/>
      <c r="I369" s="377"/>
      <c r="J369" s="378"/>
      <c r="K369" s="379"/>
      <c r="L369" s="387"/>
      <c r="M369" s="380" t="str">
        <f t="array" ref="M369">IF(L369="","",(MAX(IF(AN$15:AN$144=B369,AO$15:AO$144))/60))</f>
        <v/>
      </c>
      <c r="N369" s="387"/>
      <c r="O369" s="387"/>
      <c r="P369" s="381" t="str">
        <f t="shared" si="21"/>
        <v/>
      </c>
      <c r="Q369" s="382" t="str">
        <f t="array" ref="Q369">IFERROR(INDEX($D$13:$D$1000,MATCH(0,COUNTIF($Q$12:Q368,$D$13:$D$1000&amp;"")+IF($D$13:$D$1000="",1,0),0)),"")</f>
        <v/>
      </c>
      <c r="R369" s="356" t="str">
        <f t="shared" si="22"/>
        <v/>
      </c>
      <c r="S369" s="383" t="str">
        <f t="shared" si="24"/>
        <v/>
      </c>
      <c r="T369" s="384" t="str">
        <f t="shared" si="23"/>
        <v/>
      </c>
      <c r="U369" s="349"/>
      <c r="V369" s="385"/>
      <c r="W369" s="385"/>
      <c r="X369" s="386"/>
    </row>
    <row r="370" spans="2:24">
      <c r="B370" s="395"/>
      <c r="C370" s="371"/>
      <c r="D370" s="372" t="str">
        <f>IFERROR(INDEX('[11]Equipment List'!$B$2:$B$2038,MATCH(E370,'[11]Equipment List'!$A$2:$A$2038,0)),"")</f>
        <v/>
      </c>
      <c r="E370" s="388"/>
      <c r="F370" s="374"/>
      <c r="G370" s="375"/>
      <c r="H370" s="397"/>
      <c r="I370" s="377"/>
      <c r="J370" s="378"/>
      <c r="K370" s="379"/>
      <c r="L370" s="387"/>
      <c r="M370" s="380" t="str">
        <f t="array" ref="M370">IF(L370="","",(MAX(IF(AN$15:AN$144=B370,AO$15:AO$144))/60))</f>
        <v/>
      </c>
      <c r="N370" s="387"/>
      <c r="O370" s="387"/>
      <c r="P370" s="381" t="str">
        <f t="shared" si="21"/>
        <v/>
      </c>
      <c r="Q370" s="382" t="str">
        <f t="array" ref="Q370">IFERROR(INDEX($D$13:$D$1000,MATCH(0,COUNTIF($Q$12:Q369,$D$13:$D$1000&amp;"")+IF($D$13:$D$1000="",1,0),0)),"")</f>
        <v/>
      </c>
      <c r="R370" s="356" t="str">
        <f t="shared" si="22"/>
        <v/>
      </c>
      <c r="S370" s="383" t="str">
        <f t="shared" si="24"/>
        <v/>
      </c>
      <c r="T370" s="384" t="str">
        <f t="shared" si="23"/>
        <v/>
      </c>
      <c r="U370" s="349"/>
      <c r="V370" s="385"/>
      <c r="W370" s="385"/>
      <c r="X370" s="386"/>
    </row>
    <row r="371" spans="2:24">
      <c r="B371" s="395"/>
      <c r="C371" s="371"/>
      <c r="D371" s="372" t="str">
        <f>IFERROR(INDEX('[11]Equipment List'!$B$2:$B$2038,MATCH(E371,'[11]Equipment List'!$A$2:$A$2038,0)),"")</f>
        <v/>
      </c>
      <c r="E371" s="388"/>
      <c r="F371" s="374"/>
      <c r="G371" s="375"/>
      <c r="H371" s="397"/>
      <c r="I371" s="377"/>
      <c r="J371" s="378"/>
      <c r="K371" s="379"/>
      <c r="L371" s="387"/>
      <c r="M371" s="380" t="str">
        <f t="array" ref="M371">IF(L371="","",(MAX(IF(AN$15:AN$144=B371,AO$15:AO$144))/60))</f>
        <v/>
      </c>
      <c r="N371" s="387"/>
      <c r="O371" s="387"/>
      <c r="P371" s="381" t="str">
        <f t="shared" si="21"/>
        <v/>
      </c>
      <c r="Q371" s="382" t="str">
        <f t="array" ref="Q371">IFERROR(INDEX($D$13:$D$1000,MATCH(0,COUNTIF($Q$12:Q370,$D$13:$D$1000&amp;"")+IF($D$13:$D$1000="",1,0),0)),"")</f>
        <v/>
      </c>
      <c r="R371" s="356" t="str">
        <f t="shared" si="22"/>
        <v/>
      </c>
      <c r="S371" s="383" t="str">
        <f t="shared" si="24"/>
        <v/>
      </c>
      <c r="T371" s="384" t="str">
        <f t="shared" si="23"/>
        <v/>
      </c>
      <c r="U371" s="349"/>
      <c r="V371" s="385"/>
      <c r="W371" s="385"/>
      <c r="X371" s="386"/>
    </row>
    <row r="372" spans="2:24">
      <c r="B372" s="395"/>
      <c r="C372" s="371"/>
      <c r="D372" s="372" t="str">
        <f>IFERROR(INDEX('[11]Equipment List'!$B$2:$B$2038,MATCH(E372,'[11]Equipment List'!$A$2:$A$2038,0)),"")</f>
        <v/>
      </c>
      <c r="E372" s="388"/>
      <c r="F372" s="374"/>
      <c r="G372" s="375"/>
      <c r="H372" s="397"/>
      <c r="I372" s="377"/>
      <c r="J372" s="378"/>
      <c r="K372" s="379"/>
      <c r="L372" s="387"/>
      <c r="M372" s="380" t="str">
        <f t="array" ref="M372">IF(L372="","",(MAX(IF(AN$15:AN$144=B372,AO$15:AO$144))/60))</f>
        <v/>
      </c>
      <c r="N372" s="387"/>
      <c r="O372" s="387"/>
      <c r="P372" s="381" t="str">
        <f t="shared" si="21"/>
        <v/>
      </c>
      <c r="Q372" s="382" t="str">
        <f t="array" ref="Q372">IFERROR(INDEX($D$13:$D$1000,MATCH(0,COUNTIF($Q$12:Q371,$D$13:$D$1000&amp;"")+IF($D$13:$D$1000="",1,0),0)),"")</f>
        <v/>
      </c>
      <c r="R372" s="356" t="str">
        <f t="shared" si="22"/>
        <v/>
      </c>
      <c r="S372" s="383" t="str">
        <f t="shared" si="24"/>
        <v/>
      </c>
      <c r="T372" s="384" t="str">
        <f t="shared" si="23"/>
        <v/>
      </c>
      <c r="U372" s="349"/>
      <c r="V372" s="385"/>
      <c r="W372" s="385"/>
      <c r="X372" s="386"/>
    </row>
    <row r="373" spans="2:24">
      <c r="B373" s="395"/>
      <c r="C373" s="371"/>
      <c r="D373" s="372" t="str">
        <f>IFERROR(INDEX('[11]Equipment List'!$B$2:$B$2038,MATCH(E373,'[11]Equipment List'!$A$2:$A$2038,0)),"")</f>
        <v/>
      </c>
      <c r="E373" s="388"/>
      <c r="F373" s="374"/>
      <c r="G373" s="375"/>
      <c r="H373" s="397"/>
      <c r="I373" s="377"/>
      <c r="J373" s="378"/>
      <c r="K373" s="379"/>
      <c r="L373" s="387"/>
      <c r="M373" s="380" t="str">
        <f t="array" ref="M373">IF(L373="","",(MAX(IF(AN$15:AN$144=B373,AO$15:AO$144))/60))</f>
        <v/>
      </c>
      <c r="N373" s="387"/>
      <c r="O373" s="387"/>
      <c r="P373" s="381" t="str">
        <f t="shared" si="21"/>
        <v/>
      </c>
      <c r="Q373" s="382" t="str">
        <f t="array" ref="Q373">IFERROR(INDEX($D$13:$D$1000,MATCH(0,COUNTIF($Q$12:Q372,$D$13:$D$1000&amp;"")+IF($D$13:$D$1000="",1,0),0)),"")</f>
        <v/>
      </c>
      <c r="R373" s="356" t="str">
        <f t="shared" si="22"/>
        <v/>
      </c>
      <c r="S373" s="383" t="str">
        <f t="shared" si="24"/>
        <v/>
      </c>
      <c r="T373" s="384" t="str">
        <f t="shared" si="23"/>
        <v/>
      </c>
      <c r="U373" s="349"/>
      <c r="V373" s="385"/>
      <c r="W373" s="385"/>
      <c r="X373" s="386"/>
    </row>
    <row r="374" spans="2:24">
      <c r="B374" s="395"/>
      <c r="C374" s="371"/>
      <c r="D374" s="372" t="str">
        <f>IFERROR(INDEX('[11]Equipment List'!$B$2:$B$2038,MATCH(E374,'[11]Equipment List'!$A$2:$A$2038,0)),"")</f>
        <v/>
      </c>
      <c r="E374" s="388"/>
      <c r="F374" s="374"/>
      <c r="G374" s="375"/>
      <c r="H374" s="397"/>
      <c r="I374" s="377"/>
      <c r="J374" s="378"/>
      <c r="K374" s="379"/>
      <c r="L374" s="387"/>
      <c r="M374" s="380" t="str">
        <f t="array" ref="M374">IF(L374="","",(MAX(IF(AN$15:AN$144=B374,AO$15:AO$144))/60))</f>
        <v/>
      </c>
      <c r="N374" s="387"/>
      <c r="O374" s="387"/>
      <c r="P374" s="381" t="str">
        <f t="shared" si="21"/>
        <v/>
      </c>
      <c r="Q374" s="382" t="str">
        <f t="array" ref="Q374">IFERROR(INDEX($D$13:$D$1000,MATCH(0,COUNTIF($Q$12:Q373,$D$13:$D$1000&amp;"")+IF($D$13:$D$1000="",1,0),0)),"")</f>
        <v/>
      </c>
      <c r="R374" s="356" t="str">
        <f t="shared" si="22"/>
        <v/>
      </c>
      <c r="S374" s="383" t="str">
        <f t="shared" si="24"/>
        <v/>
      </c>
      <c r="T374" s="384" t="str">
        <f t="shared" si="23"/>
        <v/>
      </c>
      <c r="U374" s="349"/>
      <c r="V374" s="385"/>
      <c r="W374" s="385"/>
      <c r="X374" s="386"/>
    </row>
    <row r="375" spans="2:24">
      <c r="B375" s="395"/>
      <c r="C375" s="371"/>
      <c r="D375" s="372" t="str">
        <f>IFERROR(INDEX('[11]Equipment List'!$B$2:$B$2038,MATCH(E375,'[11]Equipment List'!$A$2:$A$2038,0)),"")</f>
        <v/>
      </c>
      <c r="E375" s="388"/>
      <c r="F375" s="374"/>
      <c r="G375" s="375"/>
      <c r="H375" s="397"/>
      <c r="I375" s="377"/>
      <c r="J375" s="378"/>
      <c r="K375" s="379"/>
      <c r="L375" s="387"/>
      <c r="M375" s="380" t="str">
        <f t="array" ref="M375">IF(L375="","",(MAX(IF(AN$15:AN$144=B375,AO$15:AO$144))/60))</f>
        <v/>
      </c>
      <c r="N375" s="387"/>
      <c r="O375" s="387"/>
      <c r="P375" s="381" t="str">
        <f t="shared" si="21"/>
        <v/>
      </c>
      <c r="Q375" s="382" t="str">
        <f t="array" ref="Q375">IFERROR(INDEX($D$13:$D$1000,MATCH(0,COUNTIF($Q$12:Q374,$D$13:$D$1000&amp;"")+IF($D$13:$D$1000="",1,0),0)),"")</f>
        <v/>
      </c>
      <c r="R375" s="356" t="str">
        <f t="shared" si="22"/>
        <v/>
      </c>
      <c r="S375" s="383" t="str">
        <f t="shared" si="24"/>
        <v/>
      </c>
      <c r="T375" s="384" t="str">
        <f t="shared" si="23"/>
        <v/>
      </c>
      <c r="U375" s="349"/>
      <c r="V375" s="385"/>
      <c r="W375" s="385"/>
      <c r="X375" s="386"/>
    </row>
    <row r="376" spans="2:24">
      <c r="B376" s="395"/>
      <c r="C376" s="371"/>
      <c r="D376" s="372" t="str">
        <f>IFERROR(INDEX('[11]Equipment List'!$B$2:$B$2038,MATCH(E376,'[11]Equipment List'!$A$2:$A$2038,0)),"")</f>
        <v/>
      </c>
      <c r="E376" s="388"/>
      <c r="F376" s="374"/>
      <c r="G376" s="375"/>
      <c r="H376" s="397"/>
      <c r="I376" s="377"/>
      <c r="J376" s="378"/>
      <c r="K376" s="379"/>
      <c r="L376" s="387"/>
      <c r="M376" s="380" t="str">
        <f t="array" ref="M376">IF(L376="","",(MAX(IF(AN$15:AN$144=B376,AO$15:AO$144))/60))</f>
        <v/>
      </c>
      <c r="N376" s="387"/>
      <c r="O376" s="387"/>
      <c r="P376" s="381" t="str">
        <f t="shared" si="21"/>
        <v/>
      </c>
      <c r="Q376" s="382" t="str">
        <f t="array" ref="Q376">IFERROR(INDEX($D$13:$D$1000,MATCH(0,COUNTIF($Q$12:Q375,$D$13:$D$1000&amp;"")+IF($D$13:$D$1000="",1,0),0)),"")</f>
        <v/>
      </c>
      <c r="R376" s="356" t="str">
        <f t="shared" si="22"/>
        <v/>
      </c>
      <c r="S376" s="383" t="str">
        <f t="shared" si="24"/>
        <v/>
      </c>
      <c r="T376" s="384" t="str">
        <f t="shared" si="23"/>
        <v/>
      </c>
      <c r="U376" s="349"/>
      <c r="V376" s="385"/>
      <c r="W376" s="385"/>
      <c r="X376" s="386"/>
    </row>
    <row r="377" spans="2:24">
      <c r="B377" s="395"/>
      <c r="C377" s="371"/>
      <c r="D377" s="372" t="str">
        <f>IFERROR(INDEX('[11]Equipment List'!$B$2:$B$2038,MATCH(E377,'[11]Equipment List'!$A$2:$A$2038,0)),"")</f>
        <v/>
      </c>
      <c r="E377" s="388"/>
      <c r="F377" s="374"/>
      <c r="G377" s="375"/>
      <c r="H377" s="397"/>
      <c r="I377" s="377"/>
      <c r="J377" s="378"/>
      <c r="K377" s="379"/>
      <c r="L377" s="387"/>
      <c r="M377" s="380" t="str">
        <f t="array" ref="M377">IF(L377="","",(MAX(IF(AN$15:AN$144=B377,AO$15:AO$144))/60))</f>
        <v/>
      </c>
      <c r="N377" s="387"/>
      <c r="O377" s="387"/>
      <c r="P377" s="381" t="str">
        <f t="shared" si="21"/>
        <v/>
      </c>
      <c r="Q377" s="382" t="str">
        <f t="array" ref="Q377">IFERROR(INDEX($D$13:$D$1000,MATCH(0,COUNTIF($Q$12:Q376,$D$13:$D$1000&amp;"")+IF($D$13:$D$1000="",1,0),0)),"")</f>
        <v/>
      </c>
      <c r="R377" s="356" t="str">
        <f t="shared" si="22"/>
        <v/>
      </c>
      <c r="S377" s="383" t="str">
        <f t="shared" si="24"/>
        <v/>
      </c>
      <c r="T377" s="384" t="str">
        <f t="shared" si="23"/>
        <v/>
      </c>
      <c r="U377" s="349"/>
      <c r="V377" s="385"/>
      <c r="W377" s="385"/>
      <c r="X377" s="386"/>
    </row>
    <row r="378" spans="2:24">
      <c r="B378" s="395"/>
      <c r="C378" s="371"/>
      <c r="D378" s="372" t="str">
        <f>IFERROR(INDEX('[11]Equipment List'!$B$2:$B$2038,MATCH(E378,'[11]Equipment List'!$A$2:$A$2038,0)),"")</f>
        <v/>
      </c>
      <c r="E378" s="388"/>
      <c r="F378" s="374"/>
      <c r="G378" s="375"/>
      <c r="H378" s="397"/>
      <c r="I378" s="377"/>
      <c r="J378" s="378"/>
      <c r="K378" s="379"/>
      <c r="L378" s="387"/>
      <c r="M378" s="380" t="str">
        <f t="array" ref="M378">IF(L378="","",(MAX(IF(AN$15:AN$144=B378,AO$15:AO$144))/60))</f>
        <v/>
      </c>
      <c r="N378" s="387"/>
      <c r="O378" s="387"/>
      <c r="P378" s="381" t="str">
        <f t="shared" si="21"/>
        <v/>
      </c>
      <c r="Q378" s="382" t="str">
        <f t="array" ref="Q378">IFERROR(INDEX($D$13:$D$1000,MATCH(0,COUNTIF($Q$12:Q377,$D$13:$D$1000&amp;"")+IF($D$13:$D$1000="",1,0),0)),"")</f>
        <v/>
      </c>
      <c r="R378" s="356" t="str">
        <f t="shared" si="22"/>
        <v/>
      </c>
      <c r="S378" s="383" t="str">
        <f t="shared" si="24"/>
        <v/>
      </c>
      <c r="T378" s="384" t="str">
        <f t="shared" si="23"/>
        <v/>
      </c>
      <c r="U378" s="349"/>
      <c r="V378" s="385"/>
      <c r="W378" s="385"/>
      <c r="X378" s="386"/>
    </row>
    <row r="379" spans="2:24">
      <c r="B379" s="395"/>
      <c r="C379" s="371"/>
      <c r="D379" s="372" t="str">
        <f>IFERROR(INDEX('[11]Equipment List'!$B$2:$B$2038,MATCH(E379,'[11]Equipment List'!$A$2:$A$2038,0)),"")</f>
        <v/>
      </c>
      <c r="E379" s="388"/>
      <c r="F379" s="374"/>
      <c r="G379" s="375"/>
      <c r="H379" s="397"/>
      <c r="I379" s="377"/>
      <c r="J379" s="378"/>
      <c r="K379" s="379"/>
      <c r="L379" s="387"/>
      <c r="M379" s="380" t="str">
        <f t="array" ref="M379">IF(L379="","",(MAX(IF(AN$15:AN$144=B379,AO$15:AO$144))/60))</f>
        <v/>
      </c>
      <c r="N379" s="387"/>
      <c r="O379" s="387"/>
      <c r="P379" s="381" t="str">
        <f t="shared" si="21"/>
        <v/>
      </c>
      <c r="Q379" s="382" t="str">
        <f t="array" ref="Q379">IFERROR(INDEX($D$13:$D$1000,MATCH(0,COUNTIF($Q$12:Q378,$D$13:$D$1000&amp;"")+IF($D$13:$D$1000="",1,0),0)),"")</f>
        <v/>
      </c>
      <c r="R379" s="356" t="str">
        <f t="shared" si="22"/>
        <v/>
      </c>
      <c r="S379" s="383" t="str">
        <f t="shared" si="24"/>
        <v/>
      </c>
      <c r="T379" s="384" t="str">
        <f t="shared" si="23"/>
        <v/>
      </c>
      <c r="U379" s="349"/>
      <c r="V379" s="385"/>
      <c r="W379" s="385"/>
      <c r="X379" s="386"/>
    </row>
    <row r="380" spans="2:24">
      <c r="B380" s="395"/>
      <c r="C380" s="371"/>
      <c r="D380" s="372" t="str">
        <f>IFERROR(INDEX('[11]Equipment List'!$B$2:$B$2038,MATCH(E380,'[11]Equipment List'!$A$2:$A$2038,0)),"")</f>
        <v/>
      </c>
      <c r="E380" s="388"/>
      <c r="F380" s="374"/>
      <c r="G380" s="375"/>
      <c r="H380" s="397"/>
      <c r="I380" s="377"/>
      <c r="J380" s="378"/>
      <c r="K380" s="379"/>
      <c r="L380" s="387"/>
      <c r="M380" s="380" t="str">
        <f t="array" ref="M380">IF(L380="","",(MAX(IF(AN$15:AN$144=B380,AO$15:AO$144))/60))</f>
        <v/>
      </c>
      <c r="N380" s="387"/>
      <c r="O380" s="387"/>
      <c r="P380" s="381" t="str">
        <f t="shared" si="21"/>
        <v/>
      </c>
      <c r="Q380" s="382" t="str">
        <f t="array" ref="Q380">IFERROR(INDEX($D$13:$D$1000,MATCH(0,COUNTIF($Q$12:Q379,$D$13:$D$1000&amp;"")+IF($D$13:$D$1000="",1,0),0)),"")</f>
        <v/>
      </c>
      <c r="R380" s="356" t="str">
        <f t="shared" si="22"/>
        <v/>
      </c>
      <c r="S380" s="383" t="str">
        <f t="shared" si="24"/>
        <v/>
      </c>
      <c r="T380" s="384" t="str">
        <f t="shared" si="23"/>
        <v/>
      </c>
      <c r="U380" s="349"/>
      <c r="V380" s="385"/>
      <c r="W380" s="385"/>
      <c r="X380" s="386"/>
    </row>
    <row r="381" spans="2:24">
      <c r="B381" s="395"/>
      <c r="C381" s="371"/>
      <c r="D381" s="372" t="str">
        <f>IFERROR(INDEX('[11]Equipment List'!$B$2:$B$2038,MATCH(E381,'[11]Equipment List'!$A$2:$A$2038,0)),"")</f>
        <v/>
      </c>
      <c r="E381" s="388"/>
      <c r="F381" s="374"/>
      <c r="G381" s="375"/>
      <c r="H381" s="397"/>
      <c r="I381" s="377"/>
      <c r="J381" s="378"/>
      <c r="K381" s="379"/>
      <c r="L381" s="387"/>
      <c r="M381" s="380" t="str">
        <f t="array" ref="M381">IF(L381="","",(MAX(IF(AN$15:AN$144=B381,AO$15:AO$144))/60))</f>
        <v/>
      </c>
      <c r="N381" s="387"/>
      <c r="O381" s="387"/>
      <c r="P381" s="381" t="str">
        <f t="shared" si="21"/>
        <v/>
      </c>
      <c r="Q381" s="382" t="str">
        <f t="array" ref="Q381">IFERROR(INDEX($D$13:$D$1000,MATCH(0,COUNTIF($Q$12:Q380,$D$13:$D$1000&amp;"")+IF($D$13:$D$1000="",1,0),0)),"")</f>
        <v/>
      </c>
      <c r="R381" s="356" t="str">
        <f t="shared" si="22"/>
        <v/>
      </c>
      <c r="S381" s="383" t="str">
        <f t="shared" si="24"/>
        <v/>
      </c>
      <c r="T381" s="384" t="str">
        <f t="shared" si="23"/>
        <v/>
      </c>
      <c r="U381" s="349"/>
      <c r="V381" s="385"/>
      <c r="W381" s="385"/>
      <c r="X381" s="386"/>
    </row>
    <row r="382" spans="2:24">
      <c r="B382" s="395"/>
      <c r="C382" s="371"/>
      <c r="D382" s="372" t="str">
        <f>IFERROR(INDEX('[11]Equipment List'!$B$2:$B$2038,MATCH(E382,'[11]Equipment List'!$A$2:$A$2038,0)),"")</f>
        <v/>
      </c>
      <c r="E382" s="388"/>
      <c r="F382" s="374"/>
      <c r="G382" s="375"/>
      <c r="H382" s="397"/>
      <c r="I382" s="377"/>
      <c r="J382" s="378"/>
      <c r="K382" s="379"/>
      <c r="L382" s="387"/>
      <c r="M382" s="380" t="str">
        <f t="array" ref="M382">IF(L382="","",(MAX(IF(AN$15:AN$144=B382,AO$15:AO$144))/60))</f>
        <v/>
      </c>
      <c r="N382" s="387"/>
      <c r="O382" s="387"/>
      <c r="P382" s="381" t="str">
        <f t="shared" si="21"/>
        <v/>
      </c>
      <c r="Q382" s="382" t="str">
        <f t="array" ref="Q382">IFERROR(INDEX($D$13:$D$1000,MATCH(0,COUNTIF($Q$12:Q381,$D$13:$D$1000&amp;"")+IF($D$13:$D$1000="",1,0),0)),"")</f>
        <v/>
      </c>
      <c r="R382" s="356" t="str">
        <f t="shared" si="22"/>
        <v/>
      </c>
      <c r="S382" s="383" t="str">
        <f t="shared" si="24"/>
        <v/>
      </c>
      <c r="T382" s="384" t="str">
        <f t="shared" si="23"/>
        <v/>
      </c>
      <c r="U382" s="349"/>
      <c r="V382" s="385"/>
      <c r="W382" s="385"/>
      <c r="X382" s="386"/>
    </row>
    <row r="383" spans="2:24">
      <c r="B383" s="395"/>
      <c r="C383" s="371"/>
      <c r="D383" s="372" t="str">
        <f>IFERROR(INDEX('[11]Equipment List'!$B$2:$B$2038,MATCH(E383,'[11]Equipment List'!$A$2:$A$2038,0)),"")</f>
        <v/>
      </c>
      <c r="E383" s="388"/>
      <c r="F383" s="374"/>
      <c r="G383" s="375"/>
      <c r="H383" s="397"/>
      <c r="I383" s="377"/>
      <c r="J383" s="378"/>
      <c r="K383" s="379"/>
      <c r="L383" s="387"/>
      <c r="M383" s="380" t="str">
        <f t="array" ref="M383">IF(L383="","",(MAX(IF(AN$15:AN$144=B383,AO$15:AO$144))/60))</f>
        <v/>
      </c>
      <c r="N383" s="387"/>
      <c r="O383" s="387"/>
      <c r="P383" s="381" t="str">
        <f t="shared" si="21"/>
        <v/>
      </c>
      <c r="Q383" s="382" t="str">
        <f t="array" ref="Q383">IFERROR(INDEX($D$13:$D$1000,MATCH(0,COUNTIF($Q$12:Q382,$D$13:$D$1000&amp;"")+IF($D$13:$D$1000="",1,0),0)),"")</f>
        <v/>
      </c>
      <c r="R383" s="356" t="str">
        <f t="shared" si="22"/>
        <v/>
      </c>
      <c r="S383" s="383" t="str">
        <f t="shared" si="24"/>
        <v/>
      </c>
      <c r="T383" s="384" t="str">
        <f t="shared" si="23"/>
        <v/>
      </c>
      <c r="U383" s="349"/>
      <c r="V383" s="385"/>
      <c r="W383" s="385"/>
      <c r="X383" s="386"/>
    </row>
    <row r="384" spans="2:24">
      <c r="B384" s="395"/>
      <c r="C384" s="371"/>
      <c r="D384" s="372" t="str">
        <f>IFERROR(INDEX('[11]Equipment List'!$B$2:$B$2038,MATCH(E384,'[11]Equipment List'!$A$2:$A$2038,0)),"")</f>
        <v/>
      </c>
      <c r="E384" s="388"/>
      <c r="F384" s="374"/>
      <c r="G384" s="375"/>
      <c r="H384" s="397"/>
      <c r="I384" s="377"/>
      <c r="J384" s="378"/>
      <c r="K384" s="379"/>
      <c r="L384" s="387"/>
      <c r="M384" s="380" t="str">
        <f t="array" ref="M384">IF(L384="","",(MAX(IF(AN$15:AN$144=B384,AO$15:AO$144))/60))</f>
        <v/>
      </c>
      <c r="N384" s="387"/>
      <c r="O384" s="387"/>
      <c r="P384" s="381" t="str">
        <f t="shared" si="21"/>
        <v/>
      </c>
      <c r="Q384" s="382" t="str">
        <f t="array" ref="Q384">IFERROR(INDEX($D$13:$D$1000,MATCH(0,COUNTIF($Q$12:Q383,$D$13:$D$1000&amp;"")+IF($D$13:$D$1000="",1,0),0)),"")</f>
        <v/>
      </c>
      <c r="R384" s="356" t="str">
        <f t="shared" si="22"/>
        <v/>
      </c>
      <c r="S384" s="383" t="str">
        <f t="shared" si="24"/>
        <v/>
      </c>
      <c r="T384" s="384" t="str">
        <f t="shared" si="23"/>
        <v/>
      </c>
      <c r="U384" s="349"/>
      <c r="V384" s="385"/>
      <c r="W384" s="385"/>
      <c r="X384" s="386"/>
    </row>
    <row r="385" spans="2:24">
      <c r="B385" s="395"/>
      <c r="C385" s="371"/>
      <c r="D385" s="372" t="str">
        <f>IFERROR(INDEX('[11]Equipment List'!$B$2:$B$2038,MATCH(E385,'[11]Equipment List'!$A$2:$A$2038,0)),"")</f>
        <v/>
      </c>
      <c r="E385" s="388"/>
      <c r="F385" s="374"/>
      <c r="G385" s="375"/>
      <c r="H385" s="397"/>
      <c r="I385" s="377"/>
      <c r="J385" s="378"/>
      <c r="K385" s="379"/>
      <c r="L385" s="387"/>
      <c r="M385" s="380" t="str">
        <f t="array" ref="M385">IF(L385="","",(MAX(IF(AN$15:AN$144=B385,AO$15:AO$144))/60))</f>
        <v/>
      </c>
      <c r="N385" s="387"/>
      <c r="O385" s="387"/>
      <c r="P385" s="381" t="str">
        <f t="shared" si="21"/>
        <v/>
      </c>
      <c r="Q385" s="382" t="str">
        <f t="array" ref="Q385">IFERROR(INDEX($D$13:$D$1000,MATCH(0,COUNTIF($Q$12:Q384,$D$13:$D$1000&amp;"")+IF($D$13:$D$1000="",1,0),0)),"")</f>
        <v/>
      </c>
      <c r="R385" s="356" t="str">
        <f t="shared" si="22"/>
        <v/>
      </c>
      <c r="S385" s="383" t="str">
        <f t="shared" si="24"/>
        <v/>
      </c>
      <c r="T385" s="384" t="str">
        <f t="shared" si="23"/>
        <v/>
      </c>
      <c r="U385" s="349"/>
      <c r="V385" s="385"/>
      <c r="W385" s="385"/>
      <c r="X385" s="386"/>
    </row>
    <row r="386" spans="2:24">
      <c r="B386" s="395"/>
      <c r="C386" s="371"/>
      <c r="D386" s="372" t="str">
        <f>IFERROR(INDEX('[11]Equipment List'!$B$2:$B$2038,MATCH(E386,'[11]Equipment List'!$A$2:$A$2038,0)),"")</f>
        <v/>
      </c>
      <c r="E386" s="388"/>
      <c r="F386" s="374"/>
      <c r="G386" s="375"/>
      <c r="H386" s="397"/>
      <c r="I386" s="377"/>
      <c r="J386" s="378"/>
      <c r="K386" s="379"/>
      <c r="L386" s="387"/>
      <c r="M386" s="380" t="str">
        <f t="array" ref="M386">IF(L386="","",(MAX(IF(AN$15:AN$144=B386,AO$15:AO$144))/60))</f>
        <v/>
      </c>
      <c r="N386" s="387"/>
      <c r="O386" s="387"/>
      <c r="P386" s="381" t="str">
        <f t="shared" si="21"/>
        <v/>
      </c>
      <c r="Q386" s="382" t="str">
        <f t="array" ref="Q386">IFERROR(INDEX($D$13:$D$1000,MATCH(0,COUNTIF($Q$12:Q385,$D$13:$D$1000&amp;"")+IF($D$13:$D$1000="",1,0),0)),"")</f>
        <v/>
      </c>
      <c r="R386" s="356" t="str">
        <f t="shared" si="22"/>
        <v/>
      </c>
      <c r="S386" s="383" t="str">
        <f t="shared" si="24"/>
        <v/>
      </c>
      <c r="T386" s="384" t="str">
        <f t="shared" si="23"/>
        <v/>
      </c>
      <c r="U386" s="349"/>
      <c r="V386" s="385"/>
      <c r="W386" s="385"/>
      <c r="X386" s="386"/>
    </row>
    <row r="387" spans="2:24">
      <c r="B387" s="395"/>
      <c r="C387" s="371"/>
      <c r="D387" s="372" t="str">
        <f>IFERROR(INDEX('[11]Equipment List'!$B$2:$B$2038,MATCH(E387,'[11]Equipment List'!$A$2:$A$2038,0)),"")</f>
        <v/>
      </c>
      <c r="E387" s="388"/>
      <c r="F387" s="374"/>
      <c r="G387" s="375"/>
      <c r="H387" s="397"/>
      <c r="I387" s="377"/>
      <c r="J387" s="378"/>
      <c r="K387" s="379"/>
      <c r="L387" s="387"/>
      <c r="M387" s="380" t="str">
        <f t="array" ref="M387">IF(L387="","",(MAX(IF(AN$15:AN$144=B387,AO$15:AO$144))/60))</f>
        <v/>
      </c>
      <c r="N387" s="387"/>
      <c r="O387" s="387"/>
      <c r="P387" s="381" t="str">
        <f t="shared" si="21"/>
        <v/>
      </c>
      <c r="Q387" s="382" t="str">
        <f t="array" ref="Q387">IFERROR(INDEX($D$13:$D$1000,MATCH(0,COUNTIF($Q$12:Q386,$D$13:$D$1000&amp;"")+IF($D$13:$D$1000="",1,0),0)),"")</f>
        <v/>
      </c>
      <c r="R387" s="356" t="str">
        <f t="shared" si="22"/>
        <v/>
      </c>
      <c r="S387" s="383" t="str">
        <f t="shared" si="24"/>
        <v/>
      </c>
      <c r="T387" s="384" t="str">
        <f t="shared" si="23"/>
        <v/>
      </c>
      <c r="U387" s="349"/>
      <c r="V387" s="385"/>
      <c r="W387" s="385"/>
      <c r="X387" s="386"/>
    </row>
    <row r="388" spans="2:24">
      <c r="B388" s="395"/>
      <c r="C388" s="371"/>
      <c r="D388" s="372" t="str">
        <f>IFERROR(INDEX('[11]Equipment List'!$B$2:$B$2038,MATCH(E388,'[11]Equipment List'!$A$2:$A$2038,0)),"")</f>
        <v/>
      </c>
      <c r="E388" s="388"/>
      <c r="F388" s="374"/>
      <c r="G388" s="375"/>
      <c r="H388" s="397"/>
      <c r="I388" s="377"/>
      <c r="J388" s="378"/>
      <c r="K388" s="379"/>
      <c r="L388" s="387"/>
      <c r="M388" s="380" t="str">
        <f t="array" ref="M388">IF(L388="","",(MAX(IF(AN$15:AN$144=B388,AO$15:AO$144))/60))</f>
        <v/>
      </c>
      <c r="N388" s="387"/>
      <c r="O388" s="387"/>
      <c r="P388" s="381" t="str">
        <f t="shared" si="21"/>
        <v/>
      </c>
      <c r="Q388" s="382" t="str">
        <f t="array" ref="Q388">IFERROR(INDEX($D$13:$D$1000,MATCH(0,COUNTIF($Q$12:Q387,$D$13:$D$1000&amp;"")+IF($D$13:$D$1000="",1,0),0)),"")</f>
        <v/>
      </c>
      <c r="R388" s="356" t="str">
        <f t="shared" si="22"/>
        <v/>
      </c>
      <c r="S388" s="383" t="str">
        <f t="shared" si="24"/>
        <v/>
      </c>
      <c r="T388" s="384" t="str">
        <f t="shared" si="23"/>
        <v/>
      </c>
      <c r="U388" s="349"/>
      <c r="V388" s="385"/>
      <c r="W388" s="385"/>
      <c r="X388" s="386"/>
    </row>
    <row r="389" spans="2:24">
      <c r="B389" s="395"/>
      <c r="C389" s="371"/>
      <c r="D389" s="372" t="str">
        <f>IFERROR(INDEX('[11]Equipment List'!$B$2:$B$2038,MATCH(E389,'[11]Equipment List'!$A$2:$A$2038,0)),"")</f>
        <v/>
      </c>
      <c r="E389" s="388"/>
      <c r="F389" s="374"/>
      <c r="G389" s="375"/>
      <c r="H389" s="397"/>
      <c r="I389" s="377"/>
      <c r="J389" s="378"/>
      <c r="K389" s="379"/>
      <c r="L389" s="387"/>
      <c r="M389" s="380" t="str">
        <f t="array" ref="M389">IF(L389="","",(MAX(IF(AN$15:AN$144=B389,AO$15:AO$144))/60))</f>
        <v/>
      </c>
      <c r="N389" s="387"/>
      <c r="O389" s="387"/>
      <c r="P389" s="381" t="str">
        <f t="shared" si="21"/>
        <v/>
      </c>
      <c r="Q389" s="382" t="str">
        <f t="array" ref="Q389">IFERROR(INDEX($D$13:$D$1000,MATCH(0,COUNTIF($Q$12:Q388,$D$13:$D$1000&amp;"")+IF($D$13:$D$1000="",1,0),0)),"")</f>
        <v/>
      </c>
      <c r="R389" s="356" t="str">
        <f t="shared" si="22"/>
        <v/>
      </c>
      <c r="S389" s="383" t="str">
        <f t="shared" si="24"/>
        <v/>
      </c>
      <c r="T389" s="384" t="str">
        <f t="shared" si="23"/>
        <v/>
      </c>
      <c r="U389" s="349"/>
      <c r="V389" s="385"/>
      <c r="W389" s="385"/>
      <c r="X389" s="386"/>
    </row>
    <row r="390" spans="2:24">
      <c r="B390" s="395"/>
      <c r="C390" s="371"/>
      <c r="D390" s="372" t="str">
        <f>IFERROR(INDEX('[11]Equipment List'!$B$2:$B$2038,MATCH(E390,'[11]Equipment List'!$A$2:$A$2038,0)),"")</f>
        <v/>
      </c>
      <c r="E390" s="388"/>
      <c r="F390" s="374"/>
      <c r="G390" s="375"/>
      <c r="H390" s="397"/>
      <c r="I390" s="377"/>
      <c r="J390" s="378"/>
      <c r="K390" s="379"/>
      <c r="L390" s="387"/>
      <c r="M390" s="380" t="str">
        <f t="array" ref="M390">IF(L390="","",(MAX(IF(AN$15:AN$144=B390,AO$15:AO$144))/60))</f>
        <v/>
      </c>
      <c r="N390" s="387"/>
      <c r="O390" s="387"/>
      <c r="P390" s="381" t="str">
        <f t="shared" si="21"/>
        <v/>
      </c>
      <c r="Q390" s="382" t="str">
        <f t="array" ref="Q390">IFERROR(INDEX($D$13:$D$1000,MATCH(0,COUNTIF($Q$12:Q389,$D$13:$D$1000&amp;"")+IF($D$13:$D$1000="",1,0),0)),"")</f>
        <v/>
      </c>
      <c r="R390" s="356" t="str">
        <f t="shared" si="22"/>
        <v/>
      </c>
      <c r="S390" s="383" t="str">
        <f t="shared" si="24"/>
        <v/>
      </c>
      <c r="T390" s="384" t="str">
        <f t="shared" si="23"/>
        <v/>
      </c>
      <c r="U390" s="349"/>
      <c r="V390" s="385"/>
      <c r="W390" s="385"/>
      <c r="X390" s="386"/>
    </row>
    <row r="391" spans="2:24">
      <c r="B391" s="395"/>
      <c r="C391" s="371"/>
      <c r="D391" s="372" t="str">
        <f>IFERROR(INDEX('[11]Equipment List'!$B$2:$B$2038,MATCH(E391,'[11]Equipment List'!$A$2:$A$2038,0)),"")</f>
        <v/>
      </c>
      <c r="E391" s="388"/>
      <c r="F391" s="374"/>
      <c r="G391" s="375"/>
      <c r="H391" s="397"/>
      <c r="I391" s="377"/>
      <c r="J391" s="378"/>
      <c r="K391" s="379"/>
      <c r="L391" s="387"/>
      <c r="M391" s="380" t="str">
        <f t="array" ref="M391">IF(L391="","",(MAX(IF(AN$15:AN$144=B391,AO$15:AO$144))/60))</f>
        <v/>
      </c>
      <c r="N391" s="387"/>
      <c r="O391" s="387"/>
      <c r="P391" s="381" t="str">
        <f t="shared" si="21"/>
        <v/>
      </c>
      <c r="Q391" s="382" t="str">
        <f t="array" ref="Q391">IFERROR(INDEX($D$13:$D$1000,MATCH(0,COUNTIF($Q$12:Q390,$D$13:$D$1000&amp;"")+IF($D$13:$D$1000="",1,0),0)),"")</f>
        <v/>
      </c>
      <c r="R391" s="356" t="str">
        <f t="shared" si="22"/>
        <v/>
      </c>
      <c r="S391" s="383" t="str">
        <f t="shared" si="24"/>
        <v/>
      </c>
      <c r="T391" s="384" t="str">
        <f t="shared" si="23"/>
        <v/>
      </c>
      <c r="U391" s="349"/>
      <c r="V391" s="385"/>
      <c r="W391" s="385"/>
      <c r="X391" s="386"/>
    </row>
    <row r="392" spans="2:24">
      <c r="B392" s="395"/>
      <c r="C392" s="371"/>
      <c r="D392" s="372" t="str">
        <f>IFERROR(INDEX('[11]Equipment List'!$B$2:$B$2038,MATCH(E392,'[11]Equipment List'!$A$2:$A$2038,0)),"")</f>
        <v/>
      </c>
      <c r="E392" s="388"/>
      <c r="F392" s="374"/>
      <c r="G392" s="375"/>
      <c r="H392" s="397"/>
      <c r="I392" s="377"/>
      <c r="J392" s="378"/>
      <c r="K392" s="379"/>
      <c r="L392" s="387"/>
      <c r="M392" s="380" t="str">
        <f t="array" ref="M392">IF(L392="","",(MAX(IF(AN$15:AN$144=B392,AO$15:AO$144))/60))</f>
        <v/>
      </c>
      <c r="N392" s="387"/>
      <c r="O392" s="387"/>
      <c r="P392" s="381" t="str">
        <f t="shared" si="21"/>
        <v/>
      </c>
      <c r="Q392" s="382" t="str">
        <f t="array" ref="Q392">IFERROR(INDEX($D$13:$D$1000,MATCH(0,COUNTIF($Q$12:Q391,$D$13:$D$1000&amp;"")+IF($D$13:$D$1000="",1,0),0)),"")</f>
        <v/>
      </c>
      <c r="R392" s="356" t="str">
        <f t="shared" si="22"/>
        <v/>
      </c>
      <c r="S392" s="383" t="str">
        <f t="shared" si="24"/>
        <v/>
      </c>
      <c r="T392" s="384" t="str">
        <f t="shared" si="23"/>
        <v/>
      </c>
      <c r="U392" s="349"/>
      <c r="V392" s="385"/>
      <c r="W392" s="385"/>
      <c r="X392" s="386"/>
    </row>
    <row r="393" spans="2:24">
      <c r="B393" s="395"/>
      <c r="C393" s="371"/>
      <c r="D393" s="372" t="str">
        <f>IFERROR(INDEX('[11]Equipment List'!$B$2:$B$2038,MATCH(E393,'[11]Equipment List'!$A$2:$A$2038,0)),"")</f>
        <v/>
      </c>
      <c r="E393" s="388"/>
      <c r="F393" s="374"/>
      <c r="G393" s="375"/>
      <c r="H393" s="397"/>
      <c r="I393" s="377"/>
      <c r="J393" s="378"/>
      <c r="K393" s="379"/>
      <c r="L393" s="387"/>
      <c r="M393" s="380" t="str">
        <f t="array" ref="M393">IF(L393="","",(MAX(IF(AN$15:AN$144=B393,AO$15:AO$144))/60))</f>
        <v/>
      </c>
      <c r="N393" s="387"/>
      <c r="O393" s="387"/>
      <c r="P393" s="381" t="str">
        <f t="shared" si="21"/>
        <v/>
      </c>
      <c r="Q393" s="382" t="str">
        <f t="array" ref="Q393">IFERROR(INDEX($D$13:$D$1000,MATCH(0,COUNTIF($Q$12:Q392,$D$13:$D$1000&amp;"")+IF($D$13:$D$1000="",1,0),0)),"")</f>
        <v/>
      </c>
      <c r="R393" s="356" t="str">
        <f t="shared" si="22"/>
        <v/>
      </c>
      <c r="S393" s="383" t="str">
        <f t="shared" si="24"/>
        <v/>
      </c>
      <c r="T393" s="384" t="str">
        <f t="shared" si="23"/>
        <v/>
      </c>
      <c r="U393" s="349"/>
      <c r="V393" s="385"/>
      <c r="W393" s="385"/>
      <c r="X393" s="386"/>
    </row>
    <row r="394" spans="2:24">
      <c r="B394" s="395"/>
      <c r="C394" s="371"/>
      <c r="D394" s="372" t="str">
        <f>IFERROR(INDEX('[11]Equipment List'!$B$2:$B$2038,MATCH(E394,'[11]Equipment List'!$A$2:$A$2038,0)),"")</f>
        <v/>
      </c>
      <c r="E394" s="388"/>
      <c r="F394" s="374"/>
      <c r="G394" s="375"/>
      <c r="H394" s="397"/>
      <c r="I394" s="377"/>
      <c r="J394" s="378"/>
      <c r="K394" s="379"/>
      <c r="L394" s="387"/>
      <c r="M394" s="380" t="str">
        <f t="array" ref="M394">IF(L394="","",(MAX(IF(AN$15:AN$144=B394,AO$15:AO$144))/60))</f>
        <v/>
      </c>
      <c r="N394" s="387"/>
      <c r="O394" s="387"/>
      <c r="P394" s="381" t="str">
        <f t="shared" si="21"/>
        <v/>
      </c>
      <c r="Q394" s="382" t="str">
        <f t="array" ref="Q394">IFERROR(INDEX($D$13:$D$1000,MATCH(0,COUNTIF($Q$12:Q393,$D$13:$D$1000&amp;"")+IF($D$13:$D$1000="",1,0),0)),"")</f>
        <v/>
      </c>
      <c r="R394" s="356" t="str">
        <f t="shared" si="22"/>
        <v/>
      </c>
      <c r="S394" s="383" t="str">
        <f t="shared" si="24"/>
        <v/>
      </c>
      <c r="T394" s="384" t="str">
        <f t="shared" si="23"/>
        <v/>
      </c>
      <c r="U394" s="349"/>
      <c r="V394" s="385"/>
      <c r="W394" s="385"/>
      <c r="X394" s="386"/>
    </row>
    <row r="395" spans="2:24">
      <c r="B395" s="395"/>
      <c r="C395" s="371"/>
      <c r="D395" s="372" t="str">
        <f>IFERROR(INDEX('[11]Equipment List'!$B$2:$B$2038,MATCH(E395,'[11]Equipment List'!$A$2:$A$2038,0)),"")</f>
        <v/>
      </c>
      <c r="E395" s="388"/>
      <c r="F395" s="374"/>
      <c r="G395" s="375"/>
      <c r="H395" s="397"/>
      <c r="I395" s="377"/>
      <c r="J395" s="378"/>
      <c r="K395" s="379"/>
      <c r="L395" s="387"/>
      <c r="M395" s="380" t="str">
        <f t="array" ref="M395">IF(L395="","",(MAX(IF(AN$15:AN$144=B395,AO$15:AO$144))/60))</f>
        <v/>
      </c>
      <c r="N395" s="387"/>
      <c r="O395" s="387"/>
      <c r="P395" s="381" t="str">
        <f t="shared" si="21"/>
        <v/>
      </c>
      <c r="Q395" s="382" t="str">
        <f t="array" ref="Q395">IFERROR(INDEX($D$13:$D$1000,MATCH(0,COUNTIF($Q$12:Q394,$D$13:$D$1000&amp;"")+IF($D$13:$D$1000="",1,0),0)),"")</f>
        <v/>
      </c>
      <c r="R395" s="356" t="str">
        <f t="shared" si="22"/>
        <v/>
      </c>
      <c r="S395" s="383" t="str">
        <f t="shared" si="24"/>
        <v/>
      </c>
      <c r="T395" s="384" t="str">
        <f t="shared" si="23"/>
        <v/>
      </c>
      <c r="U395" s="349"/>
      <c r="V395" s="385"/>
      <c r="W395" s="385"/>
      <c r="X395" s="386"/>
    </row>
    <row r="396" spans="2:24">
      <c r="B396" s="395"/>
      <c r="C396" s="371"/>
      <c r="D396" s="372" t="str">
        <f>IFERROR(INDEX('[11]Equipment List'!$B$2:$B$2038,MATCH(E396,'[11]Equipment List'!$A$2:$A$2038,0)),"")</f>
        <v/>
      </c>
      <c r="E396" s="388"/>
      <c r="F396" s="374"/>
      <c r="G396" s="375"/>
      <c r="H396" s="397"/>
      <c r="I396" s="377"/>
      <c r="J396" s="378"/>
      <c r="K396" s="379"/>
      <c r="L396" s="387"/>
      <c r="M396" s="380" t="str">
        <f t="array" ref="M396">IF(L396="","",(MAX(IF(AN$15:AN$144=B396,AO$15:AO$144))/60))</f>
        <v/>
      </c>
      <c r="N396" s="387"/>
      <c r="O396" s="387"/>
      <c r="P396" s="381" t="str">
        <f t="shared" ref="P396:P459" si="25">IFERROR((((K396/5/250/$F$8)+(N396*$F$9))/$S$4)*(M396/60),"")</f>
        <v/>
      </c>
      <c r="Q396" s="382" t="str">
        <f t="array" ref="Q396">IFERROR(INDEX($D$13:$D$1000,MATCH(0,COUNTIF($Q$12:Q395,$D$13:$D$1000&amp;"")+IF($D$13:$D$1000="",1,0),0)),"")</f>
        <v/>
      </c>
      <c r="R396" s="356" t="str">
        <f t="shared" si="22"/>
        <v/>
      </c>
      <c r="S396" s="383" t="str">
        <f t="shared" si="24"/>
        <v/>
      </c>
      <c r="T396" s="384" t="str">
        <f t="shared" si="23"/>
        <v/>
      </c>
      <c r="U396" s="349"/>
      <c r="V396" s="385"/>
      <c r="W396" s="385"/>
      <c r="X396" s="386"/>
    </row>
    <row r="397" spans="2:24">
      <c r="B397" s="395"/>
      <c r="C397" s="371"/>
      <c r="D397" s="372" t="str">
        <f>IFERROR(INDEX('[11]Equipment List'!$B$2:$B$2038,MATCH(E397,'[11]Equipment List'!$A$2:$A$2038,0)),"")</f>
        <v/>
      </c>
      <c r="E397" s="388"/>
      <c r="F397" s="374"/>
      <c r="G397" s="375"/>
      <c r="H397" s="397"/>
      <c r="I397" s="377"/>
      <c r="J397" s="378"/>
      <c r="K397" s="379"/>
      <c r="L397" s="387"/>
      <c r="M397" s="380" t="str">
        <f t="array" ref="M397">IF(L397="","",(MAX(IF(AN$15:AN$144=B397,AO$15:AO$144))/60))</f>
        <v/>
      </c>
      <c r="N397" s="387"/>
      <c r="O397" s="387"/>
      <c r="P397" s="381" t="str">
        <f t="shared" si="25"/>
        <v/>
      </c>
      <c r="Q397" s="382" t="str">
        <f t="array" ref="Q397">IFERROR(INDEX($D$13:$D$1000,MATCH(0,COUNTIF($Q$12:Q396,$D$13:$D$1000&amp;"")+IF($D$13:$D$1000="",1,0),0)),"")</f>
        <v/>
      </c>
      <c r="R397" s="356" t="str">
        <f t="shared" ref="R397:R460" si="26">IF(Q397="","",COUNTIF($D$13:$D$1000,$Q397))</f>
        <v/>
      </c>
      <c r="S397" s="383" t="str">
        <f t="shared" si="24"/>
        <v/>
      </c>
      <c r="T397" s="384" t="str">
        <f t="shared" ref="T397:T460" si="27">IF($Q397="","",SUMIF($D$13:$D$1000,$Q397,N$13:N$1000))</f>
        <v/>
      </c>
      <c r="U397" s="349"/>
      <c r="V397" s="385"/>
      <c r="W397" s="385"/>
      <c r="X397" s="386"/>
    </row>
    <row r="398" spans="2:24">
      <c r="B398" s="395"/>
      <c r="C398" s="371"/>
      <c r="D398" s="372" t="str">
        <f>IFERROR(INDEX('[11]Equipment List'!$B$2:$B$2038,MATCH(E398,'[11]Equipment List'!$A$2:$A$2038,0)),"")</f>
        <v/>
      </c>
      <c r="E398" s="388"/>
      <c r="F398" s="374"/>
      <c r="G398" s="375"/>
      <c r="H398" s="397"/>
      <c r="I398" s="377"/>
      <c r="J398" s="378"/>
      <c r="K398" s="379"/>
      <c r="L398" s="387"/>
      <c r="M398" s="380" t="str">
        <f t="array" ref="M398">IF(L398="","",(MAX(IF(AN$15:AN$144=B398,AO$15:AO$144))/60))</f>
        <v/>
      </c>
      <c r="N398" s="387"/>
      <c r="O398" s="387"/>
      <c r="P398" s="381" t="str">
        <f t="shared" si="25"/>
        <v/>
      </c>
      <c r="Q398" s="382" t="str">
        <f t="array" ref="Q398">IFERROR(INDEX($D$13:$D$1000,MATCH(0,COUNTIF($Q$12:Q397,$D$13:$D$1000&amp;"")+IF($D$13:$D$1000="",1,0),0)),"")</f>
        <v/>
      </c>
      <c r="R398" s="356" t="str">
        <f t="shared" si="26"/>
        <v/>
      </c>
      <c r="S398" s="383" t="str">
        <f t="shared" si="24"/>
        <v/>
      </c>
      <c r="T398" s="384" t="str">
        <f t="shared" si="27"/>
        <v/>
      </c>
      <c r="U398" s="349"/>
      <c r="V398" s="385"/>
      <c r="W398" s="385"/>
      <c r="X398" s="386"/>
    </row>
    <row r="399" spans="2:24">
      <c r="B399" s="395"/>
      <c r="C399" s="371"/>
      <c r="D399" s="372" t="str">
        <f>IFERROR(INDEX('[11]Equipment List'!$B$2:$B$2038,MATCH(E399,'[11]Equipment List'!$A$2:$A$2038,0)),"")</f>
        <v/>
      </c>
      <c r="E399" s="388"/>
      <c r="F399" s="374"/>
      <c r="G399" s="375"/>
      <c r="H399" s="397"/>
      <c r="I399" s="377"/>
      <c r="J399" s="378"/>
      <c r="K399" s="379"/>
      <c r="L399" s="387"/>
      <c r="M399" s="380" t="str">
        <f t="array" ref="M399">IF(L399="","",(MAX(IF(AN$15:AN$144=B399,AO$15:AO$144))/60))</f>
        <v/>
      </c>
      <c r="N399" s="387"/>
      <c r="O399" s="387"/>
      <c r="P399" s="381" t="str">
        <f t="shared" si="25"/>
        <v/>
      </c>
      <c r="Q399" s="382" t="str">
        <f t="array" ref="Q399">IFERROR(INDEX($D$13:$D$1000,MATCH(0,COUNTIF($Q$12:Q398,$D$13:$D$1000&amp;"")+IF($D$13:$D$1000="",1,0),0)),"")</f>
        <v/>
      </c>
      <c r="R399" s="356" t="str">
        <f t="shared" si="26"/>
        <v/>
      </c>
      <c r="S399" s="383" t="str">
        <f t="shared" si="24"/>
        <v/>
      </c>
      <c r="T399" s="384" t="str">
        <f t="shared" si="27"/>
        <v/>
      </c>
      <c r="U399" s="349"/>
      <c r="V399" s="385"/>
      <c r="W399" s="385"/>
      <c r="X399" s="386"/>
    </row>
    <row r="400" spans="2:24">
      <c r="B400" s="395"/>
      <c r="C400" s="371"/>
      <c r="D400" s="372" t="str">
        <f>IFERROR(INDEX('[11]Equipment List'!$B$2:$B$2038,MATCH(E400,'[11]Equipment List'!$A$2:$A$2038,0)),"")</f>
        <v/>
      </c>
      <c r="E400" s="388"/>
      <c r="F400" s="374"/>
      <c r="G400" s="375"/>
      <c r="H400" s="397"/>
      <c r="I400" s="377"/>
      <c r="J400" s="378"/>
      <c r="K400" s="379"/>
      <c r="L400" s="387"/>
      <c r="M400" s="380" t="str">
        <f t="array" ref="M400">IF(L400="","",(MAX(IF(AN$15:AN$144=B400,AO$15:AO$144))/60))</f>
        <v/>
      </c>
      <c r="N400" s="387"/>
      <c r="O400" s="387"/>
      <c r="P400" s="381" t="str">
        <f t="shared" si="25"/>
        <v/>
      </c>
      <c r="Q400" s="382" t="str">
        <f t="array" ref="Q400">IFERROR(INDEX($D$13:$D$1000,MATCH(0,COUNTIF($Q$12:Q399,$D$13:$D$1000&amp;"")+IF($D$13:$D$1000="",1,0),0)),"")</f>
        <v/>
      </c>
      <c r="R400" s="356" t="str">
        <f t="shared" si="26"/>
        <v/>
      </c>
      <c r="S400" s="383" t="str">
        <f t="shared" si="24"/>
        <v/>
      </c>
      <c r="T400" s="384" t="str">
        <f t="shared" si="27"/>
        <v/>
      </c>
      <c r="U400" s="349"/>
      <c r="V400" s="385"/>
      <c r="W400" s="385"/>
      <c r="X400" s="386"/>
    </row>
    <row r="401" spans="2:24">
      <c r="B401" s="395"/>
      <c r="C401" s="371"/>
      <c r="D401" s="372" t="str">
        <f>IFERROR(INDEX('[11]Equipment List'!$B$2:$B$2038,MATCH(E401,'[11]Equipment List'!$A$2:$A$2038,0)),"")</f>
        <v/>
      </c>
      <c r="E401" s="388"/>
      <c r="F401" s="374"/>
      <c r="G401" s="375"/>
      <c r="H401" s="397"/>
      <c r="I401" s="377"/>
      <c r="J401" s="378"/>
      <c r="K401" s="379"/>
      <c r="L401" s="387"/>
      <c r="M401" s="380" t="str">
        <f t="array" ref="M401">IF(L401="","",(MAX(IF(AN$15:AN$144=B401,AO$15:AO$144))/60))</f>
        <v/>
      </c>
      <c r="N401" s="387"/>
      <c r="O401" s="387"/>
      <c r="P401" s="381" t="str">
        <f t="shared" si="25"/>
        <v/>
      </c>
      <c r="Q401" s="382" t="str">
        <f t="array" ref="Q401">IFERROR(INDEX($D$13:$D$1000,MATCH(0,COUNTIF($Q$12:Q400,$D$13:$D$1000&amp;"")+IF($D$13:$D$1000="",1,0),0)),"")</f>
        <v/>
      </c>
      <c r="R401" s="356" t="str">
        <f t="shared" si="26"/>
        <v/>
      </c>
      <c r="S401" s="383" t="str">
        <f t="shared" si="24"/>
        <v/>
      </c>
      <c r="T401" s="384" t="str">
        <f t="shared" si="27"/>
        <v/>
      </c>
      <c r="U401" s="349"/>
      <c r="V401" s="385"/>
      <c r="W401" s="385"/>
      <c r="X401" s="386"/>
    </row>
    <row r="402" spans="2:24">
      <c r="B402" s="395"/>
      <c r="C402" s="371"/>
      <c r="D402" s="372" t="str">
        <f>IFERROR(INDEX('[11]Equipment List'!$B$2:$B$2038,MATCH(E402,'[11]Equipment List'!$A$2:$A$2038,0)),"")</f>
        <v/>
      </c>
      <c r="E402" s="388"/>
      <c r="F402" s="374"/>
      <c r="G402" s="375"/>
      <c r="H402" s="397"/>
      <c r="I402" s="377"/>
      <c r="J402" s="378"/>
      <c r="K402" s="379"/>
      <c r="L402" s="387"/>
      <c r="M402" s="380" t="str">
        <f t="array" ref="M402">IF(L402="","",(MAX(IF(AN$15:AN$144=B402,AO$15:AO$144))/60))</f>
        <v/>
      </c>
      <c r="N402" s="387"/>
      <c r="O402" s="387"/>
      <c r="P402" s="381" t="str">
        <f t="shared" si="25"/>
        <v/>
      </c>
      <c r="Q402" s="382" t="str">
        <f t="array" ref="Q402">IFERROR(INDEX($D$13:$D$1000,MATCH(0,COUNTIF($Q$12:Q401,$D$13:$D$1000&amp;"")+IF($D$13:$D$1000="",1,0),0)),"")</f>
        <v/>
      </c>
      <c r="R402" s="356" t="str">
        <f t="shared" si="26"/>
        <v/>
      </c>
      <c r="S402" s="383" t="str">
        <f t="shared" si="24"/>
        <v/>
      </c>
      <c r="T402" s="384" t="str">
        <f t="shared" si="27"/>
        <v/>
      </c>
      <c r="U402" s="349"/>
      <c r="V402" s="385"/>
      <c r="W402" s="385"/>
      <c r="X402" s="386"/>
    </row>
    <row r="403" spans="2:24">
      <c r="B403" s="395"/>
      <c r="C403" s="371"/>
      <c r="D403" s="372" t="str">
        <f>IFERROR(INDEX('[11]Equipment List'!$B$2:$B$2038,MATCH(E403,'[11]Equipment List'!$A$2:$A$2038,0)),"")</f>
        <v/>
      </c>
      <c r="E403" s="388"/>
      <c r="F403" s="374"/>
      <c r="G403" s="375"/>
      <c r="H403" s="397"/>
      <c r="I403" s="377"/>
      <c r="J403" s="378"/>
      <c r="K403" s="379"/>
      <c r="L403" s="387"/>
      <c r="M403" s="380" t="str">
        <f t="array" ref="M403">IF(L403="","",(MAX(IF(AN$15:AN$144=B403,AO$15:AO$144))/60))</f>
        <v/>
      </c>
      <c r="N403" s="387"/>
      <c r="O403" s="387"/>
      <c r="P403" s="381" t="str">
        <f t="shared" si="25"/>
        <v/>
      </c>
      <c r="Q403" s="382" t="str">
        <f t="array" ref="Q403">IFERROR(INDEX($D$13:$D$1000,MATCH(0,COUNTIF($Q$13:Q402,$D$13:$D$1000&amp;"")+IF($D$13:$D$1000="",1,0),0)),"")</f>
        <v/>
      </c>
      <c r="R403" s="356" t="str">
        <f t="shared" si="26"/>
        <v/>
      </c>
      <c r="S403" s="383" t="str">
        <f t="shared" si="24"/>
        <v/>
      </c>
      <c r="T403" s="384" t="str">
        <f t="shared" si="27"/>
        <v/>
      </c>
      <c r="U403" s="349"/>
      <c r="V403" s="385"/>
      <c r="W403" s="385"/>
      <c r="X403" s="386"/>
    </row>
    <row r="404" spans="2:24">
      <c r="B404" s="395"/>
      <c r="C404" s="371"/>
      <c r="D404" s="372" t="str">
        <f>IFERROR(INDEX('[11]Equipment List'!$B$2:$B$2038,MATCH(E404,'[11]Equipment List'!$A$2:$A$2038,0)),"")</f>
        <v/>
      </c>
      <c r="E404" s="388"/>
      <c r="F404" s="374"/>
      <c r="G404" s="375"/>
      <c r="H404" s="397"/>
      <c r="I404" s="377"/>
      <c r="J404" s="378"/>
      <c r="K404" s="379"/>
      <c r="L404" s="387"/>
      <c r="M404" s="380" t="str">
        <f t="array" ref="M404">IF(L404="","",(MAX(IF(AN$15:AN$144=B404,AO$15:AO$144))/60))</f>
        <v/>
      </c>
      <c r="N404" s="387"/>
      <c r="O404" s="387"/>
      <c r="P404" s="381" t="str">
        <f t="shared" si="25"/>
        <v/>
      </c>
      <c r="Q404" s="382" t="str">
        <f t="array" ref="Q404">IFERROR(INDEX($D$13:$D$1000,MATCH(0,COUNTIF($Q$13:Q403,$D$13:$D$1000&amp;"")+IF($D$13:$D$1000="",1,0),0)),"")</f>
        <v/>
      </c>
      <c r="R404" s="356" t="str">
        <f t="shared" si="26"/>
        <v/>
      </c>
      <c r="S404" s="383" t="str">
        <f t="shared" si="24"/>
        <v/>
      </c>
      <c r="T404" s="384" t="str">
        <f t="shared" si="27"/>
        <v/>
      </c>
      <c r="U404" s="349"/>
      <c r="V404" s="385"/>
      <c r="W404" s="385"/>
      <c r="X404" s="386"/>
    </row>
    <row r="405" spans="2:24">
      <c r="B405" s="395"/>
      <c r="C405" s="371"/>
      <c r="D405" s="372" t="str">
        <f>IFERROR(INDEX('[11]Equipment List'!$B$2:$B$2038,MATCH(E405,'[11]Equipment List'!$A$2:$A$2038,0)),"")</f>
        <v/>
      </c>
      <c r="E405" s="388"/>
      <c r="F405" s="374"/>
      <c r="G405" s="375"/>
      <c r="H405" s="397"/>
      <c r="I405" s="377"/>
      <c r="J405" s="378"/>
      <c r="K405" s="379"/>
      <c r="L405" s="387"/>
      <c r="M405" s="380" t="str">
        <f t="array" ref="M405">IF(L405="","",(MAX(IF(AN$15:AN$144=B405,AO$15:AO$144))/60))</f>
        <v/>
      </c>
      <c r="N405" s="387"/>
      <c r="O405" s="387"/>
      <c r="P405" s="381" t="str">
        <f t="shared" si="25"/>
        <v/>
      </c>
      <c r="Q405" s="382" t="str">
        <f t="array" ref="Q405">IFERROR(INDEX($D$13:$D$1000,MATCH(0,COUNTIF($Q$13:Q404,$D$13:$D$1000&amp;"")+IF($D$13:$D$1000="",1,0),0)),"")</f>
        <v/>
      </c>
      <c r="R405" s="356" t="str">
        <f t="shared" si="26"/>
        <v/>
      </c>
      <c r="S405" s="383" t="str">
        <f t="shared" si="24"/>
        <v/>
      </c>
      <c r="T405" s="384" t="str">
        <f t="shared" si="27"/>
        <v/>
      </c>
      <c r="U405" s="349"/>
      <c r="V405" s="385"/>
      <c r="W405" s="385"/>
      <c r="X405" s="386"/>
    </row>
    <row r="406" spans="2:24">
      <c r="B406" s="395"/>
      <c r="C406" s="371"/>
      <c r="D406" s="372" t="str">
        <f>IFERROR(INDEX('[11]Equipment List'!$B$2:$B$2038,MATCH(E406,'[11]Equipment List'!$A$2:$A$2038,0)),"")</f>
        <v/>
      </c>
      <c r="E406" s="388"/>
      <c r="F406" s="374"/>
      <c r="G406" s="375"/>
      <c r="H406" s="397"/>
      <c r="I406" s="377"/>
      <c r="J406" s="378"/>
      <c r="K406" s="379"/>
      <c r="L406" s="387"/>
      <c r="M406" s="380" t="str">
        <f t="array" ref="M406">IF(L406="","",(MAX(IF(AN$15:AN$144=B406,AO$15:AO$144))/60))</f>
        <v/>
      </c>
      <c r="N406" s="387"/>
      <c r="O406" s="387"/>
      <c r="P406" s="381" t="str">
        <f t="shared" si="25"/>
        <v/>
      </c>
      <c r="Q406" s="382" t="str">
        <f t="array" ref="Q406">IFERROR(INDEX($D$13:$D$1000,MATCH(0,COUNTIF($Q$13:Q405,$D$13:$D$1000&amp;"")+IF($D$13:$D$1000="",1,0),0)),"")</f>
        <v/>
      </c>
      <c r="R406" s="356" t="str">
        <f t="shared" si="26"/>
        <v/>
      </c>
      <c r="S406" s="383" t="str">
        <f t="shared" si="24"/>
        <v/>
      </c>
      <c r="T406" s="384" t="str">
        <f t="shared" si="27"/>
        <v/>
      </c>
      <c r="U406" s="349"/>
      <c r="V406" s="385"/>
      <c r="W406" s="385"/>
      <c r="X406" s="386"/>
    </row>
    <row r="407" spans="2:24">
      <c r="B407" s="395"/>
      <c r="C407" s="371"/>
      <c r="D407" s="372" t="str">
        <f>IFERROR(INDEX('[11]Equipment List'!$B$2:$B$2038,MATCH(E407,'[11]Equipment List'!$A$2:$A$2038,0)),"")</f>
        <v/>
      </c>
      <c r="E407" s="388"/>
      <c r="F407" s="374"/>
      <c r="G407" s="375"/>
      <c r="H407" s="397"/>
      <c r="I407" s="377"/>
      <c r="J407" s="378"/>
      <c r="K407" s="379"/>
      <c r="L407" s="387"/>
      <c r="M407" s="380" t="str">
        <f t="array" ref="M407">IF(L407="","",(MAX(IF(AN$15:AN$144=B407,AO$15:AO$144))/60))</f>
        <v/>
      </c>
      <c r="N407" s="387"/>
      <c r="O407" s="387"/>
      <c r="P407" s="381" t="str">
        <f t="shared" si="25"/>
        <v/>
      </c>
      <c r="Q407" s="382" t="str">
        <f t="array" ref="Q407">IFERROR(INDEX($D$13:$D$1000,MATCH(0,COUNTIF($Q$13:Q406,$D$13:$D$1000&amp;"")+IF($D$13:$D$1000="",1,0),0)),"")</f>
        <v/>
      </c>
      <c r="R407" s="356" t="str">
        <f t="shared" si="26"/>
        <v/>
      </c>
      <c r="S407" s="383" t="str">
        <f t="shared" si="24"/>
        <v/>
      </c>
      <c r="T407" s="384" t="str">
        <f t="shared" si="27"/>
        <v/>
      </c>
      <c r="U407" s="349"/>
      <c r="V407" s="385"/>
      <c r="W407" s="385"/>
      <c r="X407" s="386"/>
    </row>
    <row r="408" spans="2:24">
      <c r="B408" s="395"/>
      <c r="C408" s="371"/>
      <c r="D408" s="372" t="str">
        <f>IFERROR(INDEX('[11]Equipment List'!$B$2:$B$2038,MATCH(E408,'[11]Equipment List'!$A$2:$A$2038,0)),"")</f>
        <v/>
      </c>
      <c r="E408" s="388"/>
      <c r="F408" s="374"/>
      <c r="G408" s="375"/>
      <c r="H408" s="397"/>
      <c r="I408" s="377"/>
      <c r="J408" s="378"/>
      <c r="K408" s="379"/>
      <c r="L408" s="387"/>
      <c r="M408" s="380" t="str">
        <f t="array" ref="M408">IF(L408="","",(MAX(IF(AN$15:AN$144=B408,AO$15:AO$144))/60))</f>
        <v/>
      </c>
      <c r="N408" s="387"/>
      <c r="O408" s="387"/>
      <c r="P408" s="381" t="str">
        <f t="shared" si="25"/>
        <v/>
      </c>
      <c r="Q408" s="382" t="str">
        <f t="array" ref="Q408">IFERROR(INDEX($D$13:$D$1000,MATCH(0,COUNTIF($Q$13:Q407,$D$13:$D$1000&amp;"")+IF($D$13:$D$1000="",1,0),0)),"")</f>
        <v/>
      </c>
      <c r="R408" s="356" t="str">
        <f t="shared" si="26"/>
        <v/>
      </c>
      <c r="S408" s="383" t="str">
        <f t="shared" si="24"/>
        <v/>
      </c>
      <c r="T408" s="384" t="str">
        <f t="shared" si="27"/>
        <v/>
      </c>
      <c r="U408" s="349"/>
      <c r="V408" s="385"/>
      <c r="W408" s="385"/>
      <c r="X408" s="386"/>
    </row>
    <row r="409" spans="2:24">
      <c r="B409" s="395"/>
      <c r="C409" s="371"/>
      <c r="D409" s="372" t="str">
        <f>IFERROR(INDEX('[11]Equipment List'!$B$2:$B$2038,MATCH(E409,'[11]Equipment List'!$A$2:$A$2038,0)),"")</f>
        <v/>
      </c>
      <c r="E409" s="388"/>
      <c r="F409" s="374"/>
      <c r="G409" s="375"/>
      <c r="H409" s="397"/>
      <c r="I409" s="377"/>
      <c r="J409" s="378"/>
      <c r="K409" s="379"/>
      <c r="L409" s="387"/>
      <c r="M409" s="380" t="str">
        <f t="array" ref="M409">IF(L409="","",(MAX(IF(AN$15:AN$144=B409,AO$15:AO$144))/60))</f>
        <v/>
      </c>
      <c r="N409" s="387"/>
      <c r="O409" s="387"/>
      <c r="P409" s="381" t="str">
        <f t="shared" si="25"/>
        <v/>
      </c>
      <c r="Q409" s="382" t="str">
        <f t="array" ref="Q409">IFERROR(INDEX($D$13:$D$1000,MATCH(0,COUNTIF($Q$13:Q408,$D$13:$D$1000&amp;"")+IF($D$13:$D$1000="",1,0),0)),"")</f>
        <v/>
      </c>
      <c r="R409" s="356" t="str">
        <f t="shared" si="26"/>
        <v/>
      </c>
      <c r="S409" s="383" t="str">
        <f t="shared" si="24"/>
        <v/>
      </c>
      <c r="T409" s="384" t="str">
        <f t="shared" si="27"/>
        <v/>
      </c>
      <c r="U409" s="349"/>
      <c r="V409" s="385"/>
      <c r="W409" s="385"/>
      <c r="X409" s="386"/>
    </row>
    <row r="410" spans="2:24">
      <c r="B410" s="395"/>
      <c r="C410" s="371"/>
      <c r="D410" s="372" t="str">
        <f>IFERROR(INDEX('[11]Equipment List'!$B$2:$B$2038,MATCH(E410,'[11]Equipment List'!$A$2:$A$2038,0)),"")</f>
        <v/>
      </c>
      <c r="E410" s="388"/>
      <c r="F410" s="374"/>
      <c r="G410" s="375"/>
      <c r="H410" s="397"/>
      <c r="I410" s="377"/>
      <c r="J410" s="378"/>
      <c r="K410" s="379"/>
      <c r="L410" s="387"/>
      <c r="M410" s="380" t="str">
        <f t="array" ref="M410">IF(L410="","",(MAX(IF(AN$15:AN$144=B410,AO$15:AO$144))/60))</f>
        <v/>
      </c>
      <c r="N410" s="387"/>
      <c r="O410" s="387"/>
      <c r="P410" s="381" t="str">
        <f t="shared" si="25"/>
        <v/>
      </c>
      <c r="Q410" s="382" t="str">
        <f t="array" ref="Q410">IFERROR(INDEX($D$13:$D$1000,MATCH(0,COUNTIF($Q$13:Q409,$D$13:$D$1000&amp;"")+IF($D$13:$D$1000="",1,0),0)),"")</f>
        <v/>
      </c>
      <c r="R410" s="356" t="str">
        <f t="shared" si="26"/>
        <v/>
      </c>
      <c r="S410" s="383" t="str">
        <f t="shared" si="24"/>
        <v/>
      </c>
      <c r="T410" s="384" t="str">
        <f t="shared" si="27"/>
        <v/>
      </c>
      <c r="U410" s="349"/>
      <c r="V410" s="385"/>
      <c r="W410" s="385"/>
      <c r="X410" s="386"/>
    </row>
    <row r="411" spans="2:24">
      <c r="B411" s="395"/>
      <c r="C411" s="371"/>
      <c r="D411" s="372" t="str">
        <f>IFERROR(INDEX('[11]Equipment List'!$B$2:$B$2038,MATCH(E411,'[11]Equipment List'!$A$2:$A$2038,0)),"")</f>
        <v/>
      </c>
      <c r="E411" s="388"/>
      <c r="F411" s="374"/>
      <c r="G411" s="375"/>
      <c r="H411" s="397"/>
      <c r="I411" s="377"/>
      <c r="J411" s="378"/>
      <c r="K411" s="379"/>
      <c r="L411" s="387"/>
      <c r="M411" s="380" t="str">
        <f t="array" ref="M411">IF(L411="","",(MAX(IF(AN$15:AN$144=B411,AO$15:AO$144))/60))</f>
        <v/>
      </c>
      <c r="N411" s="387"/>
      <c r="O411" s="387"/>
      <c r="P411" s="381" t="str">
        <f t="shared" si="25"/>
        <v/>
      </c>
      <c r="Q411" s="382" t="str">
        <f t="array" ref="Q411">IFERROR(INDEX($D$13:$D$1000,MATCH(0,COUNTIF($Q$13:Q410,$D$13:$D$1000&amp;"")+IF($D$13:$D$1000="",1,0),0)),"")</f>
        <v/>
      </c>
      <c r="R411" s="356" t="str">
        <f t="shared" si="26"/>
        <v/>
      </c>
      <c r="S411" s="383" t="str">
        <f t="shared" si="24"/>
        <v/>
      </c>
      <c r="T411" s="384" t="str">
        <f t="shared" si="27"/>
        <v/>
      </c>
      <c r="U411" s="349"/>
      <c r="V411" s="385"/>
      <c r="W411" s="385"/>
      <c r="X411" s="386"/>
    </row>
    <row r="412" spans="2:24">
      <c r="B412" s="395"/>
      <c r="C412" s="371"/>
      <c r="D412" s="372" t="str">
        <f>IFERROR(INDEX('[11]Equipment List'!$B$2:$B$2038,MATCH(E412,'[11]Equipment List'!$A$2:$A$2038,0)),"")</f>
        <v/>
      </c>
      <c r="E412" s="388"/>
      <c r="F412" s="374"/>
      <c r="G412" s="375"/>
      <c r="H412" s="397"/>
      <c r="I412" s="377"/>
      <c r="J412" s="378"/>
      <c r="K412" s="379"/>
      <c r="L412" s="387"/>
      <c r="M412" s="380" t="str">
        <f t="array" ref="M412">IF(L412="","",(MAX(IF(AN$15:AN$144=B412,AO$15:AO$144))/60))</f>
        <v/>
      </c>
      <c r="N412" s="387"/>
      <c r="O412" s="387"/>
      <c r="P412" s="381" t="str">
        <f t="shared" si="25"/>
        <v/>
      </c>
      <c r="Q412" s="382" t="str">
        <f t="array" ref="Q412">IFERROR(INDEX($D$13:$D$1000,MATCH(0,COUNTIF($Q$13:Q411,$D$13:$D$1000&amp;"")+IF($D$13:$D$1000="",1,0),0)),"")</f>
        <v/>
      </c>
      <c r="R412" s="356" t="str">
        <f t="shared" si="26"/>
        <v/>
      </c>
      <c r="S412" s="383" t="str">
        <f t="shared" si="24"/>
        <v/>
      </c>
      <c r="T412" s="384" t="str">
        <f t="shared" si="27"/>
        <v/>
      </c>
      <c r="U412" s="349"/>
      <c r="V412" s="385"/>
      <c r="W412" s="385"/>
      <c r="X412" s="386"/>
    </row>
    <row r="413" spans="2:24">
      <c r="B413" s="395"/>
      <c r="C413" s="371"/>
      <c r="D413" s="372" t="str">
        <f>IFERROR(INDEX('[11]Equipment List'!$B$2:$B$2038,MATCH(E413,'[11]Equipment List'!$A$2:$A$2038,0)),"")</f>
        <v/>
      </c>
      <c r="E413" s="388"/>
      <c r="F413" s="374"/>
      <c r="G413" s="375"/>
      <c r="H413" s="397"/>
      <c r="I413" s="377"/>
      <c r="J413" s="378"/>
      <c r="K413" s="379"/>
      <c r="L413" s="387"/>
      <c r="M413" s="380" t="str">
        <f t="array" ref="M413">IF(L413="","",(MAX(IF(AN$15:AN$144=B413,AO$15:AO$144))/60))</f>
        <v/>
      </c>
      <c r="N413" s="387"/>
      <c r="O413" s="387"/>
      <c r="P413" s="381" t="str">
        <f t="shared" si="25"/>
        <v/>
      </c>
      <c r="Q413" s="382" t="str">
        <f t="array" ref="Q413">IFERROR(INDEX($D$13:$D$1000,MATCH(0,COUNTIF($Q$13:Q412,$D$13:$D$1000&amp;"")+IF($D$13:$D$1000="",1,0),0)),"")</f>
        <v/>
      </c>
      <c r="R413" s="356" t="str">
        <f t="shared" si="26"/>
        <v/>
      </c>
      <c r="S413" s="383" t="str">
        <f t="shared" si="24"/>
        <v/>
      </c>
      <c r="T413" s="384" t="str">
        <f t="shared" si="27"/>
        <v/>
      </c>
      <c r="U413" s="349"/>
      <c r="V413" s="385"/>
      <c r="W413" s="385"/>
      <c r="X413" s="386"/>
    </row>
    <row r="414" spans="2:24">
      <c r="B414" s="395"/>
      <c r="C414" s="371"/>
      <c r="D414" s="372" t="str">
        <f>IFERROR(INDEX('[11]Equipment List'!$B$2:$B$2038,MATCH(E414,'[11]Equipment List'!$A$2:$A$2038,0)),"")</f>
        <v/>
      </c>
      <c r="E414" s="388"/>
      <c r="F414" s="374"/>
      <c r="G414" s="375"/>
      <c r="H414" s="397"/>
      <c r="I414" s="377"/>
      <c r="J414" s="378"/>
      <c r="K414" s="379"/>
      <c r="L414" s="387"/>
      <c r="M414" s="380" t="str">
        <f t="array" ref="M414">IF(L414="","",(MAX(IF(AN$15:AN$144=B414,AO$15:AO$144))/60))</f>
        <v/>
      </c>
      <c r="N414" s="387"/>
      <c r="O414" s="387"/>
      <c r="P414" s="381" t="str">
        <f t="shared" si="25"/>
        <v/>
      </c>
      <c r="Q414" s="382" t="str">
        <f t="array" ref="Q414">IFERROR(INDEX($D$13:$D$1000,MATCH(0,COUNTIF($Q$13:Q413,$D$13:$D$1000&amp;"")+IF($D$13:$D$1000="",1,0),0)),"")</f>
        <v/>
      </c>
      <c r="R414" s="356" t="str">
        <f t="shared" si="26"/>
        <v/>
      </c>
      <c r="S414" s="383" t="str">
        <f t="shared" si="24"/>
        <v/>
      </c>
      <c r="T414" s="384" t="str">
        <f t="shared" si="27"/>
        <v/>
      </c>
      <c r="U414" s="349"/>
      <c r="V414" s="385"/>
      <c r="W414" s="385"/>
      <c r="X414" s="386"/>
    </row>
    <row r="415" spans="2:24">
      <c r="B415" s="395"/>
      <c r="C415" s="371"/>
      <c r="D415" s="372" t="str">
        <f>IFERROR(INDEX('[11]Equipment List'!$B$2:$B$2038,MATCH(E415,'[11]Equipment List'!$A$2:$A$2038,0)),"")</f>
        <v/>
      </c>
      <c r="E415" s="388"/>
      <c r="F415" s="374"/>
      <c r="G415" s="375"/>
      <c r="H415" s="397"/>
      <c r="I415" s="377"/>
      <c r="J415" s="378"/>
      <c r="K415" s="379"/>
      <c r="L415" s="387"/>
      <c r="M415" s="380" t="str">
        <f t="array" ref="M415">IF(L415="","",(MAX(IF(AN$15:AN$144=B415,AO$15:AO$144))/60))</f>
        <v/>
      </c>
      <c r="N415" s="387"/>
      <c r="O415" s="387"/>
      <c r="P415" s="381" t="str">
        <f t="shared" si="25"/>
        <v/>
      </c>
      <c r="Q415" s="382" t="str">
        <f t="array" ref="Q415">IFERROR(INDEX($D$13:$D$1000,MATCH(0,COUNTIF($Q$13:Q414,$D$13:$D$1000&amp;"")+IF($D$13:$D$1000="",1,0),0)),"")</f>
        <v/>
      </c>
      <c r="R415" s="356" t="str">
        <f t="shared" si="26"/>
        <v/>
      </c>
      <c r="S415" s="383" t="str">
        <f t="shared" si="24"/>
        <v/>
      </c>
      <c r="T415" s="384" t="str">
        <f t="shared" si="27"/>
        <v/>
      </c>
      <c r="U415" s="349"/>
      <c r="V415" s="385"/>
      <c r="W415" s="385"/>
      <c r="X415" s="386"/>
    </row>
    <row r="416" spans="2:24">
      <c r="B416" s="395"/>
      <c r="C416" s="371"/>
      <c r="D416" s="372" t="str">
        <f>IFERROR(INDEX('[11]Equipment List'!$B$2:$B$2038,MATCH(E416,'[11]Equipment List'!$A$2:$A$2038,0)),"")</f>
        <v/>
      </c>
      <c r="E416" s="388"/>
      <c r="F416" s="374"/>
      <c r="G416" s="375"/>
      <c r="H416" s="397"/>
      <c r="I416" s="377"/>
      <c r="J416" s="378"/>
      <c r="K416" s="379"/>
      <c r="L416" s="387"/>
      <c r="M416" s="380" t="str">
        <f t="array" ref="M416">IF(L416="","",(MAX(IF(AN$15:AN$144=B416,AO$15:AO$144))/60))</f>
        <v/>
      </c>
      <c r="N416" s="387"/>
      <c r="O416" s="387"/>
      <c r="P416" s="381" t="str">
        <f t="shared" si="25"/>
        <v/>
      </c>
      <c r="Q416" s="382" t="str">
        <f t="array" ref="Q416">IFERROR(INDEX($D$13:$D$1000,MATCH(0,COUNTIF($Q$13:Q415,$D$13:$D$1000&amp;"")+IF($D$13:$D$1000="",1,0),0)),"")</f>
        <v/>
      </c>
      <c r="R416" s="356" t="str">
        <f t="shared" si="26"/>
        <v/>
      </c>
      <c r="S416" s="383" t="str">
        <f t="shared" si="24"/>
        <v/>
      </c>
      <c r="T416" s="384" t="str">
        <f t="shared" si="27"/>
        <v/>
      </c>
      <c r="U416" s="349"/>
      <c r="V416" s="385"/>
      <c r="W416" s="385"/>
      <c r="X416" s="386"/>
    </row>
    <row r="417" spans="2:24">
      <c r="B417" s="395"/>
      <c r="C417" s="371"/>
      <c r="D417" s="372" t="str">
        <f>IFERROR(INDEX('[11]Equipment List'!$B$2:$B$2038,MATCH(E417,'[11]Equipment List'!$A$2:$A$2038,0)),"")</f>
        <v/>
      </c>
      <c r="E417" s="388"/>
      <c r="F417" s="374"/>
      <c r="G417" s="375"/>
      <c r="H417" s="397"/>
      <c r="I417" s="377"/>
      <c r="J417" s="378"/>
      <c r="K417" s="379"/>
      <c r="L417" s="387"/>
      <c r="M417" s="380" t="str">
        <f t="array" ref="M417">IF(L417="","",(MAX(IF(AN$15:AN$144=B417,AO$15:AO$144))/60))</f>
        <v/>
      </c>
      <c r="N417" s="387"/>
      <c r="O417" s="387"/>
      <c r="P417" s="381" t="str">
        <f t="shared" si="25"/>
        <v/>
      </c>
      <c r="Q417" s="382" t="str">
        <f t="array" ref="Q417">IFERROR(INDEX($D$13:$D$1000,MATCH(0,COUNTIF($Q$13:Q416,$D$13:$D$1000&amp;"")+IF($D$13:$D$1000="",1,0),0)),"")</f>
        <v/>
      </c>
      <c r="R417" s="356" t="str">
        <f t="shared" si="26"/>
        <v/>
      </c>
      <c r="S417" s="383" t="str">
        <f t="shared" si="24"/>
        <v/>
      </c>
      <c r="T417" s="384" t="str">
        <f t="shared" si="27"/>
        <v/>
      </c>
      <c r="U417" s="349"/>
      <c r="V417" s="385"/>
      <c r="W417" s="385"/>
      <c r="X417" s="386"/>
    </row>
    <row r="418" spans="2:24">
      <c r="B418" s="395"/>
      <c r="C418" s="371"/>
      <c r="D418" s="372" t="str">
        <f>IFERROR(INDEX('[11]Equipment List'!$B$2:$B$2038,MATCH(E418,'[11]Equipment List'!$A$2:$A$2038,0)),"")</f>
        <v/>
      </c>
      <c r="E418" s="388"/>
      <c r="F418" s="374"/>
      <c r="G418" s="375"/>
      <c r="H418" s="397"/>
      <c r="I418" s="377"/>
      <c r="J418" s="378"/>
      <c r="K418" s="379"/>
      <c r="L418" s="387"/>
      <c r="M418" s="380" t="str">
        <f t="array" ref="M418">IF(L418="","",(MAX(IF(AN$15:AN$144=B418,AO$15:AO$144))/60))</f>
        <v/>
      </c>
      <c r="N418" s="387"/>
      <c r="O418" s="387"/>
      <c r="P418" s="381" t="str">
        <f t="shared" si="25"/>
        <v/>
      </c>
      <c r="Q418" s="382" t="str">
        <f t="array" ref="Q418">IFERROR(INDEX($D$13:$D$1000,MATCH(0,COUNTIF($Q$13:Q417,$D$13:$D$1000&amp;"")+IF($D$13:$D$1000="",1,0),0)),"")</f>
        <v/>
      </c>
      <c r="R418" s="356" t="str">
        <f t="shared" si="26"/>
        <v/>
      </c>
      <c r="S418" s="383" t="str">
        <f t="shared" si="24"/>
        <v/>
      </c>
      <c r="T418" s="384" t="str">
        <f t="shared" si="27"/>
        <v/>
      </c>
      <c r="U418" s="349"/>
      <c r="V418" s="385"/>
      <c r="W418" s="385"/>
      <c r="X418" s="386"/>
    </row>
    <row r="419" spans="2:24">
      <c r="B419" s="395"/>
      <c r="C419" s="371"/>
      <c r="D419" s="372" t="str">
        <f>IFERROR(INDEX('[11]Equipment List'!$B$2:$B$2038,MATCH(E419,'[11]Equipment List'!$A$2:$A$2038,0)),"")</f>
        <v/>
      </c>
      <c r="E419" s="388"/>
      <c r="F419" s="374"/>
      <c r="G419" s="375"/>
      <c r="H419" s="397"/>
      <c r="I419" s="377"/>
      <c r="J419" s="378"/>
      <c r="K419" s="379"/>
      <c r="L419" s="387"/>
      <c r="M419" s="380" t="str">
        <f t="array" ref="M419">IF(L419="","",(MAX(IF(AN$15:AN$144=B419,AO$15:AO$144))/60))</f>
        <v/>
      </c>
      <c r="N419" s="387"/>
      <c r="O419" s="387"/>
      <c r="P419" s="381" t="str">
        <f t="shared" si="25"/>
        <v/>
      </c>
      <c r="Q419" s="382" t="str">
        <f t="array" ref="Q419">IFERROR(INDEX($D$13:$D$1000,MATCH(0,COUNTIF($Q$13:Q418,$D$13:$D$1000&amp;"")+IF($D$13:$D$1000="",1,0),0)),"")</f>
        <v/>
      </c>
      <c r="R419" s="356" t="str">
        <f t="shared" si="26"/>
        <v/>
      </c>
      <c r="S419" s="383" t="str">
        <f t="shared" si="24"/>
        <v/>
      </c>
      <c r="T419" s="384" t="str">
        <f t="shared" si="27"/>
        <v/>
      </c>
      <c r="U419" s="349"/>
      <c r="V419" s="385"/>
      <c r="W419" s="385"/>
      <c r="X419" s="386"/>
    </row>
    <row r="420" spans="2:24">
      <c r="B420" s="395"/>
      <c r="C420" s="371"/>
      <c r="D420" s="372" t="str">
        <f>IFERROR(INDEX('[11]Equipment List'!$B$2:$B$2038,MATCH(E420,'[11]Equipment List'!$A$2:$A$2038,0)),"")</f>
        <v/>
      </c>
      <c r="E420" s="388"/>
      <c r="F420" s="374"/>
      <c r="G420" s="375"/>
      <c r="H420" s="397"/>
      <c r="I420" s="377"/>
      <c r="J420" s="378"/>
      <c r="K420" s="379"/>
      <c r="L420" s="387"/>
      <c r="M420" s="380" t="str">
        <f t="array" ref="M420">IF(L420="","",(MAX(IF(AN$15:AN$144=B420,AO$15:AO$144))/60))</f>
        <v/>
      </c>
      <c r="N420" s="387"/>
      <c r="O420" s="387"/>
      <c r="P420" s="381" t="str">
        <f t="shared" si="25"/>
        <v/>
      </c>
      <c r="Q420" s="382" t="str">
        <f t="array" ref="Q420">IFERROR(INDEX($D$13:$D$1000,MATCH(0,COUNTIF($Q$13:Q419,$D$13:$D$1000&amp;"")+IF($D$13:$D$1000="",1,0),0)),"")</f>
        <v/>
      </c>
      <c r="R420" s="356" t="str">
        <f t="shared" si="26"/>
        <v/>
      </c>
      <c r="S420" s="383" t="str">
        <f t="shared" si="24"/>
        <v/>
      </c>
      <c r="T420" s="384" t="str">
        <f t="shared" si="27"/>
        <v/>
      </c>
      <c r="U420" s="349"/>
      <c r="V420" s="385"/>
      <c r="W420" s="385"/>
      <c r="X420" s="386"/>
    </row>
    <row r="421" spans="2:24">
      <c r="B421" s="395"/>
      <c r="C421" s="371"/>
      <c r="D421" s="372" t="str">
        <f>IFERROR(INDEX('[11]Equipment List'!$B$2:$B$2038,MATCH(E421,'[11]Equipment List'!$A$2:$A$2038,0)),"")</f>
        <v/>
      </c>
      <c r="E421" s="388"/>
      <c r="F421" s="374"/>
      <c r="G421" s="375"/>
      <c r="H421" s="397"/>
      <c r="I421" s="377"/>
      <c r="J421" s="378"/>
      <c r="K421" s="379"/>
      <c r="L421" s="387"/>
      <c r="M421" s="380" t="str">
        <f t="array" ref="M421">IF(L421="","",(MAX(IF(AN$15:AN$144=B421,AO$15:AO$144))/60))</f>
        <v/>
      </c>
      <c r="N421" s="387"/>
      <c r="O421" s="387"/>
      <c r="P421" s="381" t="str">
        <f t="shared" si="25"/>
        <v/>
      </c>
      <c r="Q421" s="382" t="str">
        <f t="array" ref="Q421">IFERROR(INDEX($D$13:$D$1000,MATCH(0,COUNTIF($Q$13:Q420,$D$13:$D$1000&amp;"")+IF($D$13:$D$1000="",1,0),0)),"")</f>
        <v/>
      </c>
      <c r="R421" s="356" t="str">
        <f t="shared" si="26"/>
        <v/>
      </c>
      <c r="S421" s="383" t="str">
        <f t="shared" si="24"/>
        <v/>
      </c>
      <c r="T421" s="384" t="str">
        <f t="shared" si="27"/>
        <v/>
      </c>
      <c r="U421" s="349"/>
      <c r="V421" s="385"/>
      <c r="W421" s="385"/>
      <c r="X421" s="386"/>
    </row>
    <row r="422" spans="2:24">
      <c r="B422" s="395"/>
      <c r="C422" s="371"/>
      <c r="D422" s="372" t="str">
        <f>IFERROR(INDEX('[11]Equipment List'!$B$2:$B$2038,MATCH(E422,'[11]Equipment List'!$A$2:$A$2038,0)),"")</f>
        <v/>
      </c>
      <c r="E422" s="388"/>
      <c r="F422" s="374"/>
      <c r="G422" s="375"/>
      <c r="H422" s="397"/>
      <c r="I422" s="377"/>
      <c r="J422" s="378"/>
      <c r="K422" s="379"/>
      <c r="L422" s="387"/>
      <c r="M422" s="380" t="str">
        <f t="array" ref="M422">IF(L422="","",(MAX(IF(AN$15:AN$144=B422,AO$15:AO$144))/60))</f>
        <v/>
      </c>
      <c r="N422" s="387"/>
      <c r="O422" s="387"/>
      <c r="P422" s="381" t="str">
        <f t="shared" si="25"/>
        <v/>
      </c>
      <c r="Q422" s="382" t="str">
        <f t="array" ref="Q422">IFERROR(INDEX($D$13:$D$1000,MATCH(0,COUNTIF($Q$13:Q421,$D$13:$D$1000&amp;"")+IF($D$13:$D$1000="",1,0),0)),"")</f>
        <v/>
      </c>
      <c r="R422" s="356" t="str">
        <f t="shared" si="26"/>
        <v/>
      </c>
      <c r="S422" s="383" t="str">
        <f t="shared" si="24"/>
        <v/>
      </c>
      <c r="T422" s="384" t="str">
        <f t="shared" si="27"/>
        <v/>
      </c>
      <c r="U422" s="349"/>
      <c r="V422" s="385"/>
      <c r="W422" s="385"/>
      <c r="X422" s="386"/>
    </row>
    <row r="423" spans="2:24">
      <c r="B423" s="395"/>
      <c r="C423" s="371"/>
      <c r="D423" s="372" t="str">
        <f>IFERROR(INDEX('[11]Equipment List'!$B$2:$B$2038,MATCH(E423,'[11]Equipment List'!$A$2:$A$2038,0)),"")</f>
        <v/>
      </c>
      <c r="E423" s="388"/>
      <c r="F423" s="374"/>
      <c r="G423" s="375"/>
      <c r="H423" s="397"/>
      <c r="I423" s="377"/>
      <c r="J423" s="378"/>
      <c r="K423" s="379"/>
      <c r="L423" s="387"/>
      <c r="M423" s="380" t="str">
        <f t="array" ref="M423">IF(L423="","",(MAX(IF(AN$15:AN$144=B423,AO$15:AO$144))/60))</f>
        <v/>
      </c>
      <c r="N423" s="387"/>
      <c r="O423" s="387"/>
      <c r="P423" s="381" t="str">
        <f t="shared" si="25"/>
        <v/>
      </c>
      <c r="Q423" s="382" t="str">
        <f t="array" ref="Q423">IFERROR(INDEX($D$13:$D$1000,MATCH(0,COUNTIF($Q$13:Q422,$D$13:$D$1000&amp;"")+IF($D$13:$D$1000="",1,0),0)),"")</f>
        <v/>
      </c>
      <c r="R423" s="356" t="str">
        <f t="shared" si="26"/>
        <v/>
      </c>
      <c r="S423" s="383" t="str">
        <f t="shared" si="24"/>
        <v/>
      </c>
      <c r="T423" s="384" t="str">
        <f t="shared" si="27"/>
        <v/>
      </c>
      <c r="U423" s="349"/>
      <c r="V423" s="385"/>
      <c r="W423" s="385"/>
      <c r="X423" s="386"/>
    </row>
    <row r="424" spans="2:24">
      <c r="B424" s="395"/>
      <c r="C424" s="371"/>
      <c r="D424" s="372" t="str">
        <f>IFERROR(INDEX('[11]Equipment List'!$B$2:$B$2038,MATCH(E424,'[11]Equipment List'!$A$2:$A$2038,0)),"")</f>
        <v/>
      </c>
      <c r="E424" s="388"/>
      <c r="F424" s="374"/>
      <c r="G424" s="375"/>
      <c r="H424" s="397"/>
      <c r="I424" s="377"/>
      <c r="J424" s="378"/>
      <c r="K424" s="379"/>
      <c r="L424" s="387"/>
      <c r="M424" s="380" t="str">
        <f t="array" ref="M424">IF(L424="","",(MAX(IF(AN$15:AN$144=B424,AO$15:AO$144))/60))</f>
        <v/>
      </c>
      <c r="N424" s="387"/>
      <c r="O424" s="387"/>
      <c r="P424" s="381" t="str">
        <f t="shared" si="25"/>
        <v/>
      </c>
      <c r="Q424" s="382" t="str">
        <f t="array" ref="Q424">IFERROR(INDEX($D$13:$D$1000,MATCH(0,COUNTIF($Q$13:Q423,$D$13:$D$1000&amp;"")+IF($D$13:$D$1000="",1,0),0)),"")</f>
        <v/>
      </c>
      <c r="R424" s="356" t="str">
        <f t="shared" si="26"/>
        <v/>
      </c>
      <c r="S424" s="383" t="str">
        <f t="shared" si="24"/>
        <v/>
      </c>
      <c r="T424" s="384" t="str">
        <f t="shared" si="27"/>
        <v/>
      </c>
      <c r="U424" s="349"/>
      <c r="V424" s="385"/>
      <c r="W424" s="385"/>
      <c r="X424" s="386"/>
    </row>
    <row r="425" spans="2:24">
      <c r="B425" s="395"/>
      <c r="C425" s="371"/>
      <c r="D425" s="372" t="str">
        <f>IFERROR(INDEX('[11]Equipment List'!$B$2:$B$2038,MATCH(E425,'[11]Equipment List'!$A$2:$A$2038,0)),"")</f>
        <v/>
      </c>
      <c r="E425" s="388"/>
      <c r="F425" s="374"/>
      <c r="G425" s="375"/>
      <c r="H425" s="397"/>
      <c r="I425" s="377"/>
      <c r="J425" s="378"/>
      <c r="K425" s="379"/>
      <c r="L425" s="387"/>
      <c r="M425" s="380" t="str">
        <f t="array" ref="M425">IF(L425="","",(MAX(IF(AN$15:AN$144=B425,AO$15:AO$144))/60))</f>
        <v/>
      </c>
      <c r="N425" s="387"/>
      <c r="O425" s="387"/>
      <c r="P425" s="381" t="str">
        <f t="shared" si="25"/>
        <v/>
      </c>
      <c r="Q425" s="382" t="str">
        <f t="array" ref="Q425">IFERROR(INDEX($D$13:$D$1000,MATCH(0,COUNTIF($Q$13:Q424,$D$13:$D$1000&amp;"")+IF($D$13:$D$1000="",1,0),0)),"")</f>
        <v/>
      </c>
      <c r="R425" s="356" t="str">
        <f t="shared" si="26"/>
        <v/>
      </c>
      <c r="S425" s="383" t="str">
        <f t="shared" si="24"/>
        <v/>
      </c>
      <c r="T425" s="384" t="str">
        <f t="shared" si="27"/>
        <v/>
      </c>
      <c r="U425" s="349"/>
      <c r="V425" s="385"/>
      <c r="W425" s="385"/>
      <c r="X425" s="386"/>
    </row>
    <row r="426" spans="2:24">
      <c r="B426" s="395"/>
      <c r="C426" s="371"/>
      <c r="D426" s="372" t="str">
        <f>IFERROR(INDEX('[11]Equipment List'!$B$2:$B$2038,MATCH(E426,'[11]Equipment List'!$A$2:$A$2038,0)),"")</f>
        <v/>
      </c>
      <c r="E426" s="388"/>
      <c r="F426" s="374"/>
      <c r="G426" s="375"/>
      <c r="H426" s="397"/>
      <c r="I426" s="377"/>
      <c r="J426" s="378"/>
      <c r="K426" s="379"/>
      <c r="L426" s="387"/>
      <c r="M426" s="380" t="str">
        <f t="array" ref="M426">IF(L426="","",(MAX(IF(AN$15:AN$144=B426,AO$15:AO$144))/60))</f>
        <v/>
      </c>
      <c r="N426" s="387"/>
      <c r="O426" s="387"/>
      <c r="P426" s="381" t="str">
        <f t="shared" si="25"/>
        <v/>
      </c>
      <c r="Q426" s="382" t="str">
        <f t="array" ref="Q426">IFERROR(INDEX($D$13:$D$1000,MATCH(0,COUNTIF($Q$13:Q425,$D$13:$D$1000&amp;"")+IF($D$13:$D$1000="",1,0),0)),"")</f>
        <v/>
      </c>
      <c r="R426" s="356" t="str">
        <f t="shared" si="26"/>
        <v/>
      </c>
      <c r="S426" s="383" t="str">
        <f t="shared" si="24"/>
        <v/>
      </c>
      <c r="T426" s="384" t="str">
        <f t="shared" si="27"/>
        <v/>
      </c>
      <c r="U426" s="349"/>
      <c r="V426" s="385"/>
      <c r="W426" s="385"/>
      <c r="X426" s="386"/>
    </row>
    <row r="427" spans="2:24">
      <c r="B427" s="395"/>
      <c r="C427" s="371"/>
      <c r="D427" s="372" t="str">
        <f>IFERROR(INDEX('[11]Equipment List'!$B$2:$B$2038,MATCH(E427,'[11]Equipment List'!$A$2:$A$2038,0)),"")</f>
        <v/>
      </c>
      <c r="E427" s="388"/>
      <c r="F427" s="374"/>
      <c r="G427" s="375"/>
      <c r="H427" s="397"/>
      <c r="I427" s="377"/>
      <c r="J427" s="378"/>
      <c r="K427" s="379"/>
      <c r="L427" s="387"/>
      <c r="M427" s="380" t="str">
        <f t="array" ref="M427">IF(L427="","",(MAX(IF(AN$15:AN$144=B427,AO$15:AO$144))/60))</f>
        <v/>
      </c>
      <c r="N427" s="387"/>
      <c r="O427" s="387"/>
      <c r="P427" s="381" t="str">
        <f t="shared" si="25"/>
        <v/>
      </c>
      <c r="Q427" s="382" t="str">
        <f t="array" ref="Q427">IFERROR(INDEX($D$13:$D$1000,MATCH(0,COUNTIF($Q$13:Q426,$D$13:$D$1000&amp;"")+IF($D$13:$D$1000="",1,0),0)),"")</f>
        <v/>
      </c>
      <c r="R427" s="356" t="str">
        <f t="shared" si="26"/>
        <v/>
      </c>
      <c r="S427" s="383" t="str">
        <f t="shared" ref="S427:S490" si="28">IF($Q427="","",SUMIF($D$13:$D$1000,$Q427,I$13:I$1000))</f>
        <v/>
      </c>
      <c r="T427" s="384" t="str">
        <f t="shared" si="27"/>
        <v/>
      </c>
      <c r="U427" s="349"/>
      <c r="V427" s="385"/>
      <c r="W427" s="385"/>
      <c r="X427" s="386"/>
    </row>
    <row r="428" spans="2:24">
      <c r="B428" s="395"/>
      <c r="C428" s="371"/>
      <c r="D428" s="372" t="str">
        <f>IFERROR(INDEX('[11]Equipment List'!$B$2:$B$2038,MATCH(E428,'[11]Equipment List'!$A$2:$A$2038,0)),"")</f>
        <v/>
      </c>
      <c r="E428" s="388"/>
      <c r="F428" s="374"/>
      <c r="G428" s="375"/>
      <c r="H428" s="397"/>
      <c r="I428" s="377"/>
      <c r="J428" s="378"/>
      <c r="K428" s="379"/>
      <c r="L428" s="387"/>
      <c r="M428" s="380" t="str">
        <f t="array" ref="M428">IF(L428="","",(MAX(IF(AN$15:AN$144=B428,AO$15:AO$144))/60))</f>
        <v/>
      </c>
      <c r="N428" s="387"/>
      <c r="O428" s="387"/>
      <c r="P428" s="381" t="str">
        <f t="shared" si="25"/>
        <v/>
      </c>
      <c r="Q428" s="382" t="str">
        <f t="array" ref="Q428">IFERROR(INDEX($D$13:$D$1000,MATCH(0,COUNTIF($Q$13:Q427,$D$13:$D$1000&amp;"")+IF($D$13:$D$1000="",1,0),0)),"")</f>
        <v/>
      </c>
      <c r="R428" s="356" t="str">
        <f t="shared" si="26"/>
        <v/>
      </c>
      <c r="S428" s="383" t="str">
        <f t="shared" si="28"/>
        <v/>
      </c>
      <c r="T428" s="384" t="str">
        <f t="shared" si="27"/>
        <v/>
      </c>
      <c r="U428" s="349"/>
      <c r="V428" s="385"/>
      <c r="W428" s="385"/>
      <c r="X428" s="386"/>
    </row>
    <row r="429" spans="2:24">
      <c r="B429" s="395"/>
      <c r="C429" s="371"/>
      <c r="D429" s="372" t="str">
        <f>IFERROR(INDEX('[11]Equipment List'!$B$2:$B$2038,MATCH(E429,'[11]Equipment List'!$A$2:$A$2038,0)),"")</f>
        <v/>
      </c>
      <c r="E429" s="388"/>
      <c r="F429" s="374"/>
      <c r="G429" s="375"/>
      <c r="H429" s="397"/>
      <c r="I429" s="377"/>
      <c r="J429" s="378"/>
      <c r="K429" s="379"/>
      <c r="L429" s="387"/>
      <c r="M429" s="380" t="str">
        <f t="array" ref="M429">IF(L429="","",(MAX(IF(AN$15:AN$144=B429,AO$15:AO$144))/60))</f>
        <v/>
      </c>
      <c r="N429" s="387"/>
      <c r="O429" s="387"/>
      <c r="P429" s="381" t="str">
        <f t="shared" si="25"/>
        <v/>
      </c>
      <c r="Q429" s="382" t="str">
        <f t="array" ref="Q429">IFERROR(INDEX($D$13:$D$1000,MATCH(0,COUNTIF($Q$13:Q428,$D$13:$D$1000&amp;"")+IF($D$13:$D$1000="",1,0),0)),"")</f>
        <v/>
      </c>
      <c r="R429" s="356" t="str">
        <f t="shared" si="26"/>
        <v/>
      </c>
      <c r="S429" s="383" t="str">
        <f t="shared" si="28"/>
        <v/>
      </c>
      <c r="T429" s="384" t="str">
        <f t="shared" si="27"/>
        <v/>
      </c>
      <c r="U429" s="349"/>
      <c r="V429" s="385"/>
      <c r="W429" s="385"/>
      <c r="X429" s="386"/>
    </row>
    <row r="430" spans="2:24">
      <c r="B430" s="395"/>
      <c r="C430" s="371"/>
      <c r="D430" s="372" t="str">
        <f>IFERROR(INDEX('[11]Equipment List'!$B$2:$B$2038,MATCH(E430,'[11]Equipment List'!$A$2:$A$2038,0)),"")</f>
        <v/>
      </c>
      <c r="E430" s="388"/>
      <c r="F430" s="374"/>
      <c r="G430" s="375"/>
      <c r="H430" s="397"/>
      <c r="I430" s="377"/>
      <c r="J430" s="378"/>
      <c r="K430" s="379"/>
      <c r="L430" s="387"/>
      <c r="M430" s="380" t="str">
        <f t="array" ref="M430">IF(L430="","",(MAX(IF(AN$15:AN$144=B430,AO$15:AO$144))/60))</f>
        <v/>
      </c>
      <c r="N430" s="387"/>
      <c r="O430" s="387"/>
      <c r="P430" s="381" t="str">
        <f t="shared" si="25"/>
        <v/>
      </c>
      <c r="Q430" s="382" t="str">
        <f t="array" ref="Q430">IFERROR(INDEX($D$13:$D$1000,MATCH(0,COUNTIF($Q$13:Q429,$D$13:$D$1000&amp;"")+IF($D$13:$D$1000="",1,0),0)),"")</f>
        <v/>
      </c>
      <c r="R430" s="356" t="str">
        <f t="shared" si="26"/>
        <v/>
      </c>
      <c r="S430" s="383" t="str">
        <f t="shared" si="28"/>
        <v/>
      </c>
      <c r="T430" s="384" t="str">
        <f t="shared" si="27"/>
        <v/>
      </c>
      <c r="U430" s="349"/>
      <c r="V430" s="385"/>
      <c r="W430" s="385"/>
      <c r="X430" s="386"/>
    </row>
    <row r="431" spans="2:24">
      <c r="B431" s="395"/>
      <c r="C431" s="371"/>
      <c r="D431" s="372" t="str">
        <f>IFERROR(INDEX('[11]Equipment List'!$B$2:$B$2038,MATCH(E431,'[11]Equipment List'!$A$2:$A$2038,0)),"")</f>
        <v/>
      </c>
      <c r="E431" s="388"/>
      <c r="F431" s="374"/>
      <c r="G431" s="375"/>
      <c r="H431" s="397"/>
      <c r="I431" s="377"/>
      <c r="J431" s="378"/>
      <c r="K431" s="379"/>
      <c r="L431" s="387"/>
      <c r="M431" s="380" t="str">
        <f t="array" ref="M431">IF(L431="","",(MAX(IF(AN$15:AN$144=B431,AO$15:AO$144))/60))</f>
        <v/>
      </c>
      <c r="N431" s="387"/>
      <c r="O431" s="387"/>
      <c r="P431" s="381" t="str">
        <f t="shared" si="25"/>
        <v/>
      </c>
      <c r="Q431" s="382" t="str">
        <f t="array" ref="Q431">IFERROR(INDEX($D$13:$D$1000,MATCH(0,COUNTIF($Q$13:Q430,$D$13:$D$1000&amp;"")+IF($D$13:$D$1000="",1,0),0)),"")</f>
        <v/>
      </c>
      <c r="R431" s="356" t="str">
        <f t="shared" si="26"/>
        <v/>
      </c>
      <c r="S431" s="383" t="str">
        <f t="shared" si="28"/>
        <v/>
      </c>
      <c r="T431" s="384" t="str">
        <f t="shared" si="27"/>
        <v/>
      </c>
      <c r="U431" s="349"/>
      <c r="V431" s="385"/>
      <c r="W431" s="385"/>
      <c r="X431" s="386"/>
    </row>
    <row r="432" spans="2:24">
      <c r="B432" s="395"/>
      <c r="C432" s="371"/>
      <c r="D432" s="372" t="str">
        <f>IFERROR(INDEX('[11]Equipment List'!$B$2:$B$2038,MATCH(E432,'[11]Equipment List'!$A$2:$A$2038,0)),"")</f>
        <v/>
      </c>
      <c r="E432" s="388"/>
      <c r="F432" s="374"/>
      <c r="G432" s="375"/>
      <c r="H432" s="397"/>
      <c r="I432" s="377"/>
      <c r="J432" s="378"/>
      <c r="K432" s="379"/>
      <c r="L432" s="387"/>
      <c r="M432" s="380" t="str">
        <f t="array" ref="M432">IF(L432="","",(MAX(IF(AN$15:AN$144=B432,AO$15:AO$144))/60))</f>
        <v/>
      </c>
      <c r="N432" s="387"/>
      <c r="O432" s="387"/>
      <c r="P432" s="381" t="str">
        <f t="shared" si="25"/>
        <v/>
      </c>
      <c r="Q432" s="382" t="str">
        <f t="array" ref="Q432">IFERROR(INDEX($D$13:$D$1000,MATCH(0,COUNTIF($Q$13:Q431,$D$13:$D$1000&amp;"")+IF($D$13:$D$1000="",1,0),0)),"")</f>
        <v/>
      </c>
      <c r="R432" s="356" t="str">
        <f t="shared" si="26"/>
        <v/>
      </c>
      <c r="S432" s="383" t="str">
        <f t="shared" si="28"/>
        <v/>
      </c>
      <c r="T432" s="384" t="str">
        <f t="shared" si="27"/>
        <v/>
      </c>
      <c r="U432" s="349"/>
      <c r="V432" s="385"/>
      <c r="W432" s="385"/>
      <c r="X432" s="386"/>
    </row>
    <row r="433" spans="2:24">
      <c r="B433" s="395"/>
      <c r="C433" s="371"/>
      <c r="D433" s="372" t="str">
        <f>IFERROR(INDEX('[11]Equipment List'!$B$2:$B$2038,MATCH(E433,'[11]Equipment List'!$A$2:$A$2038,0)),"")</f>
        <v/>
      </c>
      <c r="E433" s="388"/>
      <c r="F433" s="374"/>
      <c r="G433" s="375"/>
      <c r="H433" s="397"/>
      <c r="I433" s="377"/>
      <c r="J433" s="378"/>
      <c r="K433" s="379"/>
      <c r="L433" s="387"/>
      <c r="M433" s="380" t="str">
        <f t="array" ref="M433">IF(L433="","",(MAX(IF(AN$15:AN$144=B433,AO$15:AO$144))/60))</f>
        <v/>
      </c>
      <c r="N433" s="387"/>
      <c r="O433" s="387"/>
      <c r="P433" s="381" t="str">
        <f t="shared" si="25"/>
        <v/>
      </c>
      <c r="Q433" s="382" t="str">
        <f t="array" ref="Q433">IFERROR(INDEX($D$13:$D$1000,MATCH(0,COUNTIF($Q$13:Q432,$D$13:$D$1000&amp;"")+IF($D$13:$D$1000="",1,0),0)),"")</f>
        <v/>
      </c>
      <c r="R433" s="356" t="str">
        <f t="shared" si="26"/>
        <v/>
      </c>
      <c r="S433" s="383" t="str">
        <f t="shared" si="28"/>
        <v/>
      </c>
      <c r="T433" s="384" t="str">
        <f t="shared" si="27"/>
        <v/>
      </c>
      <c r="U433" s="349"/>
      <c r="V433" s="385"/>
      <c r="W433" s="385"/>
      <c r="X433" s="386"/>
    </row>
    <row r="434" spans="2:24">
      <c r="B434" s="395"/>
      <c r="C434" s="371"/>
      <c r="D434" s="372" t="str">
        <f>IFERROR(INDEX('[11]Equipment List'!$B$2:$B$2038,MATCH(E434,'[11]Equipment List'!$A$2:$A$2038,0)),"")</f>
        <v/>
      </c>
      <c r="E434" s="388"/>
      <c r="F434" s="374"/>
      <c r="G434" s="375"/>
      <c r="H434" s="397"/>
      <c r="I434" s="377"/>
      <c r="J434" s="378"/>
      <c r="K434" s="379"/>
      <c r="L434" s="387"/>
      <c r="M434" s="380" t="str">
        <f t="array" ref="M434">IF(L434="","",(MAX(IF(AN$15:AN$144=B434,AO$15:AO$144))/60))</f>
        <v/>
      </c>
      <c r="N434" s="387"/>
      <c r="O434" s="387"/>
      <c r="P434" s="381" t="str">
        <f t="shared" si="25"/>
        <v/>
      </c>
      <c r="Q434" s="382" t="str">
        <f t="array" ref="Q434">IFERROR(INDEX($D$13:$D$1000,MATCH(0,COUNTIF($Q$13:Q433,$D$13:$D$1000&amp;"")+IF($D$13:$D$1000="",1,0),0)),"")</f>
        <v/>
      </c>
      <c r="R434" s="356" t="str">
        <f t="shared" si="26"/>
        <v/>
      </c>
      <c r="S434" s="383" t="str">
        <f t="shared" si="28"/>
        <v/>
      </c>
      <c r="T434" s="384" t="str">
        <f t="shared" si="27"/>
        <v/>
      </c>
      <c r="U434" s="349"/>
      <c r="V434" s="385"/>
      <c r="W434" s="385"/>
      <c r="X434" s="386"/>
    </row>
    <row r="435" spans="2:24">
      <c r="B435" s="395"/>
      <c r="C435" s="371"/>
      <c r="D435" s="372" t="str">
        <f>IFERROR(INDEX('[11]Equipment List'!$B$2:$B$2038,MATCH(E435,'[11]Equipment List'!$A$2:$A$2038,0)),"")</f>
        <v/>
      </c>
      <c r="E435" s="388"/>
      <c r="F435" s="374"/>
      <c r="G435" s="375"/>
      <c r="H435" s="397"/>
      <c r="I435" s="377"/>
      <c r="J435" s="378"/>
      <c r="K435" s="379"/>
      <c r="L435" s="387"/>
      <c r="M435" s="380" t="str">
        <f t="array" ref="M435">IF(L435="","",(MAX(IF(AN$15:AN$144=B435,AO$15:AO$144))/60))</f>
        <v/>
      </c>
      <c r="N435" s="387"/>
      <c r="O435" s="387"/>
      <c r="P435" s="381" t="str">
        <f t="shared" si="25"/>
        <v/>
      </c>
      <c r="Q435" s="382" t="str">
        <f t="array" ref="Q435">IFERROR(INDEX($D$13:$D$1000,MATCH(0,COUNTIF($Q$13:Q434,$D$13:$D$1000&amp;"")+IF($D$13:$D$1000="",1,0),0)),"")</f>
        <v/>
      </c>
      <c r="R435" s="356" t="str">
        <f t="shared" si="26"/>
        <v/>
      </c>
      <c r="S435" s="383" t="str">
        <f t="shared" si="28"/>
        <v/>
      </c>
      <c r="T435" s="384" t="str">
        <f t="shared" si="27"/>
        <v/>
      </c>
      <c r="U435" s="349"/>
      <c r="V435" s="385"/>
      <c r="W435" s="385"/>
      <c r="X435" s="386"/>
    </row>
    <row r="436" spans="2:24">
      <c r="B436" s="395"/>
      <c r="C436" s="371"/>
      <c r="D436" s="372" t="str">
        <f>IFERROR(INDEX('[11]Equipment List'!$B$2:$B$2038,MATCH(E436,'[11]Equipment List'!$A$2:$A$2038,0)),"")</f>
        <v/>
      </c>
      <c r="E436" s="388"/>
      <c r="F436" s="374"/>
      <c r="G436" s="375"/>
      <c r="H436" s="397"/>
      <c r="I436" s="377"/>
      <c r="J436" s="378"/>
      <c r="K436" s="379"/>
      <c r="L436" s="387"/>
      <c r="M436" s="380" t="str">
        <f t="array" ref="M436">IF(L436="","",(MAX(IF(AN$15:AN$144=B436,AO$15:AO$144))/60))</f>
        <v/>
      </c>
      <c r="N436" s="387"/>
      <c r="O436" s="387"/>
      <c r="P436" s="381" t="str">
        <f t="shared" si="25"/>
        <v/>
      </c>
      <c r="Q436" s="382" t="str">
        <f t="array" ref="Q436">IFERROR(INDEX($D$13:$D$1000,MATCH(0,COUNTIF($Q$13:Q435,$D$13:$D$1000&amp;"")+IF($D$13:$D$1000="",1,0),0)),"")</f>
        <v/>
      </c>
      <c r="R436" s="356" t="str">
        <f t="shared" si="26"/>
        <v/>
      </c>
      <c r="S436" s="383" t="str">
        <f t="shared" si="28"/>
        <v/>
      </c>
      <c r="T436" s="384" t="str">
        <f t="shared" si="27"/>
        <v/>
      </c>
      <c r="U436" s="349"/>
      <c r="V436" s="385"/>
      <c r="W436" s="385"/>
      <c r="X436" s="386"/>
    </row>
    <row r="437" spans="2:24">
      <c r="B437" s="395"/>
      <c r="C437" s="371"/>
      <c r="D437" s="372" t="str">
        <f>IFERROR(INDEX('[11]Equipment List'!$B$2:$B$2038,MATCH(E437,'[11]Equipment List'!$A$2:$A$2038,0)),"")</f>
        <v/>
      </c>
      <c r="E437" s="388"/>
      <c r="F437" s="374"/>
      <c r="G437" s="375"/>
      <c r="H437" s="397"/>
      <c r="I437" s="377"/>
      <c r="J437" s="378"/>
      <c r="K437" s="379"/>
      <c r="L437" s="387"/>
      <c r="M437" s="380" t="str">
        <f t="array" ref="M437">IF(L437="","",(MAX(IF(AN$15:AN$144=B437,AO$15:AO$144))/60))</f>
        <v/>
      </c>
      <c r="N437" s="387"/>
      <c r="O437" s="387"/>
      <c r="P437" s="381" t="str">
        <f t="shared" si="25"/>
        <v/>
      </c>
      <c r="Q437" s="382" t="str">
        <f t="array" ref="Q437">IFERROR(INDEX($D$13:$D$1000,MATCH(0,COUNTIF($Q$13:Q436,$D$13:$D$1000&amp;"")+IF($D$13:$D$1000="",1,0),0)),"")</f>
        <v/>
      </c>
      <c r="R437" s="356" t="str">
        <f t="shared" si="26"/>
        <v/>
      </c>
      <c r="S437" s="383" t="str">
        <f t="shared" si="28"/>
        <v/>
      </c>
      <c r="T437" s="384" t="str">
        <f t="shared" si="27"/>
        <v/>
      </c>
      <c r="U437" s="349"/>
      <c r="V437" s="385"/>
      <c r="W437" s="385"/>
      <c r="X437" s="386"/>
    </row>
    <row r="438" spans="2:24">
      <c r="B438" s="395"/>
      <c r="C438" s="371"/>
      <c r="D438" s="372" t="str">
        <f>IFERROR(INDEX('[11]Equipment List'!$B$2:$B$2038,MATCH(E438,'[11]Equipment List'!$A$2:$A$2038,0)),"")</f>
        <v/>
      </c>
      <c r="E438" s="388"/>
      <c r="F438" s="374"/>
      <c r="G438" s="375"/>
      <c r="H438" s="397"/>
      <c r="I438" s="377"/>
      <c r="J438" s="378"/>
      <c r="K438" s="379"/>
      <c r="L438" s="387"/>
      <c r="M438" s="380" t="str">
        <f t="array" ref="M438">IF(L438="","",(MAX(IF(AN$15:AN$144=B438,AO$15:AO$144))/60))</f>
        <v/>
      </c>
      <c r="N438" s="387"/>
      <c r="O438" s="387"/>
      <c r="P438" s="381" t="str">
        <f t="shared" si="25"/>
        <v/>
      </c>
      <c r="Q438" s="382" t="str">
        <f t="array" ref="Q438">IFERROR(INDEX($D$13:$D$1000,MATCH(0,COUNTIF($Q$13:Q437,$D$13:$D$1000&amp;"")+IF($D$13:$D$1000="",1,0),0)),"")</f>
        <v/>
      </c>
      <c r="R438" s="356" t="str">
        <f t="shared" si="26"/>
        <v/>
      </c>
      <c r="S438" s="383" t="str">
        <f t="shared" si="28"/>
        <v/>
      </c>
      <c r="T438" s="384" t="str">
        <f t="shared" si="27"/>
        <v/>
      </c>
      <c r="U438" s="349"/>
      <c r="V438" s="385"/>
      <c r="W438" s="385"/>
      <c r="X438" s="386"/>
    </row>
    <row r="439" spans="2:24">
      <c r="B439" s="395"/>
      <c r="C439" s="371"/>
      <c r="D439" s="372" t="str">
        <f>IFERROR(INDEX('[11]Equipment List'!$B$2:$B$2038,MATCH(E439,'[11]Equipment List'!$A$2:$A$2038,0)),"")</f>
        <v/>
      </c>
      <c r="E439" s="388"/>
      <c r="F439" s="374"/>
      <c r="G439" s="375"/>
      <c r="H439" s="397"/>
      <c r="I439" s="377"/>
      <c r="J439" s="378"/>
      <c r="K439" s="379"/>
      <c r="L439" s="387"/>
      <c r="M439" s="380" t="str">
        <f t="array" ref="M439">IF(L439="","",(MAX(IF(AN$15:AN$144=B439,AO$15:AO$144))/60))</f>
        <v/>
      </c>
      <c r="N439" s="387"/>
      <c r="O439" s="387"/>
      <c r="P439" s="381" t="str">
        <f t="shared" si="25"/>
        <v/>
      </c>
      <c r="Q439" s="382" t="str">
        <f t="array" ref="Q439">IFERROR(INDEX($D$13:$D$1000,MATCH(0,COUNTIF($Q$13:Q438,$D$13:$D$1000&amp;"")+IF($D$13:$D$1000="",1,0),0)),"")</f>
        <v/>
      </c>
      <c r="R439" s="356" t="str">
        <f t="shared" si="26"/>
        <v/>
      </c>
      <c r="S439" s="383" t="str">
        <f t="shared" si="28"/>
        <v/>
      </c>
      <c r="T439" s="384" t="str">
        <f t="shared" si="27"/>
        <v/>
      </c>
      <c r="U439" s="349"/>
      <c r="V439" s="385"/>
      <c r="W439" s="385"/>
      <c r="X439" s="386"/>
    </row>
    <row r="440" spans="2:24">
      <c r="B440" s="395"/>
      <c r="C440" s="371"/>
      <c r="D440" s="372" t="str">
        <f>IFERROR(INDEX('[11]Equipment List'!$B$2:$B$2038,MATCH(E440,'[11]Equipment List'!$A$2:$A$2038,0)),"")</f>
        <v/>
      </c>
      <c r="E440" s="388"/>
      <c r="F440" s="374"/>
      <c r="G440" s="375"/>
      <c r="H440" s="397"/>
      <c r="I440" s="377"/>
      <c r="J440" s="378"/>
      <c r="K440" s="379"/>
      <c r="L440" s="387"/>
      <c r="M440" s="380" t="str">
        <f t="array" ref="M440">IF(L440="","",(MAX(IF(AN$15:AN$144=B440,AO$15:AO$144))/60))</f>
        <v/>
      </c>
      <c r="N440" s="387"/>
      <c r="O440" s="387"/>
      <c r="P440" s="381" t="str">
        <f t="shared" si="25"/>
        <v/>
      </c>
      <c r="Q440" s="382" t="str">
        <f t="array" ref="Q440">IFERROR(INDEX($D$13:$D$1000,MATCH(0,COUNTIF($Q$13:Q439,$D$13:$D$1000&amp;"")+IF($D$13:$D$1000="",1,0),0)),"")</f>
        <v/>
      </c>
      <c r="R440" s="356" t="str">
        <f t="shared" si="26"/>
        <v/>
      </c>
      <c r="S440" s="383" t="str">
        <f t="shared" si="28"/>
        <v/>
      </c>
      <c r="T440" s="384" t="str">
        <f t="shared" si="27"/>
        <v/>
      </c>
      <c r="U440" s="349"/>
      <c r="V440" s="385"/>
      <c r="W440" s="385"/>
      <c r="X440" s="386"/>
    </row>
    <row r="441" spans="2:24">
      <c r="B441" s="395"/>
      <c r="C441" s="371"/>
      <c r="D441" s="372" t="str">
        <f>IFERROR(INDEX('[11]Equipment List'!$B$2:$B$2038,MATCH(E441,'[11]Equipment List'!$A$2:$A$2038,0)),"")</f>
        <v/>
      </c>
      <c r="E441" s="388"/>
      <c r="F441" s="374"/>
      <c r="G441" s="375"/>
      <c r="H441" s="397"/>
      <c r="I441" s="377"/>
      <c r="J441" s="378"/>
      <c r="K441" s="379"/>
      <c r="L441" s="387"/>
      <c r="M441" s="380" t="str">
        <f t="array" ref="M441">IF(L441="","",(MAX(IF(AN$15:AN$144=B441,AO$15:AO$144))/60))</f>
        <v/>
      </c>
      <c r="N441" s="387"/>
      <c r="O441" s="387"/>
      <c r="P441" s="381" t="str">
        <f t="shared" si="25"/>
        <v/>
      </c>
      <c r="Q441" s="382" t="str">
        <f t="array" ref="Q441">IFERROR(INDEX($D$13:$D$1000,MATCH(0,COUNTIF($Q$13:Q440,$D$13:$D$1000&amp;"")+IF($D$13:$D$1000="",1,0),0)),"")</f>
        <v/>
      </c>
      <c r="R441" s="356" t="str">
        <f t="shared" si="26"/>
        <v/>
      </c>
      <c r="S441" s="383" t="str">
        <f t="shared" si="28"/>
        <v/>
      </c>
      <c r="T441" s="384" t="str">
        <f t="shared" si="27"/>
        <v/>
      </c>
      <c r="U441" s="349"/>
      <c r="V441" s="385"/>
      <c r="W441" s="385"/>
      <c r="X441" s="386"/>
    </row>
    <row r="442" spans="2:24">
      <c r="B442" s="395"/>
      <c r="C442" s="371"/>
      <c r="D442" s="372" t="str">
        <f>IFERROR(INDEX('[11]Equipment List'!$B$2:$B$2038,MATCH(E442,'[11]Equipment List'!$A$2:$A$2038,0)),"")</f>
        <v/>
      </c>
      <c r="E442" s="388"/>
      <c r="F442" s="374"/>
      <c r="G442" s="375"/>
      <c r="H442" s="397"/>
      <c r="I442" s="377"/>
      <c r="J442" s="378"/>
      <c r="K442" s="379"/>
      <c r="L442" s="387"/>
      <c r="M442" s="380" t="str">
        <f t="array" ref="M442">IF(L442="","",(MAX(IF(AN$15:AN$144=B442,AO$15:AO$144))/60))</f>
        <v/>
      </c>
      <c r="N442" s="387"/>
      <c r="O442" s="387"/>
      <c r="P442" s="381" t="str">
        <f t="shared" si="25"/>
        <v/>
      </c>
      <c r="Q442" s="382" t="str">
        <f t="array" ref="Q442">IFERROR(INDEX($D$13:$D$1000,MATCH(0,COUNTIF($Q$13:Q441,$D$13:$D$1000&amp;"")+IF($D$13:$D$1000="",1,0),0)),"")</f>
        <v/>
      </c>
      <c r="R442" s="356" t="str">
        <f t="shared" si="26"/>
        <v/>
      </c>
      <c r="S442" s="383" t="str">
        <f t="shared" si="28"/>
        <v/>
      </c>
      <c r="T442" s="384" t="str">
        <f t="shared" si="27"/>
        <v/>
      </c>
      <c r="U442" s="349"/>
      <c r="V442" s="385"/>
      <c r="W442" s="385"/>
      <c r="X442" s="386"/>
    </row>
    <row r="443" spans="2:24">
      <c r="B443" s="395"/>
      <c r="C443" s="371"/>
      <c r="D443" s="372" t="str">
        <f>IFERROR(INDEX('[11]Equipment List'!$B$2:$B$2038,MATCH(E443,'[11]Equipment List'!$A$2:$A$2038,0)),"")</f>
        <v/>
      </c>
      <c r="E443" s="388"/>
      <c r="F443" s="374"/>
      <c r="G443" s="375"/>
      <c r="H443" s="397"/>
      <c r="I443" s="377"/>
      <c r="J443" s="378"/>
      <c r="K443" s="379"/>
      <c r="L443" s="387"/>
      <c r="M443" s="380" t="str">
        <f t="array" ref="M443">IF(L443="","",(MAX(IF(AN$15:AN$144=B443,AO$15:AO$144))/60))</f>
        <v/>
      </c>
      <c r="N443" s="387"/>
      <c r="O443" s="387"/>
      <c r="P443" s="381" t="str">
        <f t="shared" si="25"/>
        <v/>
      </c>
      <c r="Q443" s="382" t="str">
        <f t="array" ref="Q443">IFERROR(INDEX($D$13:$D$1000,MATCH(0,COUNTIF($Q$13:Q442,$D$13:$D$1000&amp;"")+IF($D$13:$D$1000="",1,0),0)),"")</f>
        <v/>
      </c>
      <c r="R443" s="356" t="str">
        <f t="shared" si="26"/>
        <v/>
      </c>
      <c r="S443" s="383" t="str">
        <f t="shared" si="28"/>
        <v/>
      </c>
      <c r="T443" s="384" t="str">
        <f t="shared" si="27"/>
        <v/>
      </c>
      <c r="U443" s="349"/>
      <c r="V443" s="385"/>
      <c r="W443" s="385"/>
      <c r="X443" s="386"/>
    </row>
    <row r="444" spans="2:24">
      <c r="B444" s="395"/>
      <c r="C444" s="371"/>
      <c r="D444" s="372" t="str">
        <f>IFERROR(INDEX('[11]Equipment List'!$B$2:$B$2038,MATCH(E444,'[11]Equipment List'!$A$2:$A$2038,0)),"")</f>
        <v/>
      </c>
      <c r="E444" s="388"/>
      <c r="F444" s="374"/>
      <c r="G444" s="375"/>
      <c r="H444" s="397"/>
      <c r="I444" s="377"/>
      <c r="J444" s="378"/>
      <c r="K444" s="379"/>
      <c r="L444" s="387"/>
      <c r="M444" s="380" t="str">
        <f t="array" ref="M444">IF(L444="","",(MAX(IF(AN$15:AN$144=B444,AO$15:AO$144))/60))</f>
        <v/>
      </c>
      <c r="N444" s="387"/>
      <c r="O444" s="387"/>
      <c r="P444" s="381" t="str">
        <f t="shared" si="25"/>
        <v/>
      </c>
      <c r="Q444" s="382" t="str">
        <f t="array" ref="Q444">IFERROR(INDEX($D$13:$D$1000,MATCH(0,COUNTIF($Q$13:Q443,$D$13:$D$1000&amp;"")+IF($D$13:$D$1000="",1,0),0)),"")</f>
        <v/>
      </c>
      <c r="R444" s="356" t="str">
        <f t="shared" si="26"/>
        <v/>
      </c>
      <c r="S444" s="383" t="str">
        <f t="shared" si="28"/>
        <v/>
      </c>
      <c r="T444" s="384" t="str">
        <f t="shared" si="27"/>
        <v/>
      </c>
      <c r="U444" s="349"/>
      <c r="V444" s="385"/>
      <c r="W444" s="385"/>
      <c r="X444" s="386"/>
    </row>
    <row r="445" spans="2:24">
      <c r="B445" s="395"/>
      <c r="C445" s="371"/>
      <c r="D445" s="372" t="str">
        <f>IFERROR(INDEX('[11]Equipment List'!$B$2:$B$2038,MATCH(E445,'[11]Equipment List'!$A$2:$A$2038,0)),"")</f>
        <v/>
      </c>
      <c r="E445" s="388"/>
      <c r="F445" s="374"/>
      <c r="G445" s="375"/>
      <c r="H445" s="397"/>
      <c r="I445" s="377"/>
      <c r="J445" s="378"/>
      <c r="K445" s="379"/>
      <c r="L445" s="387"/>
      <c r="M445" s="380" t="str">
        <f t="array" ref="M445">IF(L445="","",(MAX(IF(AN$15:AN$144=B445,AO$15:AO$144))/60))</f>
        <v/>
      </c>
      <c r="N445" s="387"/>
      <c r="O445" s="387"/>
      <c r="P445" s="381" t="str">
        <f t="shared" si="25"/>
        <v/>
      </c>
      <c r="Q445" s="382" t="str">
        <f t="array" ref="Q445">IFERROR(INDEX($D$13:$D$1000,MATCH(0,COUNTIF($Q$13:Q444,$D$13:$D$1000&amp;"")+IF($D$13:$D$1000="",1,0),0)),"")</f>
        <v/>
      </c>
      <c r="R445" s="356" t="str">
        <f t="shared" si="26"/>
        <v/>
      </c>
      <c r="S445" s="383" t="str">
        <f t="shared" si="28"/>
        <v/>
      </c>
      <c r="T445" s="384" t="str">
        <f t="shared" si="27"/>
        <v/>
      </c>
      <c r="U445" s="349"/>
      <c r="V445" s="385"/>
      <c r="W445" s="385"/>
      <c r="X445" s="386"/>
    </row>
    <row r="446" spans="2:24">
      <c r="B446" s="395"/>
      <c r="C446" s="371"/>
      <c r="D446" s="372" t="str">
        <f>IFERROR(INDEX('[11]Equipment List'!$B$2:$B$2038,MATCH(E446,'[11]Equipment List'!$A$2:$A$2038,0)),"")</f>
        <v/>
      </c>
      <c r="E446" s="388"/>
      <c r="F446" s="374"/>
      <c r="G446" s="375"/>
      <c r="H446" s="397"/>
      <c r="I446" s="377"/>
      <c r="J446" s="378"/>
      <c r="K446" s="379"/>
      <c r="L446" s="387"/>
      <c r="M446" s="380" t="str">
        <f t="array" ref="M446">IF(L446="","",(MAX(IF(AN$15:AN$144=B446,AO$15:AO$144))/60))</f>
        <v/>
      </c>
      <c r="N446" s="387"/>
      <c r="O446" s="387"/>
      <c r="P446" s="381" t="str">
        <f t="shared" si="25"/>
        <v/>
      </c>
      <c r="Q446" s="382" t="str">
        <f t="array" ref="Q446">IFERROR(INDEX($D$13:$D$1000,MATCH(0,COUNTIF($Q$13:Q445,$D$13:$D$1000&amp;"")+IF($D$13:$D$1000="",1,0),0)),"")</f>
        <v/>
      </c>
      <c r="R446" s="356" t="str">
        <f t="shared" si="26"/>
        <v/>
      </c>
      <c r="S446" s="383" t="str">
        <f t="shared" si="28"/>
        <v/>
      </c>
      <c r="T446" s="384" t="str">
        <f t="shared" si="27"/>
        <v/>
      </c>
      <c r="U446" s="349"/>
      <c r="V446" s="385"/>
      <c r="W446" s="385"/>
      <c r="X446" s="386"/>
    </row>
    <row r="447" spans="2:24">
      <c r="B447" s="395"/>
      <c r="C447" s="371"/>
      <c r="D447" s="372" t="str">
        <f>IFERROR(INDEX('[11]Equipment List'!$B$2:$B$2038,MATCH(E447,'[11]Equipment List'!$A$2:$A$2038,0)),"")</f>
        <v/>
      </c>
      <c r="E447" s="388"/>
      <c r="F447" s="374"/>
      <c r="G447" s="375"/>
      <c r="H447" s="397"/>
      <c r="I447" s="377"/>
      <c r="J447" s="378"/>
      <c r="K447" s="379"/>
      <c r="L447" s="387"/>
      <c r="M447" s="380" t="str">
        <f t="array" ref="M447">IF(L447="","",(MAX(IF(AN$15:AN$144=B447,AO$15:AO$144))/60))</f>
        <v/>
      </c>
      <c r="N447" s="387"/>
      <c r="O447" s="387"/>
      <c r="P447" s="381" t="str">
        <f t="shared" si="25"/>
        <v/>
      </c>
      <c r="Q447" s="382" t="str">
        <f t="array" ref="Q447">IFERROR(INDEX($D$13:$D$1000,MATCH(0,COUNTIF($Q$13:Q446,$D$13:$D$1000&amp;"")+IF($D$13:$D$1000="",1,0),0)),"")</f>
        <v/>
      </c>
      <c r="R447" s="356" t="str">
        <f t="shared" si="26"/>
        <v/>
      </c>
      <c r="S447" s="383" t="str">
        <f t="shared" si="28"/>
        <v/>
      </c>
      <c r="T447" s="384" t="str">
        <f t="shared" si="27"/>
        <v/>
      </c>
      <c r="U447" s="349"/>
      <c r="V447" s="385"/>
      <c r="W447" s="385"/>
      <c r="X447" s="386"/>
    </row>
    <row r="448" spans="2:24">
      <c r="B448" s="395"/>
      <c r="C448" s="371"/>
      <c r="D448" s="372" t="str">
        <f>IFERROR(INDEX('[11]Equipment List'!$B$2:$B$2038,MATCH(E448,'[11]Equipment List'!$A$2:$A$2038,0)),"")</f>
        <v/>
      </c>
      <c r="E448" s="388"/>
      <c r="F448" s="374"/>
      <c r="G448" s="375"/>
      <c r="H448" s="397"/>
      <c r="I448" s="377"/>
      <c r="J448" s="378"/>
      <c r="K448" s="379"/>
      <c r="L448" s="387"/>
      <c r="M448" s="380" t="str">
        <f t="array" ref="M448">IF(L448="","",(MAX(IF(AN$15:AN$144=B448,AO$15:AO$144))/60))</f>
        <v/>
      </c>
      <c r="N448" s="387"/>
      <c r="O448" s="387"/>
      <c r="P448" s="381" t="str">
        <f t="shared" si="25"/>
        <v/>
      </c>
      <c r="Q448" s="382" t="str">
        <f t="array" ref="Q448">IFERROR(INDEX($D$13:$D$1000,MATCH(0,COUNTIF($Q$13:Q447,$D$13:$D$1000&amp;"")+IF($D$13:$D$1000="",1,0),0)),"")</f>
        <v/>
      </c>
      <c r="R448" s="356" t="str">
        <f t="shared" si="26"/>
        <v/>
      </c>
      <c r="S448" s="383" t="str">
        <f t="shared" si="28"/>
        <v/>
      </c>
      <c r="T448" s="384" t="str">
        <f t="shared" si="27"/>
        <v/>
      </c>
      <c r="U448" s="349"/>
      <c r="V448" s="385"/>
      <c r="W448" s="385"/>
      <c r="X448" s="386"/>
    </row>
    <row r="449" spans="2:24">
      <c r="B449" s="395"/>
      <c r="C449" s="371"/>
      <c r="D449" s="372" t="str">
        <f>IFERROR(INDEX('[11]Equipment List'!$B$2:$B$2038,MATCH(E449,'[11]Equipment List'!$A$2:$A$2038,0)),"")</f>
        <v/>
      </c>
      <c r="E449" s="388"/>
      <c r="F449" s="374"/>
      <c r="G449" s="375"/>
      <c r="H449" s="397"/>
      <c r="I449" s="377"/>
      <c r="J449" s="378"/>
      <c r="K449" s="379"/>
      <c r="L449" s="387"/>
      <c r="M449" s="380" t="str">
        <f t="array" ref="M449">IF(L449="","",(MAX(IF(AN$15:AN$144=B449,AO$15:AO$144))/60))</f>
        <v/>
      </c>
      <c r="N449" s="387"/>
      <c r="O449" s="387"/>
      <c r="P449" s="381" t="str">
        <f t="shared" si="25"/>
        <v/>
      </c>
      <c r="Q449" s="382" t="str">
        <f t="array" ref="Q449">IFERROR(INDEX($D$13:$D$1000,MATCH(0,COUNTIF($Q$13:Q448,$D$13:$D$1000&amp;"")+IF($D$13:$D$1000="",1,0),0)),"")</f>
        <v/>
      </c>
      <c r="R449" s="356" t="str">
        <f t="shared" si="26"/>
        <v/>
      </c>
      <c r="S449" s="383" t="str">
        <f t="shared" si="28"/>
        <v/>
      </c>
      <c r="T449" s="384" t="str">
        <f t="shared" si="27"/>
        <v/>
      </c>
      <c r="U449" s="349"/>
      <c r="V449" s="385"/>
      <c r="W449" s="385"/>
      <c r="X449" s="386"/>
    </row>
    <row r="450" spans="2:24">
      <c r="B450" s="395"/>
      <c r="C450" s="371"/>
      <c r="D450" s="372" t="str">
        <f>IFERROR(INDEX('[11]Equipment List'!$B$2:$B$2038,MATCH(E450,'[11]Equipment List'!$A$2:$A$2038,0)),"")</f>
        <v/>
      </c>
      <c r="E450" s="388"/>
      <c r="F450" s="374"/>
      <c r="G450" s="375"/>
      <c r="H450" s="397"/>
      <c r="I450" s="377"/>
      <c r="J450" s="378"/>
      <c r="K450" s="379"/>
      <c r="L450" s="387"/>
      <c r="M450" s="380" t="str">
        <f t="array" ref="M450">IF(L450="","",(MAX(IF(AN$15:AN$144=B450,AO$15:AO$144))/60))</f>
        <v/>
      </c>
      <c r="N450" s="387"/>
      <c r="O450" s="387"/>
      <c r="P450" s="381" t="str">
        <f t="shared" si="25"/>
        <v/>
      </c>
      <c r="Q450" s="382" t="str">
        <f t="array" ref="Q450">IFERROR(INDEX($D$13:$D$1000,MATCH(0,COUNTIF($Q$13:Q449,$D$13:$D$1000&amp;"")+IF($D$13:$D$1000="",1,0),0)),"")</f>
        <v/>
      </c>
      <c r="R450" s="356" t="str">
        <f t="shared" si="26"/>
        <v/>
      </c>
      <c r="S450" s="383" t="str">
        <f t="shared" si="28"/>
        <v/>
      </c>
      <c r="T450" s="384" t="str">
        <f t="shared" si="27"/>
        <v/>
      </c>
      <c r="U450" s="349"/>
      <c r="V450" s="385"/>
      <c r="W450" s="385"/>
      <c r="X450" s="386"/>
    </row>
    <row r="451" spans="2:24">
      <c r="B451" s="395"/>
      <c r="C451" s="371"/>
      <c r="D451" s="372" t="str">
        <f>IFERROR(INDEX('[11]Equipment List'!$B$2:$B$2038,MATCH(E451,'[11]Equipment List'!$A$2:$A$2038,0)),"")</f>
        <v/>
      </c>
      <c r="E451" s="388"/>
      <c r="F451" s="374"/>
      <c r="G451" s="375"/>
      <c r="H451" s="397"/>
      <c r="I451" s="377"/>
      <c r="J451" s="378"/>
      <c r="K451" s="379"/>
      <c r="L451" s="387"/>
      <c r="M451" s="380" t="str">
        <f t="array" ref="M451">IF(L451="","",(MAX(IF(AN$15:AN$144=B451,AO$15:AO$144))/60))</f>
        <v/>
      </c>
      <c r="N451" s="387"/>
      <c r="O451" s="387"/>
      <c r="P451" s="381" t="str">
        <f t="shared" si="25"/>
        <v/>
      </c>
      <c r="Q451" s="382" t="str">
        <f t="array" ref="Q451">IFERROR(INDEX($D$13:$D$1000,MATCH(0,COUNTIF($Q$13:Q450,$D$13:$D$1000&amp;"")+IF($D$13:$D$1000="",1,0),0)),"")</f>
        <v/>
      </c>
      <c r="R451" s="356" t="str">
        <f t="shared" si="26"/>
        <v/>
      </c>
      <c r="S451" s="383" t="str">
        <f t="shared" si="28"/>
        <v/>
      </c>
      <c r="T451" s="384" t="str">
        <f t="shared" si="27"/>
        <v/>
      </c>
      <c r="U451" s="349"/>
      <c r="V451" s="385"/>
      <c r="W451" s="385"/>
      <c r="X451" s="386"/>
    </row>
    <row r="452" spans="2:24">
      <c r="B452" s="395"/>
      <c r="C452" s="371"/>
      <c r="D452" s="372" t="str">
        <f>IFERROR(INDEX('[11]Equipment List'!$B$2:$B$2038,MATCH(E452,'[11]Equipment List'!$A$2:$A$2038,0)),"")</f>
        <v/>
      </c>
      <c r="E452" s="388"/>
      <c r="F452" s="374"/>
      <c r="G452" s="375"/>
      <c r="H452" s="397"/>
      <c r="I452" s="377"/>
      <c r="J452" s="378"/>
      <c r="K452" s="379"/>
      <c r="L452" s="387"/>
      <c r="M452" s="380" t="str">
        <f t="array" ref="M452">IF(L452="","",(MAX(IF(AN$15:AN$144=B452,AO$15:AO$144))/60))</f>
        <v/>
      </c>
      <c r="N452" s="387"/>
      <c r="O452" s="387"/>
      <c r="P452" s="381" t="str">
        <f t="shared" si="25"/>
        <v/>
      </c>
      <c r="Q452" s="382" t="str">
        <f t="array" ref="Q452">IFERROR(INDEX($D$13:$D$1000,MATCH(0,COUNTIF($Q$13:Q451,$D$13:$D$1000&amp;"")+IF($D$13:$D$1000="",1,0),0)),"")</f>
        <v/>
      </c>
      <c r="R452" s="356" t="str">
        <f t="shared" si="26"/>
        <v/>
      </c>
      <c r="S452" s="383" t="str">
        <f t="shared" si="28"/>
        <v/>
      </c>
      <c r="T452" s="384" t="str">
        <f t="shared" si="27"/>
        <v/>
      </c>
      <c r="U452" s="349"/>
      <c r="V452" s="385"/>
      <c r="W452" s="385"/>
      <c r="X452" s="386"/>
    </row>
    <row r="453" spans="2:24">
      <c r="B453" s="395"/>
      <c r="C453" s="371"/>
      <c r="D453" s="372" t="str">
        <f>IFERROR(INDEX('[11]Equipment List'!$B$2:$B$2038,MATCH(E453,'[11]Equipment List'!$A$2:$A$2038,0)),"")</f>
        <v/>
      </c>
      <c r="E453" s="388"/>
      <c r="F453" s="374"/>
      <c r="G453" s="375"/>
      <c r="H453" s="397"/>
      <c r="I453" s="377"/>
      <c r="J453" s="378"/>
      <c r="K453" s="379"/>
      <c r="L453" s="387"/>
      <c r="M453" s="380" t="str">
        <f t="array" ref="M453">IF(L453="","",(MAX(IF(AN$15:AN$144=B453,AO$15:AO$144))/60))</f>
        <v/>
      </c>
      <c r="N453" s="387"/>
      <c r="O453" s="387"/>
      <c r="P453" s="381" t="str">
        <f t="shared" si="25"/>
        <v/>
      </c>
      <c r="Q453" s="382" t="str">
        <f t="array" ref="Q453">IFERROR(INDEX($D$13:$D$1000,MATCH(0,COUNTIF($Q$13:Q452,$D$13:$D$1000&amp;"")+IF($D$13:$D$1000="",1,0),0)),"")</f>
        <v/>
      </c>
      <c r="R453" s="356" t="str">
        <f t="shared" si="26"/>
        <v/>
      </c>
      <c r="S453" s="383" t="str">
        <f t="shared" si="28"/>
        <v/>
      </c>
      <c r="T453" s="384" t="str">
        <f t="shared" si="27"/>
        <v/>
      </c>
      <c r="U453" s="349"/>
      <c r="V453" s="385"/>
      <c r="W453" s="385"/>
      <c r="X453" s="386"/>
    </row>
    <row r="454" spans="2:24">
      <c r="B454" s="395"/>
      <c r="C454" s="371"/>
      <c r="D454" s="372" t="str">
        <f>IFERROR(INDEX('[11]Equipment List'!$B$2:$B$2038,MATCH(E454,'[11]Equipment List'!$A$2:$A$2038,0)),"")</f>
        <v/>
      </c>
      <c r="E454" s="388"/>
      <c r="F454" s="374"/>
      <c r="G454" s="375"/>
      <c r="H454" s="397"/>
      <c r="I454" s="377"/>
      <c r="J454" s="378"/>
      <c r="K454" s="379"/>
      <c r="L454" s="387"/>
      <c r="M454" s="380" t="str">
        <f t="array" ref="M454">IF(L454="","",(MAX(IF(AN$15:AN$144=B454,AO$15:AO$144))/60))</f>
        <v/>
      </c>
      <c r="N454" s="387"/>
      <c r="O454" s="387"/>
      <c r="P454" s="381" t="str">
        <f t="shared" si="25"/>
        <v/>
      </c>
      <c r="Q454" s="382" t="str">
        <f t="array" ref="Q454">IFERROR(INDEX($D$13:$D$1000,MATCH(0,COUNTIF($Q$13:Q453,$D$13:$D$1000&amp;"")+IF($D$13:$D$1000="",1,0),0)),"")</f>
        <v/>
      </c>
      <c r="R454" s="356" t="str">
        <f t="shared" si="26"/>
        <v/>
      </c>
      <c r="S454" s="383" t="str">
        <f t="shared" si="28"/>
        <v/>
      </c>
      <c r="T454" s="384" t="str">
        <f t="shared" si="27"/>
        <v/>
      </c>
      <c r="U454" s="349"/>
      <c r="V454" s="385"/>
      <c r="W454" s="385"/>
      <c r="X454" s="386"/>
    </row>
    <row r="455" spans="2:24">
      <c r="B455" s="395"/>
      <c r="C455" s="371"/>
      <c r="D455" s="372" t="str">
        <f>IFERROR(INDEX('[11]Equipment List'!$B$2:$B$2038,MATCH(E455,'[11]Equipment List'!$A$2:$A$2038,0)),"")</f>
        <v/>
      </c>
      <c r="E455" s="388"/>
      <c r="F455" s="374"/>
      <c r="G455" s="375"/>
      <c r="H455" s="397"/>
      <c r="I455" s="377"/>
      <c r="J455" s="378"/>
      <c r="K455" s="379"/>
      <c r="L455" s="387"/>
      <c r="M455" s="380" t="str">
        <f t="array" ref="M455">IF(L455="","",(MAX(IF(AN$15:AN$144=B455,AO$15:AO$144))/60))</f>
        <v/>
      </c>
      <c r="N455" s="387"/>
      <c r="O455" s="387"/>
      <c r="P455" s="381" t="str">
        <f t="shared" si="25"/>
        <v/>
      </c>
      <c r="Q455" s="382" t="str">
        <f t="array" ref="Q455">IFERROR(INDEX($D$13:$D$1000,MATCH(0,COUNTIF($Q$13:Q454,$D$13:$D$1000&amp;"")+IF($D$13:$D$1000="",1,0),0)),"")</f>
        <v/>
      </c>
      <c r="R455" s="356" t="str">
        <f t="shared" si="26"/>
        <v/>
      </c>
      <c r="S455" s="383" t="str">
        <f t="shared" si="28"/>
        <v/>
      </c>
      <c r="T455" s="384" t="str">
        <f t="shared" si="27"/>
        <v/>
      </c>
      <c r="U455" s="349"/>
      <c r="V455" s="385"/>
      <c r="W455" s="385"/>
      <c r="X455" s="386"/>
    </row>
    <row r="456" spans="2:24">
      <c r="B456" s="395"/>
      <c r="C456" s="371"/>
      <c r="D456" s="372" t="str">
        <f>IFERROR(INDEX('[11]Equipment List'!$B$2:$B$2038,MATCH(E456,'[11]Equipment List'!$A$2:$A$2038,0)),"")</f>
        <v/>
      </c>
      <c r="E456" s="388"/>
      <c r="F456" s="374"/>
      <c r="G456" s="375"/>
      <c r="H456" s="397"/>
      <c r="I456" s="377"/>
      <c r="J456" s="378"/>
      <c r="K456" s="379"/>
      <c r="L456" s="387"/>
      <c r="M456" s="380" t="str">
        <f t="array" ref="M456">IF(L456="","",(MAX(IF(AN$15:AN$144=B456,AO$15:AO$144))/60))</f>
        <v/>
      </c>
      <c r="N456" s="387"/>
      <c r="O456" s="387"/>
      <c r="P456" s="381" t="str">
        <f t="shared" si="25"/>
        <v/>
      </c>
      <c r="Q456" s="382" t="str">
        <f t="array" ref="Q456">IFERROR(INDEX($D$13:$D$1000,MATCH(0,COUNTIF($Q$13:Q455,$D$13:$D$1000&amp;"")+IF($D$13:$D$1000="",1,0),0)),"")</f>
        <v/>
      </c>
      <c r="R456" s="356" t="str">
        <f t="shared" si="26"/>
        <v/>
      </c>
      <c r="S456" s="383" t="str">
        <f t="shared" si="28"/>
        <v/>
      </c>
      <c r="T456" s="384" t="str">
        <f t="shared" si="27"/>
        <v/>
      </c>
      <c r="U456" s="349"/>
      <c r="V456" s="385"/>
      <c r="W456" s="385"/>
      <c r="X456" s="386"/>
    </row>
    <row r="457" spans="2:24">
      <c r="B457" s="395"/>
      <c r="C457" s="371"/>
      <c r="D457" s="372" t="str">
        <f>IFERROR(INDEX('[11]Equipment List'!$B$2:$B$2038,MATCH(E457,'[11]Equipment List'!$A$2:$A$2038,0)),"")</f>
        <v/>
      </c>
      <c r="E457" s="388"/>
      <c r="F457" s="374"/>
      <c r="G457" s="375"/>
      <c r="H457" s="397"/>
      <c r="I457" s="377"/>
      <c r="J457" s="378"/>
      <c r="K457" s="379"/>
      <c r="L457" s="387"/>
      <c r="M457" s="380" t="str">
        <f t="array" ref="M457">IF(L457="","",(MAX(IF(AN$15:AN$144=B457,AO$15:AO$144))/60))</f>
        <v/>
      </c>
      <c r="N457" s="387"/>
      <c r="O457" s="387"/>
      <c r="P457" s="381" t="str">
        <f t="shared" si="25"/>
        <v/>
      </c>
      <c r="Q457" s="382" t="str">
        <f t="array" ref="Q457">IFERROR(INDEX($D$13:$D$1000,MATCH(0,COUNTIF($Q$13:Q456,$D$13:$D$1000&amp;"")+IF($D$13:$D$1000="",1,0),0)),"")</f>
        <v/>
      </c>
      <c r="R457" s="356" t="str">
        <f t="shared" si="26"/>
        <v/>
      </c>
      <c r="S457" s="383" t="str">
        <f t="shared" si="28"/>
        <v/>
      </c>
      <c r="T457" s="384" t="str">
        <f t="shared" si="27"/>
        <v/>
      </c>
      <c r="U457" s="349"/>
      <c r="V457" s="385"/>
      <c r="W457" s="385"/>
      <c r="X457" s="386"/>
    </row>
    <row r="458" spans="2:24">
      <c r="B458" s="395"/>
      <c r="C458" s="371"/>
      <c r="D458" s="372" t="str">
        <f>IFERROR(INDEX('[11]Equipment List'!$B$2:$B$2038,MATCH(E458,'[11]Equipment List'!$A$2:$A$2038,0)),"")</f>
        <v/>
      </c>
      <c r="E458" s="388"/>
      <c r="F458" s="374"/>
      <c r="G458" s="375"/>
      <c r="H458" s="397"/>
      <c r="I458" s="377"/>
      <c r="J458" s="378"/>
      <c r="K458" s="379"/>
      <c r="L458" s="387"/>
      <c r="M458" s="380" t="str">
        <f t="array" ref="M458">IF(L458="","",(MAX(IF(AN$15:AN$144=B458,AO$15:AO$144))/60))</f>
        <v/>
      </c>
      <c r="N458" s="387"/>
      <c r="O458" s="387"/>
      <c r="P458" s="381" t="str">
        <f t="shared" si="25"/>
        <v/>
      </c>
      <c r="Q458" s="382" t="str">
        <f t="array" ref="Q458">IFERROR(INDEX($D$13:$D$1000,MATCH(0,COUNTIF($Q$13:Q457,$D$13:$D$1000&amp;"")+IF($D$13:$D$1000="",1,0),0)),"")</f>
        <v/>
      </c>
      <c r="R458" s="356" t="str">
        <f t="shared" si="26"/>
        <v/>
      </c>
      <c r="S458" s="383" t="str">
        <f t="shared" si="28"/>
        <v/>
      </c>
      <c r="T458" s="384" t="str">
        <f t="shared" si="27"/>
        <v/>
      </c>
      <c r="U458" s="349"/>
      <c r="V458" s="385"/>
      <c r="W458" s="385"/>
      <c r="X458" s="386"/>
    </row>
    <row r="459" spans="2:24">
      <c r="B459" s="395"/>
      <c r="C459" s="371"/>
      <c r="D459" s="372" t="str">
        <f>IFERROR(INDEX('[11]Equipment List'!$B$2:$B$2038,MATCH(E459,'[11]Equipment List'!$A$2:$A$2038,0)),"")</f>
        <v/>
      </c>
      <c r="E459" s="388"/>
      <c r="F459" s="374"/>
      <c r="G459" s="375"/>
      <c r="H459" s="397"/>
      <c r="I459" s="377"/>
      <c r="J459" s="378"/>
      <c r="K459" s="379"/>
      <c r="L459" s="387"/>
      <c r="M459" s="380" t="str">
        <f t="array" ref="M459">IF(L459="","",(MAX(IF(AN$15:AN$144=B459,AO$15:AO$144))/60))</f>
        <v/>
      </c>
      <c r="N459" s="387"/>
      <c r="O459" s="387"/>
      <c r="P459" s="381" t="str">
        <f t="shared" si="25"/>
        <v/>
      </c>
      <c r="Q459" s="382" t="str">
        <f t="array" ref="Q459">IFERROR(INDEX($D$13:$D$1000,MATCH(0,COUNTIF($Q$13:Q458,$D$13:$D$1000&amp;"")+IF($D$13:$D$1000="",1,0),0)),"")</f>
        <v/>
      </c>
      <c r="R459" s="356" t="str">
        <f t="shared" si="26"/>
        <v/>
      </c>
      <c r="S459" s="383" t="str">
        <f t="shared" si="28"/>
        <v/>
      </c>
      <c r="T459" s="384" t="str">
        <f t="shared" si="27"/>
        <v/>
      </c>
      <c r="U459" s="349"/>
      <c r="V459" s="385"/>
      <c r="W459" s="385"/>
      <c r="X459" s="386"/>
    </row>
    <row r="460" spans="2:24">
      <c r="B460" s="395"/>
      <c r="C460" s="371"/>
      <c r="D460" s="372" t="str">
        <f>IFERROR(INDEX('[11]Equipment List'!$B$2:$B$2038,MATCH(E460,'[11]Equipment List'!$A$2:$A$2038,0)),"")</f>
        <v/>
      </c>
      <c r="E460" s="388"/>
      <c r="F460" s="374"/>
      <c r="G460" s="375"/>
      <c r="H460" s="397"/>
      <c r="I460" s="377"/>
      <c r="J460" s="378"/>
      <c r="K460" s="379"/>
      <c r="L460" s="387"/>
      <c r="M460" s="380" t="str">
        <f t="array" ref="M460">IF(L460="","",(MAX(IF(AN$15:AN$144=B460,AO$15:AO$144))/60))</f>
        <v/>
      </c>
      <c r="N460" s="387"/>
      <c r="O460" s="387"/>
      <c r="P460" s="381" t="str">
        <f t="shared" ref="P460:P523" si="29">IFERROR((((K460/5/250/$F$8)+(N460*$F$9))/$S$4)*(M460/60),"")</f>
        <v/>
      </c>
      <c r="Q460" s="382" t="str">
        <f t="array" ref="Q460">IFERROR(INDEX($D$13:$D$1000,MATCH(0,COUNTIF($Q$13:Q459,$D$13:$D$1000&amp;"")+IF($D$13:$D$1000="",1,0),0)),"")</f>
        <v/>
      </c>
      <c r="R460" s="356" t="str">
        <f t="shared" si="26"/>
        <v/>
      </c>
      <c r="S460" s="383" t="str">
        <f t="shared" si="28"/>
        <v/>
      </c>
      <c r="T460" s="384" t="str">
        <f t="shared" si="27"/>
        <v/>
      </c>
      <c r="U460" s="349"/>
      <c r="V460" s="385"/>
      <c r="W460" s="385"/>
      <c r="X460" s="386"/>
    </row>
    <row r="461" spans="2:24">
      <c r="B461" s="395"/>
      <c r="C461" s="371"/>
      <c r="D461" s="372" t="str">
        <f>IFERROR(INDEX('[11]Equipment List'!$B$2:$B$2038,MATCH(E461,'[11]Equipment List'!$A$2:$A$2038,0)),"")</f>
        <v/>
      </c>
      <c r="E461" s="388"/>
      <c r="F461" s="374"/>
      <c r="G461" s="375"/>
      <c r="H461" s="397"/>
      <c r="I461" s="377"/>
      <c r="J461" s="378"/>
      <c r="K461" s="379"/>
      <c r="L461" s="387"/>
      <c r="M461" s="380" t="str">
        <f t="array" ref="M461">IF(L461="","",(MAX(IF(AN$15:AN$144=B461,AO$15:AO$144))/60))</f>
        <v/>
      </c>
      <c r="N461" s="387"/>
      <c r="O461" s="387"/>
      <c r="P461" s="381" t="str">
        <f t="shared" si="29"/>
        <v/>
      </c>
      <c r="Q461" s="382" t="str">
        <f t="array" ref="Q461">IFERROR(INDEX($D$13:$D$1000,MATCH(0,COUNTIF($Q$13:Q460,$D$13:$D$1000&amp;"")+IF($D$13:$D$1000="",1,0),0)),"")</f>
        <v/>
      </c>
      <c r="R461" s="356" t="str">
        <f t="shared" ref="R461:R524" si="30">IF(Q461="","",COUNTIF($D$13:$D$1000,$Q461))</f>
        <v/>
      </c>
      <c r="S461" s="383" t="str">
        <f t="shared" si="28"/>
        <v/>
      </c>
      <c r="T461" s="384" t="str">
        <f t="shared" ref="T461:T524" si="31">IF($Q461="","",SUMIF($D$13:$D$1000,$Q461,N$13:N$1000))</f>
        <v/>
      </c>
      <c r="U461" s="349"/>
      <c r="V461" s="385"/>
      <c r="W461" s="385"/>
      <c r="X461" s="386"/>
    </row>
    <row r="462" spans="2:24">
      <c r="B462" s="395"/>
      <c r="C462" s="371"/>
      <c r="D462" s="372" t="str">
        <f>IFERROR(INDEX('[11]Equipment List'!$B$2:$B$2038,MATCH(E462,'[11]Equipment List'!$A$2:$A$2038,0)),"")</f>
        <v/>
      </c>
      <c r="E462" s="388"/>
      <c r="F462" s="374"/>
      <c r="G462" s="375"/>
      <c r="H462" s="397"/>
      <c r="I462" s="377"/>
      <c r="J462" s="378"/>
      <c r="K462" s="379"/>
      <c r="L462" s="387"/>
      <c r="M462" s="380" t="str">
        <f t="array" ref="M462">IF(L462="","",(MAX(IF(AN$15:AN$144=B462,AO$15:AO$144))/60))</f>
        <v/>
      </c>
      <c r="N462" s="387"/>
      <c r="O462" s="387"/>
      <c r="P462" s="381" t="str">
        <f t="shared" si="29"/>
        <v/>
      </c>
      <c r="Q462" s="382" t="str">
        <f t="array" ref="Q462">IFERROR(INDEX($D$13:$D$1000,MATCH(0,COUNTIF($Q$13:Q461,$D$13:$D$1000&amp;"")+IF($D$13:$D$1000="",1,0),0)),"")</f>
        <v/>
      </c>
      <c r="R462" s="356" t="str">
        <f t="shared" si="30"/>
        <v/>
      </c>
      <c r="S462" s="383" t="str">
        <f t="shared" si="28"/>
        <v/>
      </c>
      <c r="T462" s="384" t="str">
        <f t="shared" si="31"/>
        <v/>
      </c>
      <c r="U462" s="349"/>
      <c r="V462" s="385"/>
      <c r="W462" s="385"/>
      <c r="X462" s="386"/>
    </row>
    <row r="463" spans="2:24">
      <c r="B463" s="395"/>
      <c r="C463" s="371"/>
      <c r="D463" s="372" t="str">
        <f>IFERROR(INDEX('[11]Equipment List'!$B$2:$B$2038,MATCH(E463,'[11]Equipment List'!$A$2:$A$2038,0)),"")</f>
        <v/>
      </c>
      <c r="E463" s="388"/>
      <c r="F463" s="374"/>
      <c r="G463" s="375"/>
      <c r="H463" s="397"/>
      <c r="I463" s="377"/>
      <c r="J463" s="378"/>
      <c r="K463" s="379"/>
      <c r="L463" s="387"/>
      <c r="M463" s="380" t="str">
        <f t="array" ref="M463">IF(L463="","",(MAX(IF(AN$15:AN$144=B463,AO$15:AO$144))/60))</f>
        <v/>
      </c>
      <c r="N463" s="387"/>
      <c r="O463" s="387"/>
      <c r="P463" s="381" t="str">
        <f t="shared" si="29"/>
        <v/>
      </c>
      <c r="Q463" s="382" t="str">
        <f t="array" ref="Q463">IFERROR(INDEX($D$13:$D$1000,MATCH(0,COUNTIF($Q$13:Q462,$D$13:$D$1000&amp;"")+IF($D$13:$D$1000="",1,0),0)),"")</f>
        <v/>
      </c>
      <c r="R463" s="356" t="str">
        <f t="shared" si="30"/>
        <v/>
      </c>
      <c r="S463" s="383" t="str">
        <f t="shared" si="28"/>
        <v/>
      </c>
      <c r="T463" s="384" t="str">
        <f t="shared" si="31"/>
        <v/>
      </c>
      <c r="U463" s="349"/>
      <c r="V463" s="385"/>
      <c r="W463" s="385"/>
      <c r="X463" s="386"/>
    </row>
    <row r="464" spans="2:24">
      <c r="B464" s="395"/>
      <c r="C464" s="371"/>
      <c r="D464" s="372" t="str">
        <f>IFERROR(INDEX('[11]Equipment List'!$B$2:$B$2038,MATCH(E464,'[11]Equipment List'!$A$2:$A$2038,0)),"")</f>
        <v/>
      </c>
      <c r="E464" s="388"/>
      <c r="F464" s="374"/>
      <c r="G464" s="375"/>
      <c r="H464" s="397"/>
      <c r="I464" s="377"/>
      <c r="J464" s="378"/>
      <c r="K464" s="379"/>
      <c r="L464" s="387"/>
      <c r="M464" s="380" t="str">
        <f t="array" ref="M464">IF(L464="","",(MAX(IF(AN$15:AN$144=B464,AO$15:AO$144))/60))</f>
        <v/>
      </c>
      <c r="N464" s="387"/>
      <c r="O464" s="387"/>
      <c r="P464" s="381" t="str">
        <f t="shared" si="29"/>
        <v/>
      </c>
      <c r="Q464" s="382" t="str">
        <f t="array" ref="Q464">IFERROR(INDEX($D$13:$D$1000,MATCH(0,COUNTIF($Q$13:Q463,$D$13:$D$1000&amp;"")+IF($D$13:$D$1000="",1,0),0)),"")</f>
        <v/>
      </c>
      <c r="R464" s="356" t="str">
        <f t="shared" si="30"/>
        <v/>
      </c>
      <c r="S464" s="383" t="str">
        <f t="shared" si="28"/>
        <v/>
      </c>
      <c r="T464" s="384" t="str">
        <f t="shared" si="31"/>
        <v/>
      </c>
      <c r="U464" s="349"/>
      <c r="V464" s="385"/>
      <c r="W464" s="385"/>
      <c r="X464" s="386"/>
    </row>
    <row r="465" spans="2:24">
      <c r="B465" s="395"/>
      <c r="C465" s="371"/>
      <c r="D465" s="372" t="str">
        <f>IFERROR(INDEX('[11]Equipment List'!$B$2:$B$2038,MATCH(E465,'[11]Equipment List'!$A$2:$A$2038,0)),"")</f>
        <v/>
      </c>
      <c r="E465" s="388"/>
      <c r="F465" s="374"/>
      <c r="G465" s="375"/>
      <c r="H465" s="397"/>
      <c r="I465" s="377"/>
      <c r="J465" s="378"/>
      <c r="K465" s="379"/>
      <c r="L465" s="387"/>
      <c r="M465" s="380" t="str">
        <f t="array" ref="M465">IF(L465="","",(MAX(IF(AN$15:AN$144=B465,AO$15:AO$144))/60))</f>
        <v/>
      </c>
      <c r="N465" s="387"/>
      <c r="O465" s="387"/>
      <c r="P465" s="381" t="str">
        <f t="shared" si="29"/>
        <v/>
      </c>
      <c r="Q465" s="382" t="str">
        <f t="array" ref="Q465">IFERROR(INDEX($D$13:$D$1000,MATCH(0,COUNTIF($Q$13:Q464,$D$13:$D$1000&amp;"")+IF($D$13:$D$1000="",1,0),0)),"")</f>
        <v/>
      </c>
      <c r="R465" s="356" t="str">
        <f t="shared" si="30"/>
        <v/>
      </c>
      <c r="S465" s="383" t="str">
        <f t="shared" si="28"/>
        <v/>
      </c>
      <c r="T465" s="384" t="str">
        <f t="shared" si="31"/>
        <v/>
      </c>
      <c r="U465" s="349"/>
      <c r="V465" s="385"/>
      <c r="W465" s="385"/>
      <c r="X465" s="386"/>
    </row>
    <row r="466" spans="2:24">
      <c r="B466" s="395"/>
      <c r="C466" s="371"/>
      <c r="D466" s="372" t="str">
        <f>IFERROR(INDEX('[11]Equipment List'!$B$2:$B$2038,MATCH(E466,'[11]Equipment List'!$A$2:$A$2038,0)),"")</f>
        <v/>
      </c>
      <c r="E466" s="388"/>
      <c r="F466" s="374"/>
      <c r="G466" s="375"/>
      <c r="H466" s="397"/>
      <c r="I466" s="377"/>
      <c r="J466" s="378"/>
      <c r="K466" s="379"/>
      <c r="L466" s="387"/>
      <c r="M466" s="380" t="str">
        <f t="array" ref="M466">IF(L466="","",(MAX(IF(AN$15:AN$144=B466,AO$15:AO$144))/60))</f>
        <v/>
      </c>
      <c r="N466" s="387"/>
      <c r="O466" s="387"/>
      <c r="P466" s="381" t="str">
        <f t="shared" si="29"/>
        <v/>
      </c>
      <c r="Q466" s="382" t="str">
        <f t="array" ref="Q466">IFERROR(INDEX($D$13:$D$1000,MATCH(0,COUNTIF($Q$13:Q465,$D$13:$D$1000&amp;"")+IF($D$13:$D$1000="",1,0),0)),"")</f>
        <v/>
      </c>
      <c r="R466" s="356" t="str">
        <f t="shared" si="30"/>
        <v/>
      </c>
      <c r="S466" s="383" t="str">
        <f t="shared" si="28"/>
        <v/>
      </c>
      <c r="T466" s="384" t="str">
        <f t="shared" si="31"/>
        <v/>
      </c>
      <c r="U466" s="349"/>
      <c r="V466" s="385"/>
      <c r="W466" s="385"/>
      <c r="X466" s="386"/>
    </row>
    <row r="467" spans="2:24">
      <c r="B467" s="395"/>
      <c r="C467" s="371"/>
      <c r="D467" s="372" t="str">
        <f>IFERROR(INDEX('[11]Equipment List'!$B$2:$B$2038,MATCH(E467,'[11]Equipment List'!$A$2:$A$2038,0)),"")</f>
        <v/>
      </c>
      <c r="E467" s="388"/>
      <c r="F467" s="374"/>
      <c r="G467" s="375"/>
      <c r="H467" s="397"/>
      <c r="I467" s="377"/>
      <c r="J467" s="378"/>
      <c r="K467" s="379"/>
      <c r="L467" s="387"/>
      <c r="M467" s="380" t="str">
        <f t="array" ref="M467">IF(L467="","",(MAX(IF(AN$15:AN$144=B467,AO$15:AO$144))/60))</f>
        <v/>
      </c>
      <c r="N467" s="387"/>
      <c r="O467" s="387"/>
      <c r="P467" s="381" t="str">
        <f t="shared" si="29"/>
        <v/>
      </c>
      <c r="Q467" s="382" t="str">
        <f t="array" ref="Q467">IFERROR(INDEX($D$13:$D$1000,MATCH(0,COUNTIF($Q$13:Q466,$D$13:$D$1000&amp;"")+IF($D$13:$D$1000="",1,0),0)),"")</f>
        <v/>
      </c>
      <c r="R467" s="356" t="str">
        <f t="shared" si="30"/>
        <v/>
      </c>
      <c r="S467" s="383" t="str">
        <f t="shared" si="28"/>
        <v/>
      </c>
      <c r="T467" s="384" t="str">
        <f t="shared" si="31"/>
        <v/>
      </c>
      <c r="U467" s="349"/>
      <c r="V467" s="385"/>
      <c r="W467" s="385"/>
      <c r="X467" s="386"/>
    </row>
    <row r="468" spans="2:24">
      <c r="B468" s="395"/>
      <c r="C468" s="371"/>
      <c r="D468" s="372" t="str">
        <f>IFERROR(INDEX('[11]Equipment List'!$B$2:$B$2038,MATCH(E468,'[11]Equipment List'!$A$2:$A$2038,0)),"")</f>
        <v/>
      </c>
      <c r="E468" s="388"/>
      <c r="F468" s="374"/>
      <c r="G468" s="375"/>
      <c r="H468" s="397"/>
      <c r="I468" s="377"/>
      <c r="J468" s="378"/>
      <c r="K468" s="379"/>
      <c r="L468" s="387"/>
      <c r="M468" s="380" t="str">
        <f t="array" ref="M468">IF(L468="","",(MAX(IF(AN$15:AN$144=B468,AO$15:AO$144))/60))</f>
        <v/>
      </c>
      <c r="N468" s="387"/>
      <c r="O468" s="387"/>
      <c r="P468" s="381" t="str">
        <f t="shared" si="29"/>
        <v/>
      </c>
      <c r="Q468" s="382" t="str">
        <f t="array" ref="Q468">IFERROR(INDEX($D$13:$D$1000,MATCH(0,COUNTIF($Q$13:Q467,$D$13:$D$1000&amp;"")+IF($D$13:$D$1000="",1,0),0)),"")</f>
        <v/>
      </c>
      <c r="R468" s="356" t="str">
        <f t="shared" si="30"/>
        <v/>
      </c>
      <c r="S468" s="383" t="str">
        <f t="shared" si="28"/>
        <v/>
      </c>
      <c r="T468" s="384" t="str">
        <f t="shared" si="31"/>
        <v/>
      </c>
      <c r="U468" s="349"/>
      <c r="V468" s="385"/>
      <c r="W468" s="385"/>
      <c r="X468" s="386"/>
    </row>
    <row r="469" spans="2:24">
      <c r="B469" s="395"/>
      <c r="C469" s="371"/>
      <c r="D469" s="372" t="str">
        <f>IFERROR(INDEX('[11]Equipment List'!$B$2:$B$2038,MATCH(E469,'[11]Equipment List'!$A$2:$A$2038,0)),"")</f>
        <v/>
      </c>
      <c r="E469" s="388"/>
      <c r="F469" s="374"/>
      <c r="G469" s="375"/>
      <c r="H469" s="397"/>
      <c r="I469" s="377"/>
      <c r="J469" s="378"/>
      <c r="K469" s="379"/>
      <c r="L469" s="387"/>
      <c r="M469" s="380" t="str">
        <f t="array" ref="M469">IF(L469="","",(MAX(IF(AN$15:AN$144=B469,AO$15:AO$144))/60))</f>
        <v/>
      </c>
      <c r="N469" s="387"/>
      <c r="O469" s="387"/>
      <c r="P469" s="381" t="str">
        <f t="shared" si="29"/>
        <v/>
      </c>
      <c r="Q469" s="382" t="str">
        <f t="array" ref="Q469">IFERROR(INDEX($D$13:$D$1000,MATCH(0,COUNTIF($Q$13:Q468,$D$13:$D$1000&amp;"")+IF($D$13:$D$1000="",1,0),0)),"")</f>
        <v/>
      </c>
      <c r="R469" s="356" t="str">
        <f t="shared" si="30"/>
        <v/>
      </c>
      <c r="S469" s="383" t="str">
        <f t="shared" si="28"/>
        <v/>
      </c>
      <c r="T469" s="384" t="str">
        <f t="shared" si="31"/>
        <v/>
      </c>
      <c r="U469" s="349"/>
      <c r="V469" s="385"/>
      <c r="W469" s="385"/>
      <c r="X469" s="386"/>
    </row>
    <row r="470" spans="2:24">
      <c r="B470" s="395"/>
      <c r="C470" s="371"/>
      <c r="D470" s="372" t="str">
        <f>IFERROR(INDEX('[11]Equipment List'!$B$2:$B$2038,MATCH(E470,'[11]Equipment List'!$A$2:$A$2038,0)),"")</f>
        <v/>
      </c>
      <c r="E470" s="388"/>
      <c r="F470" s="374"/>
      <c r="G470" s="375"/>
      <c r="H470" s="397"/>
      <c r="I470" s="377"/>
      <c r="J470" s="378"/>
      <c r="K470" s="379"/>
      <c r="L470" s="387"/>
      <c r="M470" s="380" t="str">
        <f t="array" ref="M470">IF(L470="","",(MAX(IF(AN$15:AN$144=B470,AO$15:AO$144))/60))</f>
        <v/>
      </c>
      <c r="N470" s="387"/>
      <c r="O470" s="387"/>
      <c r="P470" s="381" t="str">
        <f t="shared" si="29"/>
        <v/>
      </c>
      <c r="Q470" s="382" t="str">
        <f t="array" ref="Q470">IFERROR(INDEX($D$13:$D$1000,MATCH(0,COUNTIF($Q$13:Q469,$D$13:$D$1000&amp;"")+IF($D$13:$D$1000="",1,0),0)),"")</f>
        <v/>
      </c>
      <c r="R470" s="356" t="str">
        <f t="shared" si="30"/>
        <v/>
      </c>
      <c r="S470" s="383" t="str">
        <f t="shared" si="28"/>
        <v/>
      </c>
      <c r="T470" s="384" t="str">
        <f t="shared" si="31"/>
        <v/>
      </c>
      <c r="U470" s="349"/>
      <c r="V470" s="385"/>
      <c r="W470" s="385"/>
      <c r="X470" s="386"/>
    </row>
    <row r="471" spans="2:24">
      <c r="B471" s="395"/>
      <c r="C471" s="371"/>
      <c r="D471" s="372" t="str">
        <f>IFERROR(INDEX('[11]Equipment List'!$B$2:$B$2038,MATCH(E471,'[11]Equipment List'!$A$2:$A$2038,0)),"")</f>
        <v/>
      </c>
      <c r="E471" s="388"/>
      <c r="F471" s="374"/>
      <c r="G471" s="375"/>
      <c r="H471" s="397"/>
      <c r="I471" s="377"/>
      <c r="J471" s="378"/>
      <c r="K471" s="379"/>
      <c r="L471" s="387"/>
      <c r="M471" s="380" t="str">
        <f t="array" ref="M471">IF(L471="","",(MAX(IF(AN$15:AN$144=B471,AO$15:AO$144))/60))</f>
        <v/>
      </c>
      <c r="N471" s="387"/>
      <c r="O471" s="387"/>
      <c r="P471" s="381" t="str">
        <f t="shared" si="29"/>
        <v/>
      </c>
      <c r="Q471" s="382" t="str">
        <f t="array" ref="Q471">IFERROR(INDEX($D$13:$D$1000,MATCH(0,COUNTIF($Q$13:Q470,$D$13:$D$1000&amp;"")+IF($D$13:$D$1000="",1,0),0)),"")</f>
        <v/>
      </c>
      <c r="R471" s="356" t="str">
        <f t="shared" si="30"/>
        <v/>
      </c>
      <c r="S471" s="383" t="str">
        <f t="shared" si="28"/>
        <v/>
      </c>
      <c r="T471" s="384" t="str">
        <f t="shared" si="31"/>
        <v/>
      </c>
      <c r="U471" s="349"/>
      <c r="V471" s="385"/>
      <c r="W471" s="385"/>
      <c r="X471" s="386"/>
    </row>
    <row r="472" spans="2:24">
      <c r="B472" s="395"/>
      <c r="C472" s="371"/>
      <c r="D472" s="372" t="str">
        <f>IFERROR(INDEX('[11]Equipment List'!$B$2:$B$2038,MATCH(E472,'[11]Equipment List'!$A$2:$A$2038,0)),"")</f>
        <v/>
      </c>
      <c r="E472" s="388"/>
      <c r="F472" s="374"/>
      <c r="G472" s="375"/>
      <c r="H472" s="397"/>
      <c r="I472" s="377"/>
      <c r="J472" s="378"/>
      <c r="K472" s="379"/>
      <c r="L472" s="387"/>
      <c r="M472" s="380" t="str">
        <f t="array" ref="M472">IF(L472="","",(MAX(IF(AN$15:AN$144=B472,AO$15:AO$144))/60))</f>
        <v/>
      </c>
      <c r="N472" s="387"/>
      <c r="O472" s="387"/>
      <c r="P472" s="381" t="str">
        <f t="shared" si="29"/>
        <v/>
      </c>
      <c r="Q472" s="382" t="str">
        <f t="array" ref="Q472">IFERROR(INDEX($D$13:$D$1000,MATCH(0,COUNTIF($Q$13:Q471,$D$13:$D$1000&amp;"")+IF($D$13:$D$1000="",1,0),0)),"")</f>
        <v/>
      </c>
      <c r="R472" s="356" t="str">
        <f t="shared" si="30"/>
        <v/>
      </c>
      <c r="S472" s="383" t="str">
        <f t="shared" si="28"/>
        <v/>
      </c>
      <c r="T472" s="384" t="str">
        <f t="shared" si="31"/>
        <v/>
      </c>
      <c r="U472" s="349"/>
      <c r="V472" s="385"/>
      <c r="W472" s="385"/>
      <c r="X472" s="386"/>
    </row>
    <row r="473" spans="2:24">
      <c r="B473" s="395"/>
      <c r="C473" s="371"/>
      <c r="D473" s="372" t="str">
        <f>IFERROR(INDEX('[11]Equipment List'!$B$2:$B$2038,MATCH(E473,'[11]Equipment List'!$A$2:$A$2038,0)),"")</f>
        <v/>
      </c>
      <c r="E473" s="388"/>
      <c r="F473" s="374"/>
      <c r="G473" s="375"/>
      <c r="H473" s="397"/>
      <c r="I473" s="377"/>
      <c r="J473" s="378"/>
      <c r="K473" s="379"/>
      <c r="L473" s="387"/>
      <c r="M473" s="380" t="str">
        <f t="array" ref="M473">IF(L473="","",(MAX(IF(AN$15:AN$144=B473,AO$15:AO$144))/60))</f>
        <v/>
      </c>
      <c r="N473" s="387"/>
      <c r="O473" s="387"/>
      <c r="P473" s="381" t="str">
        <f t="shared" si="29"/>
        <v/>
      </c>
      <c r="Q473" s="382" t="str">
        <f t="array" ref="Q473">IFERROR(INDEX($D$13:$D$1000,MATCH(0,COUNTIF($Q$13:Q472,$D$13:$D$1000&amp;"")+IF($D$13:$D$1000="",1,0),0)),"")</f>
        <v/>
      </c>
      <c r="R473" s="356" t="str">
        <f t="shared" si="30"/>
        <v/>
      </c>
      <c r="S473" s="383" t="str">
        <f t="shared" si="28"/>
        <v/>
      </c>
      <c r="T473" s="384" t="str">
        <f t="shared" si="31"/>
        <v/>
      </c>
      <c r="U473" s="349"/>
      <c r="V473" s="385"/>
      <c r="W473" s="385"/>
      <c r="X473" s="386"/>
    </row>
    <row r="474" spans="2:24">
      <c r="B474" s="395"/>
      <c r="C474" s="371"/>
      <c r="D474" s="372" t="str">
        <f>IFERROR(INDEX('[11]Equipment List'!$B$2:$B$2038,MATCH(E474,'[11]Equipment List'!$A$2:$A$2038,0)),"")</f>
        <v/>
      </c>
      <c r="E474" s="388"/>
      <c r="F474" s="374"/>
      <c r="G474" s="375"/>
      <c r="H474" s="397"/>
      <c r="I474" s="377"/>
      <c r="J474" s="378"/>
      <c r="K474" s="379"/>
      <c r="L474" s="387"/>
      <c r="M474" s="380" t="str">
        <f t="array" ref="M474">IF(L474="","",(MAX(IF(AN$15:AN$144=B474,AO$15:AO$144))/60))</f>
        <v/>
      </c>
      <c r="N474" s="387"/>
      <c r="O474" s="387"/>
      <c r="P474" s="381" t="str">
        <f t="shared" si="29"/>
        <v/>
      </c>
      <c r="Q474" s="382" t="str">
        <f t="array" ref="Q474">IFERROR(INDEX($D$13:$D$1000,MATCH(0,COUNTIF($Q$13:Q473,$D$13:$D$1000&amp;"")+IF($D$13:$D$1000="",1,0),0)),"")</f>
        <v/>
      </c>
      <c r="R474" s="356" t="str">
        <f t="shared" si="30"/>
        <v/>
      </c>
      <c r="S474" s="383" t="str">
        <f t="shared" si="28"/>
        <v/>
      </c>
      <c r="T474" s="384" t="str">
        <f t="shared" si="31"/>
        <v/>
      </c>
      <c r="U474" s="349"/>
      <c r="V474" s="385"/>
      <c r="W474" s="385"/>
      <c r="X474" s="386"/>
    </row>
    <row r="475" spans="2:24">
      <c r="B475" s="395"/>
      <c r="C475" s="371"/>
      <c r="D475" s="372" t="str">
        <f>IFERROR(INDEX('[11]Equipment List'!$B$2:$B$2038,MATCH(E475,'[11]Equipment List'!$A$2:$A$2038,0)),"")</f>
        <v/>
      </c>
      <c r="E475" s="388"/>
      <c r="F475" s="374"/>
      <c r="G475" s="375"/>
      <c r="H475" s="397"/>
      <c r="I475" s="377"/>
      <c r="J475" s="378"/>
      <c r="K475" s="379"/>
      <c r="L475" s="387"/>
      <c r="M475" s="380" t="str">
        <f t="array" ref="M475">IF(L475="","",(MAX(IF(AN$15:AN$144=B475,AO$15:AO$144))/60))</f>
        <v/>
      </c>
      <c r="N475" s="387"/>
      <c r="O475" s="387"/>
      <c r="P475" s="381" t="str">
        <f t="shared" si="29"/>
        <v/>
      </c>
      <c r="Q475" s="382" t="str">
        <f t="array" ref="Q475">IFERROR(INDEX($D$13:$D$1000,MATCH(0,COUNTIF($Q$13:Q474,$D$13:$D$1000&amp;"")+IF($D$13:$D$1000="",1,0),0)),"")</f>
        <v/>
      </c>
      <c r="R475" s="356" t="str">
        <f t="shared" si="30"/>
        <v/>
      </c>
      <c r="S475" s="383" t="str">
        <f t="shared" si="28"/>
        <v/>
      </c>
      <c r="T475" s="384" t="str">
        <f t="shared" si="31"/>
        <v/>
      </c>
      <c r="U475" s="349"/>
      <c r="V475" s="385"/>
      <c r="W475" s="385"/>
      <c r="X475" s="386"/>
    </row>
    <row r="476" spans="2:24">
      <c r="B476" s="395"/>
      <c r="C476" s="371"/>
      <c r="D476" s="372" t="str">
        <f>IFERROR(INDEX('[11]Equipment List'!$B$2:$B$2038,MATCH(E476,'[11]Equipment List'!$A$2:$A$2038,0)),"")</f>
        <v/>
      </c>
      <c r="E476" s="388"/>
      <c r="F476" s="374"/>
      <c r="G476" s="375"/>
      <c r="H476" s="397"/>
      <c r="I476" s="377"/>
      <c r="J476" s="378"/>
      <c r="K476" s="379"/>
      <c r="L476" s="387"/>
      <c r="M476" s="380" t="str">
        <f t="array" ref="M476">IF(L476="","",(MAX(IF(AN$15:AN$144=B476,AO$15:AO$144))/60))</f>
        <v/>
      </c>
      <c r="N476" s="387"/>
      <c r="O476" s="387"/>
      <c r="P476" s="381" t="str">
        <f t="shared" si="29"/>
        <v/>
      </c>
      <c r="Q476" s="382" t="str">
        <f t="array" ref="Q476">IFERROR(INDEX($D$13:$D$1000,MATCH(0,COUNTIF($Q$13:Q475,$D$13:$D$1000&amp;"")+IF($D$13:$D$1000="",1,0),0)),"")</f>
        <v/>
      </c>
      <c r="R476" s="356" t="str">
        <f t="shared" si="30"/>
        <v/>
      </c>
      <c r="S476" s="383" t="str">
        <f t="shared" si="28"/>
        <v/>
      </c>
      <c r="T476" s="384" t="str">
        <f t="shared" si="31"/>
        <v/>
      </c>
      <c r="U476" s="349"/>
      <c r="V476" s="385"/>
      <c r="W476" s="385"/>
      <c r="X476" s="386"/>
    </row>
    <row r="477" spans="2:24">
      <c r="B477" s="395"/>
      <c r="C477" s="371"/>
      <c r="D477" s="372" t="str">
        <f>IFERROR(INDEX('[11]Equipment List'!$B$2:$B$2038,MATCH(E477,'[11]Equipment List'!$A$2:$A$2038,0)),"")</f>
        <v/>
      </c>
      <c r="E477" s="388"/>
      <c r="F477" s="374"/>
      <c r="G477" s="375"/>
      <c r="H477" s="397"/>
      <c r="I477" s="377"/>
      <c r="J477" s="378"/>
      <c r="K477" s="379"/>
      <c r="L477" s="387"/>
      <c r="M477" s="380" t="str">
        <f t="array" ref="M477">IF(L477="","",(MAX(IF(AN$15:AN$144=B477,AO$15:AO$144))/60))</f>
        <v/>
      </c>
      <c r="N477" s="387"/>
      <c r="O477" s="387"/>
      <c r="P477" s="381" t="str">
        <f t="shared" si="29"/>
        <v/>
      </c>
      <c r="Q477" s="382" t="str">
        <f t="array" ref="Q477">IFERROR(INDEX($D$13:$D$1000,MATCH(0,COUNTIF($Q$13:Q476,$D$13:$D$1000&amp;"")+IF($D$13:$D$1000="",1,0),0)),"")</f>
        <v/>
      </c>
      <c r="R477" s="356" t="str">
        <f t="shared" si="30"/>
        <v/>
      </c>
      <c r="S477" s="383" t="str">
        <f t="shared" si="28"/>
        <v/>
      </c>
      <c r="T477" s="384" t="str">
        <f t="shared" si="31"/>
        <v/>
      </c>
      <c r="U477" s="349"/>
      <c r="V477" s="385"/>
      <c r="W477" s="385"/>
      <c r="X477" s="386"/>
    </row>
    <row r="478" spans="2:24">
      <c r="B478" s="395"/>
      <c r="C478" s="371"/>
      <c r="D478" s="372" t="str">
        <f>IFERROR(INDEX('[11]Equipment List'!$B$2:$B$2038,MATCH(E478,'[11]Equipment List'!$A$2:$A$2038,0)),"")</f>
        <v/>
      </c>
      <c r="E478" s="388"/>
      <c r="F478" s="374"/>
      <c r="G478" s="375"/>
      <c r="H478" s="397"/>
      <c r="I478" s="377"/>
      <c r="J478" s="378"/>
      <c r="K478" s="379"/>
      <c r="L478" s="387"/>
      <c r="M478" s="380" t="str">
        <f t="array" ref="M478">IF(L478="","",(MAX(IF(AN$15:AN$144=B478,AO$15:AO$144))/60))</f>
        <v/>
      </c>
      <c r="N478" s="387"/>
      <c r="O478" s="387"/>
      <c r="P478" s="381" t="str">
        <f t="shared" si="29"/>
        <v/>
      </c>
      <c r="Q478" s="382" t="str">
        <f t="array" ref="Q478">IFERROR(INDEX($D$13:$D$1000,MATCH(0,COUNTIF($Q$13:Q477,$D$13:$D$1000&amp;"")+IF($D$13:$D$1000="",1,0),0)),"")</f>
        <v/>
      </c>
      <c r="R478" s="356" t="str">
        <f t="shared" si="30"/>
        <v/>
      </c>
      <c r="S478" s="383" t="str">
        <f t="shared" si="28"/>
        <v/>
      </c>
      <c r="T478" s="384" t="str">
        <f t="shared" si="31"/>
        <v/>
      </c>
      <c r="U478" s="349"/>
      <c r="V478" s="385"/>
      <c r="W478" s="385"/>
      <c r="X478" s="386"/>
    </row>
    <row r="479" spans="2:24">
      <c r="B479" s="395"/>
      <c r="C479" s="371"/>
      <c r="D479" s="372" t="str">
        <f>IFERROR(INDEX('[11]Equipment List'!$B$2:$B$2038,MATCH(E479,'[11]Equipment List'!$A$2:$A$2038,0)),"")</f>
        <v/>
      </c>
      <c r="E479" s="388"/>
      <c r="F479" s="374"/>
      <c r="G479" s="375"/>
      <c r="H479" s="397"/>
      <c r="I479" s="377"/>
      <c r="J479" s="378"/>
      <c r="K479" s="379"/>
      <c r="L479" s="387"/>
      <c r="M479" s="380" t="str">
        <f t="array" ref="M479">IF(L479="","",(MAX(IF(AN$15:AN$144=B479,AO$15:AO$144))/60))</f>
        <v/>
      </c>
      <c r="N479" s="387"/>
      <c r="O479" s="387"/>
      <c r="P479" s="381" t="str">
        <f t="shared" si="29"/>
        <v/>
      </c>
      <c r="Q479" s="382" t="str">
        <f t="array" ref="Q479">IFERROR(INDEX($D$13:$D$1000,MATCH(0,COUNTIF($Q$13:Q478,$D$13:$D$1000&amp;"")+IF($D$13:$D$1000="",1,0),0)),"")</f>
        <v/>
      </c>
      <c r="R479" s="356" t="str">
        <f t="shared" si="30"/>
        <v/>
      </c>
      <c r="S479" s="383" t="str">
        <f t="shared" si="28"/>
        <v/>
      </c>
      <c r="T479" s="384" t="str">
        <f t="shared" si="31"/>
        <v/>
      </c>
      <c r="U479" s="349"/>
      <c r="V479" s="385"/>
      <c r="W479" s="385"/>
      <c r="X479" s="386"/>
    </row>
    <row r="480" spans="2:24">
      <c r="B480" s="395"/>
      <c r="C480" s="371"/>
      <c r="D480" s="372" t="str">
        <f>IFERROR(INDEX('[11]Equipment List'!$B$2:$B$2038,MATCH(E480,'[11]Equipment List'!$A$2:$A$2038,0)),"")</f>
        <v/>
      </c>
      <c r="E480" s="388"/>
      <c r="F480" s="374"/>
      <c r="G480" s="375"/>
      <c r="H480" s="397"/>
      <c r="I480" s="377"/>
      <c r="J480" s="378"/>
      <c r="K480" s="379"/>
      <c r="L480" s="387"/>
      <c r="M480" s="380" t="str">
        <f t="array" ref="M480">IF(L480="","",(MAX(IF(AN$15:AN$144=B480,AO$15:AO$144))/60))</f>
        <v/>
      </c>
      <c r="N480" s="387"/>
      <c r="O480" s="387"/>
      <c r="P480" s="381" t="str">
        <f t="shared" si="29"/>
        <v/>
      </c>
      <c r="Q480" s="382" t="str">
        <f t="array" ref="Q480">IFERROR(INDEX($D$13:$D$1000,MATCH(0,COUNTIF($Q$13:Q479,$D$13:$D$1000&amp;"")+IF($D$13:$D$1000="",1,0),0)),"")</f>
        <v/>
      </c>
      <c r="R480" s="356" t="str">
        <f t="shared" si="30"/>
        <v/>
      </c>
      <c r="S480" s="383" t="str">
        <f t="shared" si="28"/>
        <v/>
      </c>
      <c r="T480" s="384" t="str">
        <f t="shared" si="31"/>
        <v/>
      </c>
      <c r="U480" s="349"/>
      <c r="V480" s="385"/>
      <c r="W480" s="385"/>
      <c r="X480" s="386"/>
    </row>
    <row r="481" spans="2:24">
      <c r="B481" s="395"/>
      <c r="C481" s="371"/>
      <c r="D481" s="372" t="str">
        <f>IFERROR(INDEX('[11]Equipment List'!$B$2:$B$2038,MATCH(E481,'[11]Equipment List'!$A$2:$A$2038,0)),"")</f>
        <v/>
      </c>
      <c r="E481" s="388"/>
      <c r="F481" s="374"/>
      <c r="G481" s="375"/>
      <c r="H481" s="397"/>
      <c r="I481" s="377"/>
      <c r="J481" s="378"/>
      <c r="K481" s="379"/>
      <c r="L481" s="387"/>
      <c r="M481" s="380" t="str">
        <f t="array" ref="M481">IF(L481="","",(MAX(IF(AN$15:AN$144=B481,AO$15:AO$144))/60))</f>
        <v/>
      </c>
      <c r="N481" s="387"/>
      <c r="O481" s="387"/>
      <c r="P481" s="381" t="str">
        <f t="shared" si="29"/>
        <v/>
      </c>
      <c r="Q481" s="382" t="str">
        <f t="array" ref="Q481">IFERROR(INDEX($D$13:$D$1000,MATCH(0,COUNTIF($Q$13:Q480,$D$13:$D$1000&amp;"")+IF($D$13:$D$1000="",1,0),0)),"")</f>
        <v/>
      </c>
      <c r="R481" s="356" t="str">
        <f t="shared" si="30"/>
        <v/>
      </c>
      <c r="S481" s="383" t="str">
        <f t="shared" si="28"/>
        <v/>
      </c>
      <c r="T481" s="384" t="str">
        <f t="shared" si="31"/>
        <v/>
      </c>
      <c r="U481" s="349"/>
      <c r="V481" s="385"/>
      <c r="W481" s="385"/>
      <c r="X481" s="386"/>
    </row>
    <row r="482" spans="2:24">
      <c r="B482" s="395"/>
      <c r="C482" s="371"/>
      <c r="D482" s="372" t="str">
        <f>IFERROR(INDEX('[11]Equipment List'!$B$2:$B$2038,MATCH(E482,'[11]Equipment List'!$A$2:$A$2038,0)),"")</f>
        <v/>
      </c>
      <c r="E482" s="388"/>
      <c r="F482" s="374"/>
      <c r="G482" s="375"/>
      <c r="H482" s="397"/>
      <c r="I482" s="377"/>
      <c r="J482" s="378"/>
      <c r="K482" s="379"/>
      <c r="L482" s="387"/>
      <c r="M482" s="380" t="str">
        <f t="array" ref="M482">IF(L482="","",(MAX(IF(AN$15:AN$144=B482,AO$15:AO$144))/60))</f>
        <v/>
      </c>
      <c r="N482" s="387"/>
      <c r="O482" s="387"/>
      <c r="P482" s="381" t="str">
        <f t="shared" si="29"/>
        <v/>
      </c>
      <c r="Q482" s="382" t="str">
        <f t="array" ref="Q482">IFERROR(INDEX($D$13:$D$1000,MATCH(0,COUNTIF($Q$13:Q481,$D$13:$D$1000&amp;"")+IF($D$13:$D$1000="",1,0),0)),"")</f>
        <v/>
      </c>
      <c r="R482" s="356" t="str">
        <f t="shared" si="30"/>
        <v/>
      </c>
      <c r="S482" s="383" t="str">
        <f t="shared" si="28"/>
        <v/>
      </c>
      <c r="T482" s="384" t="str">
        <f t="shared" si="31"/>
        <v/>
      </c>
      <c r="U482" s="349"/>
      <c r="V482" s="385"/>
      <c r="W482" s="385"/>
      <c r="X482" s="386"/>
    </row>
    <row r="483" spans="2:24">
      <c r="B483" s="395"/>
      <c r="C483" s="371"/>
      <c r="D483" s="372" t="str">
        <f>IFERROR(INDEX('[11]Equipment List'!$B$2:$B$2038,MATCH(E483,'[11]Equipment List'!$A$2:$A$2038,0)),"")</f>
        <v/>
      </c>
      <c r="E483" s="388"/>
      <c r="F483" s="374"/>
      <c r="G483" s="375"/>
      <c r="H483" s="397"/>
      <c r="I483" s="377"/>
      <c r="J483" s="378"/>
      <c r="K483" s="379"/>
      <c r="L483" s="387"/>
      <c r="M483" s="380" t="str">
        <f t="array" ref="M483">IF(L483="","",(MAX(IF(AN$15:AN$144=B483,AO$15:AO$144))/60))</f>
        <v/>
      </c>
      <c r="N483" s="387"/>
      <c r="O483" s="387"/>
      <c r="P483" s="381" t="str">
        <f t="shared" si="29"/>
        <v/>
      </c>
      <c r="Q483" s="382" t="str">
        <f t="array" ref="Q483">IFERROR(INDEX($D$13:$D$1000,MATCH(0,COUNTIF($Q$13:Q482,$D$13:$D$1000&amp;"")+IF($D$13:$D$1000="",1,0),0)),"")</f>
        <v/>
      </c>
      <c r="R483" s="356" t="str">
        <f t="shared" si="30"/>
        <v/>
      </c>
      <c r="S483" s="383" t="str">
        <f t="shared" si="28"/>
        <v/>
      </c>
      <c r="T483" s="384" t="str">
        <f t="shared" si="31"/>
        <v/>
      </c>
      <c r="U483" s="349"/>
      <c r="V483" s="385"/>
      <c r="W483" s="385"/>
      <c r="X483" s="386"/>
    </row>
    <row r="484" spans="2:24">
      <c r="B484" s="395"/>
      <c r="C484" s="371"/>
      <c r="D484" s="372" t="str">
        <f>IFERROR(INDEX('[11]Equipment List'!$B$2:$B$2038,MATCH(E484,'[11]Equipment List'!$A$2:$A$2038,0)),"")</f>
        <v/>
      </c>
      <c r="E484" s="388"/>
      <c r="F484" s="374"/>
      <c r="G484" s="375"/>
      <c r="H484" s="397"/>
      <c r="I484" s="377"/>
      <c r="J484" s="378"/>
      <c r="K484" s="379"/>
      <c r="L484" s="387"/>
      <c r="M484" s="380" t="str">
        <f t="array" ref="M484">IF(L484="","",(MAX(IF(AN$15:AN$144=B484,AO$15:AO$144))/60))</f>
        <v/>
      </c>
      <c r="N484" s="387"/>
      <c r="O484" s="387"/>
      <c r="P484" s="381" t="str">
        <f t="shared" si="29"/>
        <v/>
      </c>
      <c r="Q484" s="382" t="str">
        <f t="array" ref="Q484">IFERROR(INDEX($D$13:$D$1000,MATCH(0,COUNTIF($Q$13:Q483,$D$13:$D$1000&amp;"")+IF($D$13:$D$1000="",1,0),0)),"")</f>
        <v/>
      </c>
      <c r="R484" s="356" t="str">
        <f t="shared" si="30"/>
        <v/>
      </c>
      <c r="S484" s="383" t="str">
        <f t="shared" si="28"/>
        <v/>
      </c>
      <c r="T484" s="384" t="str">
        <f t="shared" si="31"/>
        <v/>
      </c>
      <c r="U484" s="349"/>
      <c r="V484" s="385"/>
      <c r="W484" s="385"/>
      <c r="X484" s="386"/>
    </row>
    <row r="485" spans="2:24">
      <c r="B485" s="395"/>
      <c r="C485" s="371"/>
      <c r="D485" s="372" t="str">
        <f>IFERROR(INDEX('[11]Equipment List'!$B$2:$B$2038,MATCH(E485,'[11]Equipment List'!$A$2:$A$2038,0)),"")</f>
        <v/>
      </c>
      <c r="E485" s="388"/>
      <c r="F485" s="374"/>
      <c r="G485" s="375"/>
      <c r="H485" s="397"/>
      <c r="I485" s="377"/>
      <c r="J485" s="378"/>
      <c r="K485" s="379"/>
      <c r="L485" s="387"/>
      <c r="M485" s="380" t="str">
        <f t="array" ref="M485">IF(L485="","",(MAX(IF(AN$15:AN$144=B485,AO$15:AO$144))/60))</f>
        <v/>
      </c>
      <c r="N485" s="387"/>
      <c r="O485" s="387"/>
      <c r="P485" s="381" t="str">
        <f t="shared" si="29"/>
        <v/>
      </c>
      <c r="Q485" s="382" t="str">
        <f t="array" ref="Q485">IFERROR(INDEX($D$13:$D$1000,MATCH(0,COUNTIF($Q$13:Q484,$D$13:$D$1000&amp;"")+IF($D$13:$D$1000="",1,0),0)),"")</f>
        <v/>
      </c>
      <c r="R485" s="356" t="str">
        <f t="shared" si="30"/>
        <v/>
      </c>
      <c r="S485" s="383" t="str">
        <f t="shared" si="28"/>
        <v/>
      </c>
      <c r="T485" s="384" t="str">
        <f t="shared" si="31"/>
        <v/>
      </c>
      <c r="U485" s="349"/>
      <c r="V485" s="385"/>
      <c r="W485" s="385"/>
      <c r="X485" s="386"/>
    </row>
    <row r="486" spans="2:24">
      <c r="B486" s="395"/>
      <c r="C486" s="371"/>
      <c r="D486" s="372" t="str">
        <f>IFERROR(INDEX('[11]Equipment List'!$B$2:$B$2038,MATCH(E486,'[11]Equipment List'!$A$2:$A$2038,0)),"")</f>
        <v/>
      </c>
      <c r="E486" s="388"/>
      <c r="F486" s="374"/>
      <c r="G486" s="375"/>
      <c r="H486" s="397"/>
      <c r="I486" s="377"/>
      <c r="J486" s="378"/>
      <c r="K486" s="379"/>
      <c r="L486" s="387"/>
      <c r="M486" s="380" t="str">
        <f t="array" ref="M486">IF(L486="","",(MAX(IF(AN$15:AN$144=B486,AO$15:AO$144))/60))</f>
        <v/>
      </c>
      <c r="N486" s="387"/>
      <c r="O486" s="387"/>
      <c r="P486" s="381" t="str">
        <f t="shared" si="29"/>
        <v/>
      </c>
      <c r="Q486" s="382" t="str">
        <f t="array" ref="Q486">IFERROR(INDEX($D$13:$D$1000,MATCH(0,COUNTIF($Q$13:Q485,$D$13:$D$1000&amp;"")+IF($D$13:$D$1000="",1,0),0)),"")</f>
        <v/>
      </c>
      <c r="R486" s="356" t="str">
        <f t="shared" si="30"/>
        <v/>
      </c>
      <c r="S486" s="383" t="str">
        <f t="shared" si="28"/>
        <v/>
      </c>
      <c r="T486" s="384" t="str">
        <f t="shared" si="31"/>
        <v/>
      </c>
      <c r="U486" s="349"/>
      <c r="V486" s="385"/>
      <c r="W486" s="385"/>
      <c r="X486" s="386"/>
    </row>
    <row r="487" spans="2:24">
      <c r="B487" s="395"/>
      <c r="C487" s="371"/>
      <c r="D487" s="372" t="str">
        <f>IFERROR(INDEX('[11]Equipment List'!$B$2:$B$2038,MATCH(E487,'[11]Equipment List'!$A$2:$A$2038,0)),"")</f>
        <v/>
      </c>
      <c r="E487" s="388"/>
      <c r="F487" s="374"/>
      <c r="G487" s="375"/>
      <c r="H487" s="397"/>
      <c r="I487" s="377"/>
      <c r="J487" s="378"/>
      <c r="K487" s="379"/>
      <c r="L487" s="387"/>
      <c r="M487" s="380" t="str">
        <f t="array" ref="M487">IF(L487="","",(MAX(IF(AN$15:AN$144=B487,AO$15:AO$144))/60))</f>
        <v/>
      </c>
      <c r="N487" s="387"/>
      <c r="O487" s="387"/>
      <c r="P487" s="381" t="str">
        <f t="shared" si="29"/>
        <v/>
      </c>
      <c r="Q487" s="382" t="str">
        <f t="array" ref="Q487">IFERROR(INDEX($D$13:$D$1000,MATCH(0,COUNTIF($Q$13:Q486,$D$13:$D$1000&amp;"")+IF($D$13:$D$1000="",1,0),0)),"")</f>
        <v/>
      </c>
      <c r="R487" s="356" t="str">
        <f t="shared" si="30"/>
        <v/>
      </c>
      <c r="S487" s="383" t="str">
        <f t="shared" si="28"/>
        <v/>
      </c>
      <c r="T487" s="384" t="str">
        <f t="shared" si="31"/>
        <v/>
      </c>
      <c r="U487" s="349"/>
      <c r="V487" s="385"/>
      <c r="W487" s="385"/>
      <c r="X487" s="386"/>
    </row>
    <row r="488" spans="2:24">
      <c r="B488" s="395"/>
      <c r="C488" s="371"/>
      <c r="D488" s="372" t="str">
        <f>IFERROR(INDEX('[11]Equipment List'!$B$2:$B$2038,MATCH(E488,'[11]Equipment List'!$A$2:$A$2038,0)),"")</f>
        <v/>
      </c>
      <c r="E488" s="388"/>
      <c r="F488" s="374"/>
      <c r="G488" s="375"/>
      <c r="H488" s="397"/>
      <c r="I488" s="377"/>
      <c r="J488" s="378"/>
      <c r="K488" s="379"/>
      <c r="L488" s="387"/>
      <c r="M488" s="380" t="str">
        <f t="array" ref="M488">IF(L488="","",(MAX(IF(AN$15:AN$144=B488,AO$15:AO$144))/60))</f>
        <v/>
      </c>
      <c r="N488" s="387"/>
      <c r="O488" s="387"/>
      <c r="P488" s="381" t="str">
        <f t="shared" si="29"/>
        <v/>
      </c>
      <c r="Q488" s="382" t="str">
        <f t="array" ref="Q488">IFERROR(INDEX($D$13:$D$1000,MATCH(0,COUNTIF($Q$13:Q487,$D$13:$D$1000&amp;"")+IF($D$13:$D$1000="",1,0),0)),"")</f>
        <v/>
      </c>
      <c r="R488" s="356" t="str">
        <f t="shared" si="30"/>
        <v/>
      </c>
      <c r="S488" s="383" t="str">
        <f t="shared" si="28"/>
        <v/>
      </c>
      <c r="T488" s="384" t="str">
        <f t="shared" si="31"/>
        <v/>
      </c>
      <c r="U488" s="349"/>
      <c r="V488" s="385"/>
      <c r="W488" s="385"/>
      <c r="X488" s="386"/>
    </row>
    <row r="489" spans="2:24">
      <c r="B489" s="395"/>
      <c r="C489" s="371"/>
      <c r="D489" s="372" t="str">
        <f>IFERROR(INDEX('[11]Equipment List'!$B$2:$B$2038,MATCH(E489,'[11]Equipment List'!$A$2:$A$2038,0)),"")</f>
        <v/>
      </c>
      <c r="E489" s="388"/>
      <c r="F489" s="374"/>
      <c r="G489" s="375"/>
      <c r="H489" s="397"/>
      <c r="I489" s="377"/>
      <c r="J489" s="378"/>
      <c r="K489" s="379"/>
      <c r="L489" s="387"/>
      <c r="M489" s="380" t="str">
        <f t="array" ref="M489">IF(L489="","",(MAX(IF(AN$15:AN$144=B489,AO$15:AO$144))/60))</f>
        <v/>
      </c>
      <c r="N489" s="387"/>
      <c r="O489" s="387"/>
      <c r="P489" s="381" t="str">
        <f t="shared" si="29"/>
        <v/>
      </c>
      <c r="Q489" s="382" t="str">
        <f t="array" ref="Q489">IFERROR(INDEX($D$13:$D$1000,MATCH(0,COUNTIF($Q$13:Q488,$D$13:$D$1000&amp;"")+IF($D$13:$D$1000="",1,0),0)),"")</f>
        <v/>
      </c>
      <c r="R489" s="356" t="str">
        <f t="shared" si="30"/>
        <v/>
      </c>
      <c r="S489" s="383" t="str">
        <f t="shared" si="28"/>
        <v/>
      </c>
      <c r="T489" s="384" t="str">
        <f t="shared" si="31"/>
        <v/>
      </c>
      <c r="U489" s="349"/>
      <c r="V489" s="385"/>
      <c r="W489" s="385"/>
      <c r="X489" s="386"/>
    </row>
    <row r="490" spans="2:24">
      <c r="B490" s="395"/>
      <c r="C490" s="371"/>
      <c r="D490" s="372" t="str">
        <f>IFERROR(INDEX('[11]Equipment List'!$B$2:$B$2038,MATCH(E490,'[11]Equipment List'!$A$2:$A$2038,0)),"")</f>
        <v/>
      </c>
      <c r="E490" s="388"/>
      <c r="F490" s="374"/>
      <c r="G490" s="375"/>
      <c r="H490" s="397"/>
      <c r="I490" s="377"/>
      <c r="J490" s="378"/>
      <c r="K490" s="379"/>
      <c r="L490" s="387"/>
      <c r="M490" s="380" t="str">
        <f t="array" ref="M490">IF(L490="","",(MAX(IF(AN$15:AN$144=B490,AO$15:AO$144))/60))</f>
        <v/>
      </c>
      <c r="N490" s="387"/>
      <c r="O490" s="387"/>
      <c r="P490" s="381" t="str">
        <f t="shared" si="29"/>
        <v/>
      </c>
      <c r="Q490" s="382" t="str">
        <f t="array" ref="Q490">IFERROR(INDEX($D$13:$D$1000,MATCH(0,COUNTIF($Q$13:Q489,$D$13:$D$1000&amp;"")+IF($D$13:$D$1000="",1,0),0)),"")</f>
        <v/>
      </c>
      <c r="R490" s="356" t="str">
        <f t="shared" si="30"/>
        <v/>
      </c>
      <c r="S490" s="383" t="str">
        <f t="shared" si="28"/>
        <v/>
      </c>
      <c r="T490" s="384" t="str">
        <f t="shared" si="31"/>
        <v/>
      </c>
      <c r="U490" s="349"/>
      <c r="V490" s="385"/>
      <c r="W490" s="385"/>
      <c r="X490" s="386"/>
    </row>
    <row r="491" spans="2:24">
      <c r="B491" s="395"/>
      <c r="C491" s="371"/>
      <c r="D491" s="372" t="str">
        <f>IFERROR(INDEX('[11]Equipment List'!$B$2:$B$2038,MATCH(E491,'[11]Equipment List'!$A$2:$A$2038,0)),"")</f>
        <v/>
      </c>
      <c r="E491" s="388"/>
      <c r="F491" s="374"/>
      <c r="G491" s="375"/>
      <c r="H491" s="397"/>
      <c r="I491" s="377"/>
      <c r="J491" s="378"/>
      <c r="K491" s="379"/>
      <c r="L491" s="387"/>
      <c r="M491" s="380" t="str">
        <f t="array" ref="M491">IF(L491="","",(MAX(IF(AN$15:AN$144=B491,AO$15:AO$144))/60))</f>
        <v/>
      </c>
      <c r="N491" s="387"/>
      <c r="O491" s="387"/>
      <c r="P491" s="381" t="str">
        <f t="shared" si="29"/>
        <v/>
      </c>
      <c r="Q491" s="382" t="str">
        <f t="array" ref="Q491">IFERROR(INDEX($D$13:$D$1000,MATCH(0,COUNTIF($Q$13:Q490,$D$13:$D$1000&amp;"")+IF($D$13:$D$1000="",1,0),0)),"")</f>
        <v/>
      </c>
      <c r="R491" s="356" t="str">
        <f t="shared" si="30"/>
        <v/>
      </c>
      <c r="S491" s="383" t="str">
        <f t="shared" ref="S491:S554" si="32">IF($Q491="","",SUMIF($D$13:$D$1000,$Q491,I$13:I$1000))</f>
        <v/>
      </c>
      <c r="T491" s="384" t="str">
        <f t="shared" si="31"/>
        <v/>
      </c>
      <c r="U491" s="349"/>
      <c r="V491" s="385"/>
      <c r="W491" s="385"/>
      <c r="X491" s="386"/>
    </row>
    <row r="492" spans="2:24">
      <c r="B492" s="395"/>
      <c r="C492" s="371"/>
      <c r="D492" s="372" t="str">
        <f>IFERROR(INDEX('[11]Equipment List'!$B$2:$B$2038,MATCH(E492,'[11]Equipment List'!$A$2:$A$2038,0)),"")</f>
        <v/>
      </c>
      <c r="E492" s="388"/>
      <c r="F492" s="374"/>
      <c r="G492" s="375"/>
      <c r="H492" s="397"/>
      <c r="I492" s="377"/>
      <c r="J492" s="378"/>
      <c r="K492" s="379"/>
      <c r="L492" s="387"/>
      <c r="M492" s="380" t="str">
        <f t="array" ref="M492">IF(L492="","",(MAX(IF(AN$15:AN$144=B492,AO$15:AO$144))/60))</f>
        <v/>
      </c>
      <c r="N492" s="387"/>
      <c r="O492" s="387"/>
      <c r="P492" s="381" t="str">
        <f t="shared" si="29"/>
        <v/>
      </c>
      <c r="Q492" s="382" t="str">
        <f t="array" ref="Q492">IFERROR(INDEX($D$13:$D$1000,MATCH(0,COUNTIF($Q$13:Q491,$D$13:$D$1000&amp;"")+IF($D$13:$D$1000="",1,0),0)),"")</f>
        <v/>
      </c>
      <c r="R492" s="356" t="str">
        <f t="shared" si="30"/>
        <v/>
      </c>
      <c r="S492" s="383" t="str">
        <f t="shared" si="32"/>
        <v/>
      </c>
      <c r="T492" s="384" t="str">
        <f t="shared" si="31"/>
        <v/>
      </c>
      <c r="U492" s="349"/>
      <c r="V492" s="385"/>
      <c r="W492" s="385"/>
      <c r="X492" s="386"/>
    </row>
    <row r="493" spans="2:24">
      <c r="B493" s="395"/>
      <c r="C493" s="371"/>
      <c r="D493" s="372" t="str">
        <f>IFERROR(INDEX('[11]Equipment List'!$B$2:$B$2038,MATCH(E493,'[11]Equipment List'!$A$2:$A$2038,0)),"")</f>
        <v/>
      </c>
      <c r="E493" s="388"/>
      <c r="F493" s="374"/>
      <c r="G493" s="375"/>
      <c r="H493" s="397"/>
      <c r="I493" s="377"/>
      <c r="J493" s="378"/>
      <c r="K493" s="379"/>
      <c r="L493" s="387"/>
      <c r="M493" s="380" t="str">
        <f t="array" ref="M493">IF(L493="","",(MAX(IF(AN$15:AN$144=B493,AO$15:AO$144))/60))</f>
        <v/>
      </c>
      <c r="N493" s="387"/>
      <c r="O493" s="387"/>
      <c r="P493" s="381" t="str">
        <f t="shared" si="29"/>
        <v/>
      </c>
      <c r="Q493" s="382" t="str">
        <f t="array" ref="Q493">IFERROR(INDEX($D$13:$D$1000,MATCH(0,COUNTIF($Q$13:Q492,$D$13:$D$1000&amp;"")+IF($D$13:$D$1000="",1,0),0)),"")</f>
        <v/>
      </c>
      <c r="R493" s="356" t="str">
        <f t="shared" si="30"/>
        <v/>
      </c>
      <c r="S493" s="383" t="str">
        <f t="shared" si="32"/>
        <v/>
      </c>
      <c r="T493" s="384" t="str">
        <f t="shared" si="31"/>
        <v/>
      </c>
      <c r="U493" s="349"/>
      <c r="V493" s="385"/>
      <c r="W493" s="385"/>
      <c r="X493" s="386"/>
    </row>
    <row r="494" spans="2:24">
      <c r="B494" s="395"/>
      <c r="C494" s="371"/>
      <c r="D494" s="372" t="str">
        <f>IFERROR(INDEX('[11]Equipment List'!$B$2:$B$2038,MATCH(E494,'[11]Equipment List'!$A$2:$A$2038,0)),"")</f>
        <v/>
      </c>
      <c r="E494" s="388"/>
      <c r="F494" s="374"/>
      <c r="G494" s="375"/>
      <c r="H494" s="397"/>
      <c r="I494" s="377"/>
      <c r="J494" s="378"/>
      <c r="K494" s="379"/>
      <c r="L494" s="387"/>
      <c r="M494" s="380" t="str">
        <f t="array" ref="M494">IF(L494="","",(MAX(IF(AN$15:AN$144=B494,AO$15:AO$144))/60))</f>
        <v/>
      </c>
      <c r="N494" s="387"/>
      <c r="O494" s="387"/>
      <c r="P494" s="381" t="str">
        <f t="shared" si="29"/>
        <v/>
      </c>
      <c r="Q494" s="382" t="str">
        <f t="array" ref="Q494">IFERROR(INDEX($D$13:$D$1000,MATCH(0,COUNTIF($Q$13:Q493,$D$13:$D$1000&amp;"")+IF($D$13:$D$1000="",1,0),0)),"")</f>
        <v/>
      </c>
      <c r="R494" s="356" t="str">
        <f t="shared" si="30"/>
        <v/>
      </c>
      <c r="S494" s="383" t="str">
        <f t="shared" si="32"/>
        <v/>
      </c>
      <c r="T494" s="384" t="str">
        <f t="shared" si="31"/>
        <v/>
      </c>
      <c r="U494" s="349"/>
      <c r="V494" s="385"/>
      <c r="W494" s="385"/>
      <c r="X494" s="386"/>
    </row>
    <row r="495" spans="2:24">
      <c r="B495" s="395"/>
      <c r="C495" s="371"/>
      <c r="D495" s="372" t="str">
        <f>IFERROR(INDEX('[11]Equipment List'!$B$2:$B$2038,MATCH(E495,'[11]Equipment List'!$A$2:$A$2038,0)),"")</f>
        <v/>
      </c>
      <c r="E495" s="388"/>
      <c r="F495" s="374"/>
      <c r="G495" s="375"/>
      <c r="H495" s="397"/>
      <c r="I495" s="377"/>
      <c r="J495" s="378"/>
      <c r="K495" s="379"/>
      <c r="L495" s="387"/>
      <c r="M495" s="380" t="str">
        <f t="array" ref="M495">IF(L495="","",(MAX(IF(AN$15:AN$144=B495,AO$15:AO$144))/60))</f>
        <v/>
      </c>
      <c r="N495" s="387"/>
      <c r="O495" s="387"/>
      <c r="P495" s="381" t="str">
        <f t="shared" si="29"/>
        <v/>
      </c>
      <c r="Q495" s="382" t="str">
        <f t="array" ref="Q495">IFERROR(INDEX($D$13:$D$1000,MATCH(0,COUNTIF($Q$13:Q494,$D$13:$D$1000&amp;"")+IF($D$13:$D$1000="",1,0),0)),"")</f>
        <v/>
      </c>
      <c r="R495" s="356" t="str">
        <f t="shared" si="30"/>
        <v/>
      </c>
      <c r="S495" s="383" t="str">
        <f t="shared" si="32"/>
        <v/>
      </c>
      <c r="T495" s="384" t="str">
        <f t="shared" si="31"/>
        <v/>
      </c>
      <c r="U495" s="349"/>
      <c r="V495" s="385"/>
      <c r="W495" s="385"/>
      <c r="X495" s="386"/>
    </row>
    <row r="496" spans="2:24">
      <c r="B496" s="395"/>
      <c r="C496" s="371"/>
      <c r="D496" s="372" t="str">
        <f>IFERROR(INDEX('[11]Equipment List'!$B$2:$B$2038,MATCH(E496,'[11]Equipment List'!$A$2:$A$2038,0)),"")</f>
        <v/>
      </c>
      <c r="E496" s="388"/>
      <c r="F496" s="374"/>
      <c r="G496" s="375"/>
      <c r="H496" s="397"/>
      <c r="I496" s="377"/>
      <c r="J496" s="378"/>
      <c r="K496" s="379"/>
      <c r="L496" s="387"/>
      <c r="M496" s="380" t="str">
        <f t="array" ref="M496">IF(L496="","",(MAX(IF(AN$15:AN$144=B496,AO$15:AO$144))/60))</f>
        <v/>
      </c>
      <c r="N496" s="387"/>
      <c r="O496" s="387"/>
      <c r="P496" s="381" t="str">
        <f t="shared" si="29"/>
        <v/>
      </c>
      <c r="Q496" s="382" t="str">
        <f t="array" ref="Q496">IFERROR(INDEX($D$13:$D$1000,MATCH(0,COUNTIF($Q$13:Q495,$D$13:$D$1000&amp;"")+IF($D$13:$D$1000="",1,0),0)),"")</f>
        <v/>
      </c>
      <c r="R496" s="356" t="str">
        <f t="shared" si="30"/>
        <v/>
      </c>
      <c r="S496" s="383" t="str">
        <f t="shared" si="32"/>
        <v/>
      </c>
      <c r="T496" s="384" t="str">
        <f t="shared" si="31"/>
        <v/>
      </c>
      <c r="U496" s="349"/>
      <c r="V496" s="385"/>
      <c r="W496" s="385"/>
      <c r="X496" s="386"/>
    </row>
    <row r="497" spans="2:24">
      <c r="B497" s="395"/>
      <c r="C497" s="371"/>
      <c r="D497" s="372" t="str">
        <f>IFERROR(INDEX('[11]Equipment List'!$B$2:$B$2038,MATCH(E497,'[11]Equipment List'!$A$2:$A$2038,0)),"")</f>
        <v/>
      </c>
      <c r="E497" s="388"/>
      <c r="F497" s="374"/>
      <c r="G497" s="375"/>
      <c r="H497" s="397"/>
      <c r="I497" s="377"/>
      <c r="J497" s="378"/>
      <c r="K497" s="379"/>
      <c r="L497" s="387"/>
      <c r="M497" s="380" t="str">
        <f t="array" ref="M497">IF(L497="","",(MAX(IF(AN$15:AN$144=B497,AO$15:AO$144))/60))</f>
        <v/>
      </c>
      <c r="N497" s="387"/>
      <c r="O497" s="387"/>
      <c r="P497" s="381" t="str">
        <f t="shared" si="29"/>
        <v/>
      </c>
      <c r="Q497" s="382" t="str">
        <f t="array" ref="Q497">IFERROR(INDEX($D$13:$D$1000,MATCH(0,COUNTIF($Q$13:Q496,$D$13:$D$1000&amp;"")+IF($D$13:$D$1000="",1,0),0)),"")</f>
        <v/>
      </c>
      <c r="R497" s="356" t="str">
        <f t="shared" si="30"/>
        <v/>
      </c>
      <c r="S497" s="383" t="str">
        <f t="shared" si="32"/>
        <v/>
      </c>
      <c r="T497" s="384" t="str">
        <f t="shared" si="31"/>
        <v/>
      </c>
      <c r="U497" s="349"/>
      <c r="V497" s="385"/>
      <c r="W497" s="385"/>
      <c r="X497" s="386"/>
    </row>
    <row r="498" spans="2:24">
      <c r="B498" s="395"/>
      <c r="C498" s="371"/>
      <c r="D498" s="372" t="str">
        <f>IFERROR(INDEX('[11]Equipment List'!$B$2:$B$2038,MATCH(E498,'[11]Equipment List'!$A$2:$A$2038,0)),"")</f>
        <v/>
      </c>
      <c r="E498" s="388"/>
      <c r="F498" s="374"/>
      <c r="G498" s="375"/>
      <c r="H498" s="397"/>
      <c r="I498" s="377"/>
      <c r="J498" s="378"/>
      <c r="K498" s="379"/>
      <c r="L498" s="387"/>
      <c r="M498" s="380" t="str">
        <f t="array" ref="M498">IF(L498="","",(MAX(IF(AN$15:AN$144=B498,AO$15:AO$144))/60))</f>
        <v/>
      </c>
      <c r="N498" s="387"/>
      <c r="O498" s="387"/>
      <c r="P498" s="381" t="str">
        <f t="shared" si="29"/>
        <v/>
      </c>
      <c r="Q498" s="382" t="str">
        <f t="array" ref="Q498">IFERROR(INDEX($D$13:$D$1000,MATCH(0,COUNTIF($Q$13:Q497,$D$13:$D$1000&amp;"")+IF($D$13:$D$1000="",1,0),0)),"")</f>
        <v/>
      </c>
      <c r="R498" s="356" t="str">
        <f t="shared" si="30"/>
        <v/>
      </c>
      <c r="S498" s="383" t="str">
        <f t="shared" si="32"/>
        <v/>
      </c>
      <c r="T498" s="384" t="str">
        <f t="shared" si="31"/>
        <v/>
      </c>
      <c r="U498" s="349"/>
      <c r="V498" s="385"/>
      <c r="W498" s="385"/>
      <c r="X498" s="386"/>
    </row>
    <row r="499" spans="2:24">
      <c r="B499" s="395"/>
      <c r="C499" s="371"/>
      <c r="D499" s="372" t="str">
        <f>IFERROR(INDEX('[11]Equipment List'!$B$2:$B$2038,MATCH(E499,'[11]Equipment List'!$A$2:$A$2038,0)),"")</f>
        <v/>
      </c>
      <c r="E499" s="388"/>
      <c r="F499" s="374"/>
      <c r="G499" s="375"/>
      <c r="H499" s="397"/>
      <c r="I499" s="377"/>
      <c r="J499" s="378"/>
      <c r="K499" s="379"/>
      <c r="L499" s="387"/>
      <c r="M499" s="380" t="str">
        <f t="array" ref="M499">IF(L499="","",(MAX(IF(AN$15:AN$144=B499,AO$15:AO$144))/60))</f>
        <v/>
      </c>
      <c r="N499" s="387"/>
      <c r="O499" s="387"/>
      <c r="P499" s="381" t="str">
        <f t="shared" si="29"/>
        <v/>
      </c>
      <c r="Q499" s="382" t="str">
        <f t="array" ref="Q499">IFERROR(INDEX($D$13:$D$1000,MATCH(0,COUNTIF($Q$13:Q498,$D$13:$D$1000&amp;"")+IF($D$13:$D$1000="",1,0),0)),"")</f>
        <v/>
      </c>
      <c r="R499" s="356" t="str">
        <f t="shared" si="30"/>
        <v/>
      </c>
      <c r="S499" s="383" t="str">
        <f t="shared" si="32"/>
        <v/>
      </c>
      <c r="T499" s="384" t="str">
        <f t="shared" si="31"/>
        <v/>
      </c>
      <c r="U499" s="349"/>
      <c r="V499" s="385"/>
      <c r="W499" s="385"/>
      <c r="X499" s="386"/>
    </row>
    <row r="500" spans="2:24">
      <c r="B500" s="395"/>
      <c r="C500" s="371"/>
      <c r="D500" s="372" t="str">
        <f>IFERROR(INDEX('[11]Equipment List'!$B$2:$B$2038,MATCH(E500,'[11]Equipment List'!$A$2:$A$2038,0)),"")</f>
        <v/>
      </c>
      <c r="E500" s="388"/>
      <c r="F500" s="374"/>
      <c r="G500" s="375"/>
      <c r="H500" s="397"/>
      <c r="I500" s="377"/>
      <c r="J500" s="378"/>
      <c r="K500" s="379"/>
      <c r="L500" s="387"/>
      <c r="M500" s="380" t="str">
        <f t="array" ref="M500">IF(L500="","",(MAX(IF(AN$15:AN$144=B500,AO$15:AO$144))/60))</f>
        <v/>
      </c>
      <c r="N500" s="387"/>
      <c r="O500" s="387"/>
      <c r="P500" s="381" t="str">
        <f t="shared" si="29"/>
        <v/>
      </c>
      <c r="Q500" s="382" t="str">
        <f t="array" ref="Q500">IFERROR(INDEX($D$13:$D$1000,MATCH(0,COUNTIF($Q$13:Q499,$D$13:$D$1000&amp;"")+IF($D$13:$D$1000="",1,0),0)),"")</f>
        <v/>
      </c>
      <c r="R500" s="356" t="str">
        <f t="shared" si="30"/>
        <v/>
      </c>
      <c r="S500" s="383" t="str">
        <f t="shared" si="32"/>
        <v/>
      </c>
      <c r="T500" s="384" t="str">
        <f t="shared" si="31"/>
        <v/>
      </c>
      <c r="U500" s="349"/>
      <c r="V500" s="385"/>
      <c r="W500" s="385"/>
      <c r="X500" s="386"/>
    </row>
    <row r="501" spans="2:24">
      <c r="B501" s="395"/>
      <c r="C501" s="371"/>
      <c r="D501" s="372" t="str">
        <f>IFERROR(INDEX('[11]Equipment List'!$B$2:$B$2038,MATCH(E501,'[11]Equipment List'!$A$2:$A$2038,0)),"")</f>
        <v/>
      </c>
      <c r="E501" s="388"/>
      <c r="F501" s="374"/>
      <c r="G501" s="375"/>
      <c r="H501" s="397"/>
      <c r="I501" s="377"/>
      <c r="J501" s="378"/>
      <c r="K501" s="379"/>
      <c r="L501" s="387"/>
      <c r="M501" s="380" t="str">
        <f t="array" ref="M501">IF(L501="","",(MAX(IF(AN$15:AN$144=B501,AO$15:AO$144))/60))</f>
        <v/>
      </c>
      <c r="N501" s="387"/>
      <c r="O501" s="387"/>
      <c r="P501" s="381" t="str">
        <f t="shared" si="29"/>
        <v/>
      </c>
      <c r="Q501" s="382" t="str">
        <f t="array" ref="Q501">IFERROR(INDEX($D$13:$D$1000,MATCH(0,COUNTIF($Q$13:Q500,$D$13:$D$1000&amp;"")+IF($D$13:$D$1000="",1,0),0)),"")</f>
        <v/>
      </c>
      <c r="R501" s="356" t="str">
        <f t="shared" si="30"/>
        <v/>
      </c>
      <c r="S501" s="383" t="str">
        <f t="shared" si="32"/>
        <v/>
      </c>
      <c r="T501" s="384" t="str">
        <f t="shared" si="31"/>
        <v/>
      </c>
      <c r="U501" s="349"/>
      <c r="V501" s="385"/>
      <c r="W501" s="385"/>
      <c r="X501" s="386"/>
    </row>
    <row r="502" spans="2:24">
      <c r="B502" s="395"/>
      <c r="C502" s="371"/>
      <c r="D502" s="372" t="str">
        <f>IFERROR(INDEX('[11]Equipment List'!$B$2:$B$2038,MATCH(E502,'[11]Equipment List'!$A$2:$A$2038,0)),"")</f>
        <v/>
      </c>
      <c r="E502" s="388"/>
      <c r="F502" s="374"/>
      <c r="G502" s="375"/>
      <c r="H502" s="397"/>
      <c r="I502" s="377"/>
      <c r="J502" s="378"/>
      <c r="K502" s="379"/>
      <c r="L502" s="387"/>
      <c r="M502" s="380" t="str">
        <f t="array" ref="M502">IF(L502="","",(MAX(IF(AN$15:AN$144=B502,AO$15:AO$144))/60))</f>
        <v/>
      </c>
      <c r="N502" s="387"/>
      <c r="O502" s="387"/>
      <c r="P502" s="381" t="str">
        <f t="shared" si="29"/>
        <v/>
      </c>
      <c r="Q502" s="382" t="str">
        <f t="array" ref="Q502">IFERROR(INDEX($D$13:$D$1000,MATCH(0,COUNTIF($Q$13:Q501,$D$13:$D$1000&amp;"")+IF($D$13:$D$1000="",1,0),0)),"")</f>
        <v/>
      </c>
      <c r="R502" s="356" t="str">
        <f t="shared" si="30"/>
        <v/>
      </c>
      <c r="S502" s="383" t="str">
        <f t="shared" si="32"/>
        <v/>
      </c>
      <c r="T502" s="384" t="str">
        <f t="shared" si="31"/>
        <v/>
      </c>
      <c r="U502" s="349"/>
      <c r="V502" s="385"/>
      <c r="W502" s="385"/>
      <c r="X502" s="386"/>
    </row>
    <row r="503" spans="2:24">
      <c r="B503" s="395"/>
      <c r="C503" s="371"/>
      <c r="D503" s="372" t="str">
        <f>IFERROR(INDEX('[11]Equipment List'!$B$2:$B$2038,MATCH(E503,'[11]Equipment List'!$A$2:$A$2038,0)),"")</f>
        <v/>
      </c>
      <c r="E503" s="388"/>
      <c r="F503" s="374"/>
      <c r="G503" s="375"/>
      <c r="H503" s="397"/>
      <c r="I503" s="377"/>
      <c r="J503" s="378"/>
      <c r="K503" s="379"/>
      <c r="L503" s="387"/>
      <c r="M503" s="380" t="str">
        <f t="array" ref="M503">IF(L503="","",(MAX(IF(AN$15:AN$144=B503,AO$15:AO$144))/60))</f>
        <v/>
      </c>
      <c r="N503" s="387"/>
      <c r="O503" s="387"/>
      <c r="P503" s="381" t="str">
        <f t="shared" si="29"/>
        <v/>
      </c>
      <c r="Q503" s="382" t="str">
        <f t="array" ref="Q503">IFERROR(INDEX($D$13:$D$1000,MATCH(0,COUNTIF($Q$13:Q502,$D$13:$D$1000&amp;"")+IF($D$13:$D$1000="",1,0),0)),"")</f>
        <v/>
      </c>
      <c r="R503" s="356" t="str">
        <f t="shared" si="30"/>
        <v/>
      </c>
      <c r="S503" s="383" t="str">
        <f t="shared" si="32"/>
        <v/>
      </c>
      <c r="T503" s="384" t="str">
        <f t="shared" si="31"/>
        <v/>
      </c>
      <c r="U503" s="349"/>
      <c r="V503" s="385"/>
      <c r="W503" s="385"/>
      <c r="X503" s="386"/>
    </row>
    <row r="504" spans="2:24">
      <c r="B504" s="395"/>
      <c r="C504" s="371"/>
      <c r="D504" s="372" t="str">
        <f>IFERROR(INDEX('[11]Equipment List'!$B$2:$B$2038,MATCH(E504,'[11]Equipment List'!$A$2:$A$2038,0)),"")</f>
        <v/>
      </c>
      <c r="E504" s="388"/>
      <c r="F504" s="374"/>
      <c r="G504" s="375"/>
      <c r="H504" s="397"/>
      <c r="I504" s="377"/>
      <c r="J504" s="378"/>
      <c r="K504" s="379"/>
      <c r="L504" s="387"/>
      <c r="M504" s="380" t="str">
        <f t="array" ref="M504">IF(L504="","",(MAX(IF(AN$15:AN$144=B504,AO$15:AO$144))/60))</f>
        <v/>
      </c>
      <c r="N504" s="387"/>
      <c r="O504" s="387"/>
      <c r="P504" s="381" t="str">
        <f t="shared" si="29"/>
        <v/>
      </c>
      <c r="Q504" s="382" t="str">
        <f t="array" ref="Q504">IFERROR(INDEX($D$13:$D$1000,MATCH(0,COUNTIF($Q$13:Q503,$D$13:$D$1000&amp;"")+IF($D$13:$D$1000="",1,0),0)),"")</f>
        <v/>
      </c>
      <c r="R504" s="356" t="str">
        <f t="shared" si="30"/>
        <v/>
      </c>
      <c r="S504" s="383" t="str">
        <f t="shared" si="32"/>
        <v/>
      </c>
      <c r="T504" s="384" t="str">
        <f t="shared" si="31"/>
        <v/>
      </c>
      <c r="U504" s="349"/>
      <c r="V504" s="385"/>
      <c r="W504" s="385"/>
      <c r="X504" s="386"/>
    </row>
    <row r="505" spans="2:24">
      <c r="B505" s="395"/>
      <c r="C505" s="371"/>
      <c r="D505" s="372" t="str">
        <f>IFERROR(INDEX('[11]Equipment List'!$B$2:$B$2038,MATCH(E505,'[11]Equipment List'!$A$2:$A$2038,0)),"")</f>
        <v/>
      </c>
      <c r="E505" s="388"/>
      <c r="F505" s="374"/>
      <c r="G505" s="375"/>
      <c r="H505" s="397"/>
      <c r="I505" s="377"/>
      <c r="J505" s="378"/>
      <c r="K505" s="379"/>
      <c r="L505" s="387"/>
      <c r="M505" s="380" t="str">
        <f t="array" ref="M505">IF(L505="","",(MAX(IF(AN$15:AN$144=B505,AO$15:AO$144))/60))</f>
        <v/>
      </c>
      <c r="N505" s="387"/>
      <c r="O505" s="387"/>
      <c r="P505" s="381" t="str">
        <f t="shared" si="29"/>
        <v/>
      </c>
      <c r="Q505" s="382" t="str">
        <f t="array" ref="Q505">IFERROR(INDEX($D$13:$D$1000,MATCH(0,COUNTIF($Q$13:Q504,$D$13:$D$1000&amp;"")+IF($D$13:$D$1000="",1,0),0)),"")</f>
        <v/>
      </c>
      <c r="R505" s="356" t="str">
        <f t="shared" si="30"/>
        <v/>
      </c>
      <c r="S505" s="383" t="str">
        <f t="shared" si="32"/>
        <v/>
      </c>
      <c r="T505" s="384" t="str">
        <f t="shared" si="31"/>
        <v/>
      </c>
      <c r="U505" s="349"/>
      <c r="V505" s="385"/>
      <c r="W505" s="385"/>
      <c r="X505" s="386"/>
    </row>
    <row r="506" spans="2:24">
      <c r="B506" s="395"/>
      <c r="C506" s="371"/>
      <c r="D506" s="372" t="str">
        <f>IFERROR(INDEX('[11]Equipment List'!$B$2:$B$2038,MATCH(E506,'[11]Equipment List'!$A$2:$A$2038,0)),"")</f>
        <v/>
      </c>
      <c r="E506" s="388"/>
      <c r="F506" s="374"/>
      <c r="G506" s="375"/>
      <c r="H506" s="397"/>
      <c r="I506" s="377"/>
      <c r="J506" s="378"/>
      <c r="K506" s="379"/>
      <c r="L506" s="387"/>
      <c r="M506" s="380" t="str">
        <f t="array" ref="M506">IF(L506="","",(MAX(IF(AN$15:AN$144=B506,AO$15:AO$144))/60))</f>
        <v/>
      </c>
      <c r="N506" s="387"/>
      <c r="O506" s="387"/>
      <c r="P506" s="381" t="str">
        <f t="shared" si="29"/>
        <v/>
      </c>
      <c r="Q506" s="382" t="str">
        <f t="array" ref="Q506">IFERROR(INDEX($D$13:$D$1000,MATCH(0,COUNTIF($Q$13:Q505,$D$13:$D$1000&amp;"")+IF($D$13:$D$1000="",1,0),0)),"")</f>
        <v/>
      </c>
      <c r="R506" s="356" t="str">
        <f t="shared" si="30"/>
        <v/>
      </c>
      <c r="S506" s="383" t="str">
        <f t="shared" si="32"/>
        <v/>
      </c>
      <c r="T506" s="384" t="str">
        <f t="shared" si="31"/>
        <v/>
      </c>
      <c r="U506" s="349"/>
      <c r="V506" s="385"/>
      <c r="W506" s="385"/>
      <c r="X506" s="386"/>
    </row>
    <row r="507" spans="2:24">
      <c r="B507" s="395"/>
      <c r="C507" s="371"/>
      <c r="D507" s="372" t="str">
        <f>IFERROR(INDEX('[11]Equipment List'!$B$2:$B$2038,MATCH(E507,'[11]Equipment List'!$A$2:$A$2038,0)),"")</f>
        <v/>
      </c>
      <c r="E507" s="388"/>
      <c r="F507" s="374"/>
      <c r="G507" s="375"/>
      <c r="H507" s="397"/>
      <c r="I507" s="377"/>
      <c r="J507" s="378"/>
      <c r="K507" s="379"/>
      <c r="L507" s="387"/>
      <c r="M507" s="380" t="str">
        <f t="array" ref="M507">IF(L507="","",(MAX(IF(AN$15:AN$144=B507,AO$15:AO$144))/60))</f>
        <v/>
      </c>
      <c r="N507" s="387"/>
      <c r="O507" s="387"/>
      <c r="P507" s="381" t="str">
        <f t="shared" si="29"/>
        <v/>
      </c>
      <c r="Q507" s="382" t="str">
        <f t="array" ref="Q507">IFERROR(INDEX($D$13:$D$1000,MATCH(0,COUNTIF($Q$13:Q506,$D$13:$D$1000&amp;"")+IF($D$13:$D$1000="",1,0),0)),"")</f>
        <v/>
      </c>
      <c r="R507" s="356" t="str">
        <f t="shared" si="30"/>
        <v/>
      </c>
      <c r="S507" s="383" t="str">
        <f t="shared" si="32"/>
        <v/>
      </c>
      <c r="T507" s="384" t="str">
        <f t="shared" si="31"/>
        <v/>
      </c>
      <c r="U507" s="349"/>
      <c r="V507" s="385"/>
      <c r="W507" s="385"/>
      <c r="X507" s="386"/>
    </row>
    <row r="508" spans="2:24">
      <c r="B508" s="395"/>
      <c r="C508" s="371"/>
      <c r="D508" s="372" t="str">
        <f>IFERROR(INDEX('[11]Equipment List'!$B$2:$B$2038,MATCH(E508,'[11]Equipment List'!$A$2:$A$2038,0)),"")</f>
        <v/>
      </c>
      <c r="E508" s="388"/>
      <c r="F508" s="374"/>
      <c r="G508" s="375"/>
      <c r="H508" s="397"/>
      <c r="I508" s="377"/>
      <c r="J508" s="378"/>
      <c r="K508" s="379"/>
      <c r="L508" s="387"/>
      <c r="M508" s="380" t="str">
        <f t="array" ref="M508">IF(L508="","",(MAX(IF(AN$15:AN$144=B508,AO$15:AO$144))/60))</f>
        <v/>
      </c>
      <c r="N508" s="387"/>
      <c r="O508" s="387"/>
      <c r="P508" s="381" t="str">
        <f t="shared" si="29"/>
        <v/>
      </c>
      <c r="Q508" s="382" t="str">
        <f t="array" ref="Q508">IFERROR(INDEX($D$13:$D$1000,MATCH(0,COUNTIF($Q$13:Q507,$D$13:$D$1000&amp;"")+IF($D$13:$D$1000="",1,0),0)),"")</f>
        <v/>
      </c>
      <c r="R508" s="356" t="str">
        <f t="shared" si="30"/>
        <v/>
      </c>
      <c r="S508" s="383" t="str">
        <f t="shared" si="32"/>
        <v/>
      </c>
      <c r="T508" s="384" t="str">
        <f t="shared" si="31"/>
        <v/>
      </c>
      <c r="U508" s="349"/>
      <c r="V508" s="385"/>
      <c r="W508" s="385"/>
      <c r="X508" s="386"/>
    </row>
    <row r="509" spans="2:24">
      <c r="B509" s="395"/>
      <c r="C509" s="371"/>
      <c r="D509" s="372" t="str">
        <f>IFERROR(INDEX('[11]Equipment List'!$B$2:$B$2038,MATCH(E509,'[11]Equipment List'!$A$2:$A$2038,0)),"")</f>
        <v/>
      </c>
      <c r="E509" s="388"/>
      <c r="F509" s="374"/>
      <c r="G509" s="375"/>
      <c r="H509" s="397"/>
      <c r="I509" s="377"/>
      <c r="J509" s="378"/>
      <c r="K509" s="379"/>
      <c r="L509" s="387"/>
      <c r="M509" s="380" t="str">
        <f t="array" ref="M509">IF(L509="","",(MAX(IF(AN$15:AN$144=B509,AO$15:AO$144))/60))</f>
        <v/>
      </c>
      <c r="N509" s="387"/>
      <c r="O509" s="387"/>
      <c r="P509" s="381" t="str">
        <f t="shared" si="29"/>
        <v/>
      </c>
      <c r="Q509" s="382" t="str">
        <f t="array" ref="Q509">IFERROR(INDEX($D$13:$D$1000,MATCH(0,COUNTIF($Q$13:Q508,$D$13:$D$1000&amp;"")+IF($D$13:$D$1000="",1,0),0)),"")</f>
        <v/>
      </c>
      <c r="R509" s="356" t="str">
        <f t="shared" si="30"/>
        <v/>
      </c>
      <c r="S509" s="383" t="str">
        <f t="shared" si="32"/>
        <v/>
      </c>
      <c r="T509" s="384" t="str">
        <f t="shared" si="31"/>
        <v/>
      </c>
      <c r="U509" s="349"/>
      <c r="V509" s="385"/>
      <c r="W509" s="385"/>
      <c r="X509" s="386"/>
    </row>
    <row r="510" spans="2:24">
      <c r="B510" s="395"/>
      <c r="C510" s="371"/>
      <c r="D510" s="372" t="str">
        <f>IFERROR(INDEX('[11]Equipment List'!$B$2:$B$2038,MATCH(E510,'[11]Equipment List'!$A$2:$A$2038,0)),"")</f>
        <v/>
      </c>
      <c r="E510" s="388"/>
      <c r="F510" s="374"/>
      <c r="G510" s="375"/>
      <c r="H510" s="397"/>
      <c r="I510" s="377"/>
      <c r="J510" s="378"/>
      <c r="K510" s="379"/>
      <c r="L510" s="387"/>
      <c r="M510" s="380" t="str">
        <f t="array" ref="M510">IF(L510="","",(MAX(IF(AN$15:AN$144=B510,AO$15:AO$144))/60))</f>
        <v/>
      </c>
      <c r="N510" s="387"/>
      <c r="O510" s="387"/>
      <c r="P510" s="381" t="str">
        <f t="shared" si="29"/>
        <v/>
      </c>
      <c r="Q510" s="382" t="str">
        <f t="array" ref="Q510">IFERROR(INDEX($D$13:$D$1000,MATCH(0,COUNTIF($Q$13:Q509,$D$13:$D$1000&amp;"")+IF($D$13:$D$1000="",1,0),0)),"")</f>
        <v/>
      </c>
      <c r="R510" s="356" t="str">
        <f t="shared" si="30"/>
        <v/>
      </c>
      <c r="S510" s="383" t="str">
        <f t="shared" si="32"/>
        <v/>
      </c>
      <c r="T510" s="384" t="str">
        <f t="shared" si="31"/>
        <v/>
      </c>
      <c r="U510" s="349"/>
      <c r="V510" s="385"/>
      <c r="W510" s="385"/>
      <c r="X510" s="386"/>
    </row>
    <row r="511" spans="2:24">
      <c r="B511" s="395"/>
      <c r="C511" s="371"/>
      <c r="D511" s="372" t="str">
        <f>IFERROR(INDEX('[11]Equipment List'!$B$2:$B$2038,MATCH(E511,'[11]Equipment List'!$A$2:$A$2038,0)),"")</f>
        <v/>
      </c>
      <c r="E511" s="388"/>
      <c r="F511" s="374"/>
      <c r="G511" s="375"/>
      <c r="H511" s="397"/>
      <c r="I511" s="377"/>
      <c r="J511" s="378"/>
      <c r="K511" s="379"/>
      <c r="L511" s="387"/>
      <c r="M511" s="380" t="str">
        <f t="array" ref="M511">IF(L511="","",(MAX(IF(AN$15:AN$144=B511,AO$15:AO$144))/60))</f>
        <v/>
      </c>
      <c r="N511" s="387"/>
      <c r="O511" s="387"/>
      <c r="P511" s="381" t="str">
        <f t="shared" si="29"/>
        <v/>
      </c>
      <c r="Q511" s="382" t="str">
        <f t="array" ref="Q511">IFERROR(INDEX($D$13:$D$1000,MATCH(0,COUNTIF($Q$13:Q510,$D$13:$D$1000&amp;"")+IF($D$13:$D$1000="",1,0),0)),"")</f>
        <v/>
      </c>
      <c r="R511" s="356" t="str">
        <f t="shared" si="30"/>
        <v/>
      </c>
      <c r="S511" s="383" t="str">
        <f t="shared" si="32"/>
        <v/>
      </c>
      <c r="T511" s="384" t="str">
        <f t="shared" si="31"/>
        <v/>
      </c>
      <c r="U511" s="349"/>
      <c r="V511" s="385"/>
      <c r="W511" s="385"/>
      <c r="X511" s="386"/>
    </row>
    <row r="512" spans="2:24">
      <c r="B512" s="395"/>
      <c r="C512" s="371"/>
      <c r="D512" s="372" t="str">
        <f>IFERROR(INDEX('[11]Equipment List'!$B$2:$B$2038,MATCH(E512,'[11]Equipment List'!$A$2:$A$2038,0)),"")</f>
        <v/>
      </c>
      <c r="E512" s="388"/>
      <c r="F512" s="374"/>
      <c r="G512" s="375"/>
      <c r="H512" s="397"/>
      <c r="I512" s="377"/>
      <c r="J512" s="378"/>
      <c r="K512" s="379"/>
      <c r="L512" s="387"/>
      <c r="M512" s="380" t="str">
        <f t="array" ref="M512">IF(L512="","",(MAX(IF(AN$15:AN$144=B512,AO$15:AO$144))/60))</f>
        <v/>
      </c>
      <c r="N512" s="387"/>
      <c r="O512" s="387"/>
      <c r="P512" s="381" t="str">
        <f t="shared" si="29"/>
        <v/>
      </c>
      <c r="Q512" s="382" t="str">
        <f t="array" ref="Q512">IFERROR(INDEX($D$13:$D$1000,MATCH(0,COUNTIF($Q$13:Q511,$D$13:$D$1000&amp;"")+IF($D$13:$D$1000="",1,0),0)),"")</f>
        <v/>
      </c>
      <c r="R512" s="356" t="str">
        <f t="shared" si="30"/>
        <v/>
      </c>
      <c r="S512" s="383" t="str">
        <f t="shared" si="32"/>
        <v/>
      </c>
      <c r="T512" s="384" t="str">
        <f t="shared" si="31"/>
        <v/>
      </c>
      <c r="U512" s="349"/>
      <c r="V512" s="385"/>
      <c r="W512" s="385"/>
      <c r="X512" s="386"/>
    </row>
    <row r="513" spans="2:24">
      <c r="B513" s="395"/>
      <c r="C513" s="371"/>
      <c r="D513" s="372" t="str">
        <f>IFERROR(INDEX('[11]Equipment List'!$B$2:$B$2038,MATCH(E513,'[11]Equipment List'!$A$2:$A$2038,0)),"")</f>
        <v/>
      </c>
      <c r="E513" s="388"/>
      <c r="F513" s="374"/>
      <c r="G513" s="375"/>
      <c r="H513" s="397"/>
      <c r="I513" s="377"/>
      <c r="J513" s="378"/>
      <c r="K513" s="379"/>
      <c r="L513" s="387"/>
      <c r="M513" s="380" t="str">
        <f t="array" ref="M513">IF(L513="","",(MAX(IF(AN$15:AN$144=B513,AO$15:AO$144))/60))</f>
        <v/>
      </c>
      <c r="N513" s="387"/>
      <c r="O513" s="387"/>
      <c r="P513" s="381" t="str">
        <f t="shared" si="29"/>
        <v/>
      </c>
      <c r="Q513" s="382" t="str">
        <f t="array" ref="Q513">IFERROR(INDEX($D$13:$D$1000,MATCH(0,COUNTIF($Q$13:Q512,$D$13:$D$1000&amp;"")+IF($D$13:$D$1000="",1,0),0)),"")</f>
        <v/>
      </c>
      <c r="R513" s="356" t="str">
        <f t="shared" si="30"/>
        <v/>
      </c>
      <c r="S513" s="383" t="str">
        <f t="shared" si="32"/>
        <v/>
      </c>
      <c r="T513" s="384" t="str">
        <f t="shared" si="31"/>
        <v/>
      </c>
      <c r="U513" s="349"/>
      <c r="V513" s="385"/>
      <c r="W513" s="385"/>
      <c r="X513" s="386"/>
    </row>
    <row r="514" spans="2:24">
      <c r="B514" s="395"/>
      <c r="C514" s="371"/>
      <c r="D514" s="372" t="str">
        <f>IFERROR(INDEX('[11]Equipment List'!$B$2:$B$2038,MATCH(E514,'[11]Equipment List'!$A$2:$A$2038,0)),"")</f>
        <v/>
      </c>
      <c r="E514" s="388"/>
      <c r="F514" s="374"/>
      <c r="G514" s="375"/>
      <c r="H514" s="397"/>
      <c r="I514" s="377"/>
      <c r="J514" s="378"/>
      <c r="K514" s="379"/>
      <c r="L514" s="387"/>
      <c r="M514" s="380" t="str">
        <f t="array" ref="M514">IF(L514="","",(MAX(IF(AN$15:AN$144=B514,AO$15:AO$144))/60))</f>
        <v/>
      </c>
      <c r="N514" s="387"/>
      <c r="O514" s="387"/>
      <c r="P514" s="381" t="str">
        <f t="shared" si="29"/>
        <v/>
      </c>
      <c r="Q514" s="382" t="str">
        <f t="array" ref="Q514">IFERROR(INDEX($D$13:$D$1000,MATCH(0,COUNTIF($Q$13:Q513,$D$13:$D$1000&amp;"")+IF($D$13:$D$1000="",1,0),0)),"")</f>
        <v/>
      </c>
      <c r="R514" s="356" t="str">
        <f t="shared" si="30"/>
        <v/>
      </c>
      <c r="S514" s="383" t="str">
        <f t="shared" si="32"/>
        <v/>
      </c>
      <c r="T514" s="384" t="str">
        <f t="shared" si="31"/>
        <v/>
      </c>
      <c r="U514" s="349"/>
      <c r="V514" s="385"/>
      <c r="W514" s="385"/>
      <c r="X514" s="386"/>
    </row>
    <row r="515" spans="2:24">
      <c r="B515" s="395"/>
      <c r="C515" s="371"/>
      <c r="D515" s="372" t="str">
        <f>IFERROR(INDEX('[11]Equipment List'!$B$2:$B$2038,MATCH(E515,'[11]Equipment List'!$A$2:$A$2038,0)),"")</f>
        <v/>
      </c>
      <c r="E515" s="388"/>
      <c r="F515" s="374"/>
      <c r="G515" s="375"/>
      <c r="H515" s="397"/>
      <c r="I515" s="377"/>
      <c r="J515" s="378"/>
      <c r="K515" s="379"/>
      <c r="L515" s="387"/>
      <c r="M515" s="380" t="str">
        <f t="array" ref="M515">IF(L515="","",(MAX(IF(AN$15:AN$144=B515,AO$15:AO$144))/60))</f>
        <v/>
      </c>
      <c r="N515" s="387"/>
      <c r="O515" s="387"/>
      <c r="P515" s="381" t="str">
        <f t="shared" si="29"/>
        <v/>
      </c>
      <c r="Q515" s="382" t="str">
        <f t="array" ref="Q515">IFERROR(INDEX($D$13:$D$1000,MATCH(0,COUNTIF($Q$13:Q514,$D$13:$D$1000&amp;"")+IF($D$13:$D$1000="",1,0),0)),"")</f>
        <v/>
      </c>
      <c r="R515" s="356" t="str">
        <f t="shared" si="30"/>
        <v/>
      </c>
      <c r="S515" s="383" t="str">
        <f t="shared" si="32"/>
        <v/>
      </c>
      <c r="T515" s="384" t="str">
        <f t="shared" si="31"/>
        <v/>
      </c>
      <c r="U515" s="349"/>
      <c r="V515" s="385"/>
      <c r="W515" s="385"/>
      <c r="X515" s="386"/>
    </row>
    <row r="516" spans="2:24">
      <c r="B516" s="395"/>
      <c r="C516" s="371"/>
      <c r="D516" s="372" t="str">
        <f>IFERROR(INDEX('[11]Equipment List'!$B$2:$B$2038,MATCH(E516,'[11]Equipment List'!$A$2:$A$2038,0)),"")</f>
        <v/>
      </c>
      <c r="E516" s="388"/>
      <c r="F516" s="374"/>
      <c r="G516" s="375"/>
      <c r="H516" s="397"/>
      <c r="I516" s="377"/>
      <c r="J516" s="378"/>
      <c r="K516" s="379"/>
      <c r="L516" s="387"/>
      <c r="M516" s="380" t="str">
        <f t="array" ref="M516">IF(L516="","",(MAX(IF(AN$15:AN$144=B516,AO$15:AO$144))/60))</f>
        <v/>
      </c>
      <c r="N516" s="387"/>
      <c r="O516" s="387"/>
      <c r="P516" s="381" t="str">
        <f t="shared" si="29"/>
        <v/>
      </c>
      <c r="Q516" s="382" t="str">
        <f t="array" ref="Q516">IFERROR(INDEX($D$13:$D$1000,MATCH(0,COUNTIF($Q$13:Q515,$D$13:$D$1000&amp;"")+IF($D$13:$D$1000="",1,0),0)),"")</f>
        <v/>
      </c>
      <c r="R516" s="356" t="str">
        <f t="shared" si="30"/>
        <v/>
      </c>
      <c r="S516" s="383" t="str">
        <f t="shared" si="32"/>
        <v/>
      </c>
      <c r="T516" s="384" t="str">
        <f t="shared" si="31"/>
        <v/>
      </c>
      <c r="U516" s="349"/>
      <c r="V516" s="385"/>
      <c r="W516" s="385"/>
      <c r="X516" s="386"/>
    </row>
    <row r="517" spans="2:24">
      <c r="B517" s="395"/>
      <c r="C517" s="371"/>
      <c r="D517" s="372" t="str">
        <f>IFERROR(INDEX('[11]Equipment List'!$B$2:$B$2038,MATCH(E517,'[11]Equipment List'!$A$2:$A$2038,0)),"")</f>
        <v/>
      </c>
      <c r="E517" s="388"/>
      <c r="F517" s="374"/>
      <c r="G517" s="375"/>
      <c r="H517" s="397"/>
      <c r="I517" s="377"/>
      <c r="J517" s="378"/>
      <c r="K517" s="379"/>
      <c r="L517" s="387"/>
      <c r="M517" s="380" t="str">
        <f t="array" ref="M517">IF(L517="","",(MAX(IF(AN$15:AN$144=B517,AO$15:AO$144))/60))</f>
        <v/>
      </c>
      <c r="N517" s="387"/>
      <c r="O517" s="387"/>
      <c r="P517" s="381" t="str">
        <f t="shared" si="29"/>
        <v/>
      </c>
      <c r="Q517" s="382" t="str">
        <f t="array" ref="Q517">IFERROR(INDEX($D$13:$D$1000,MATCH(0,COUNTIF($Q$13:Q516,$D$13:$D$1000&amp;"")+IF($D$13:$D$1000="",1,0),0)),"")</f>
        <v/>
      </c>
      <c r="R517" s="356" t="str">
        <f t="shared" si="30"/>
        <v/>
      </c>
      <c r="S517" s="383" t="str">
        <f t="shared" si="32"/>
        <v/>
      </c>
      <c r="T517" s="384" t="str">
        <f t="shared" si="31"/>
        <v/>
      </c>
      <c r="U517" s="349"/>
      <c r="V517" s="385"/>
      <c r="W517" s="385"/>
      <c r="X517" s="386"/>
    </row>
    <row r="518" spans="2:24">
      <c r="B518" s="395"/>
      <c r="C518" s="371"/>
      <c r="D518" s="372" t="str">
        <f>IFERROR(INDEX('[11]Equipment List'!$B$2:$B$2038,MATCH(E518,'[11]Equipment List'!$A$2:$A$2038,0)),"")</f>
        <v/>
      </c>
      <c r="E518" s="388"/>
      <c r="F518" s="374"/>
      <c r="G518" s="375"/>
      <c r="H518" s="397"/>
      <c r="I518" s="377"/>
      <c r="J518" s="378"/>
      <c r="K518" s="379"/>
      <c r="L518" s="387"/>
      <c r="M518" s="380" t="str">
        <f t="array" ref="M518">IF(L518="","",(MAX(IF(AN$15:AN$144=B518,AO$15:AO$144))/60))</f>
        <v/>
      </c>
      <c r="N518" s="387"/>
      <c r="O518" s="387"/>
      <c r="P518" s="381" t="str">
        <f t="shared" si="29"/>
        <v/>
      </c>
      <c r="Q518" s="382" t="str">
        <f t="array" ref="Q518">IFERROR(INDEX($D$13:$D$1000,MATCH(0,COUNTIF($Q$13:Q517,$D$13:$D$1000&amp;"")+IF($D$13:$D$1000="",1,0),0)),"")</f>
        <v/>
      </c>
      <c r="R518" s="356" t="str">
        <f t="shared" si="30"/>
        <v/>
      </c>
      <c r="S518" s="383" t="str">
        <f t="shared" si="32"/>
        <v/>
      </c>
      <c r="T518" s="384" t="str">
        <f t="shared" si="31"/>
        <v/>
      </c>
      <c r="U518" s="349"/>
      <c r="V518" s="385"/>
      <c r="W518" s="385"/>
      <c r="X518" s="386"/>
    </row>
    <row r="519" spans="2:24">
      <c r="B519" s="395"/>
      <c r="C519" s="371"/>
      <c r="D519" s="372" t="str">
        <f>IFERROR(INDEX('[11]Equipment List'!$B$2:$B$2038,MATCH(E519,'[11]Equipment List'!$A$2:$A$2038,0)),"")</f>
        <v/>
      </c>
      <c r="E519" s="388"/>
      <c r="F519" s="374"/>
      <c r="G519" s="375"/>
      <c r="H519" s="397"/>
      <c r="I519" s="377"/>
      <c r="J519" s="378"/>
      <c r="K519" s="379"/>
      <c r="L519" s="387"/>
      <c r="M519" s="380" t="str">
        <f t="array" ref="M519">IF(L519="","",(MAX(IF(AN$15:AN$144=B519,AO$15:AO$144))/60))</f>
        <v/>
      </c>
      <c r="N519" s="387"/>
      <c r="O519" s="387"/>
      <c r="P519" s="381" t="str">
        <f t="shared" si="29"/>
        <v/>
      </c>
      <c r="Q519" s="382" t="str">
        <f t="array" ref="Q519">IFERROR(INDEX($D$13:$D$1000,MATCH(0,COUNTIF($Q$13:Q518,$D$13:$D$1000&amp;"")+IF($D$13:$D$1000="",1,0),0)),"")</f>
        <v/>
      </c>
      <c r="R519" s="356" t="str">
        <f t="shared" si="30"/>
        <v/>
      </c>
      <c r="S519" s="383" t="str">
        <f t="shared" si="32"/>
        <v/>
      </c>
      <c r="T519" s="384" t="str">
        <f t="shared" si="31"/>
        <v/>
      </c>
      <c r="U519" s="349"/>
      <c r="V519" s="385"/>
      <c r="W519" s="385"/>
      <c r="X519" s="386"/>
    </row>
    <row r="520" spans="2:24">
      <c r="B520" s="395"/>
      <c r="C520" s="371"/>
      <c r="D520" s="372" t="str">
        <f>IFERROR(INDEX('[11]Equipment List'!$B$2:$B$2038,MATCH(E520,'[11]Equipment List'!$A$2:$A$2038,0)),"")</f>
        <v/>
      </c>
      <c r="E520" s="388"/>
      <c r="F520" s="374"/>
      <c r="G520" s="375"/>
      <c r="H520" s="397"/>
      <c r="I520" s="377"/>
      <c r="J520" s="378"/>
      <c r="K520" s="379"/>
      <c r="L520" s="387"/>
      <c r="M520" s="380" t="str">
        <f t="array" ref="M520">IF(L520="","",(MAX(IF(AN$15:AN$144=B520,AO$15:AO$144))/60))</f>
        <v/>
      </c>
      <c r="N520" s="387"/>
      <c r="O520" s="387"/>
      <c r="P520" s="381" t="str">
        <f t="shared" si="29"/>
        <v/>
      </c>
      <c r="Q520" s="382" t="str">
        <f t="array" ref="Q520">IFERROR(INDEX($D$13:$D$1000,MATCH(0,COUNTIF($Q$13:Q519,$D$13:$D$1000&amp;"")+IF($D$13:$D$1000="",1,0),0)),"")</f>
        <v/>
      </c>
      <c r="R520" s="356" t="str">
        <f t="shared" si="30"/>
        <v/>
      </c>
      <c r="S520" s="383" t="str">
        <f t="shared" si="32"/>
        <v/>
      </c>
      <c r="T520" s="384" t="str">
        <f t="shared" si="31"/>
        <v/>
      </c>
      <c r="U520" s="349"/>
      <c r="V520" s="385"/>
      <c r="W520" s="385"/>
      <c r="X520" s="386"/>
    </row>
    <row r="521" spans="2:24">
      <c r="B521" s="395"/>
      <c r="C521" s="371"/>
      <c r="D521" s="372" t="str">
        <f>IFERROR(INDEX('[11]Equipment List'!$B$2:$B$2038,MATCH(E521,'[11]Equipment List'!$A$2:$A$2038,0)),"")</f>
        <v/>
      </c>
      <c r="E521" s="388"/>
      <c r="F521" s="374"/>
      <c r="G521" s="375"/>
      <c r="H521" s="397"/>
      <c r="I521" s="377"/>
      <c r="J521" s="378"/>
      <c r="K521" s="379"/>
      <c r="L521" s="387"/>
      <c r="M521" s="380" t="str">
        <f t="array" ref="M521">IF(L521="","",(MAX(IF(AN$15:AN$144=B521,AO$15:AO$144))/60))</f>
        <v/>
      </c>
      <c r="N521" s="387"/>
      <c r="O521" s="387"/>
      <c r="P521" s="381" t="str">
        <f t="shared" si="29"/>
        <v/>
      </c>
      <c r="Q521" s="382" t="str">
        <f t="array" ref="Q521">IFERROR(INDEX($D$13:$D$1000,MATCH(0,COUNTIF($Q$13:Q520,$D$13:$D$1000&amp;"")+IF($D$13:$D$1000="",1,0),0)),"")</f>
        <v/>
      </c>
      <c r="R521" s="356" t="str">
        <f t="shared" si="30"/>
        <v/>
      </c>
      <c r="S521" s="383" t="str">
        <f t="shared" si="32"/>
        <v/>
      </c>
      <c r="T521" s="384" t="str">
        <f t="shared" si="31"/>
        <v/>
      </c>
      <c r="U521" s="349"/>
      <c r="V521" s="385"/>
      <c r="W521" s="385"/>
      <c r="X521" s="386"/>
    </row>
    <row r="522" spans="2:24">
      <c r="B522" s="395"/>
      <c r="C522" s="371"/>
      <c r="D522" s="372" t="str">
        <f>IFERROR(INDEX('[11]Equipment List'!$B$2:$B$2038,MATCH(E522,'[11]Equipment List'!$A$2:$A$2038,0)),"")</f>
        <v/>
      </c>
      <c r="E522" s="388"/>
      <c r="F522" s="374"/>
      <c r="G522" s="375"/>
      <c r="H522" s="397"/>
      <c r="I522" s="377"/>
      <c r="J522" s="378"/>
      <c r="K522" s="379"/>
      <c r="L522" s="387"/>
      <c r="M522" s="380" t="str">
        <f t="array" ref="M522">IF(L522="","",(MAX(IF(AN$15:AN$144=B522,AO$15:AO$144))/60))</f>
        <v/>
      </c>
      <c r="N522" s="387"/>
      <c r="O522" s="387"/>
      <c r="P522" s="381" t="str">
        <f t="shared" si="29"/>
        <v/>
      </c>
      <c r="Q522" s="382" t="str">
        <f t="array" ref="Q522">IFERROR(INDEX($D$13:$D$1000,MATCH(0,COUNTIF($Q$13:Q521,$D$13:$D$1000&amp;"")+IF($D$13:$D$1000="",1,0),0)),"")</f>
        <v/>
      </c>
      <c r="R522" s="356" t="str">
        <f t="shared" si="30"/>
        <v/>
      </c>
      <c r="S522" s="383" t="str">
        <f t="shared" si="32"/>
        <v/>
      </c>
      <c r="T522" s="384" t="str">
        <f t="shared" si="31"/>
        <v/>
      </c>
      <c r="U522" s="349"/>
      <c r="V522" s="385"/>
      <c r="W522" s="385"/>
      <c r="X522" s="386"/>
    </row>
    <row r="523" spans="2:24">
      <c r="B523" s="395"/>
      <c r="C523" s="371"/>
      <c r="D523" s="372" t="str">
        <f>IFERROR(INDEX('[11]Equipment List'!$B$2:$B$2038,MATCH(E523,'[11]Equipment List'!$A$2:$A$2038,0)),"")</f>
        <v/>
      </c>
      <c r="E523" s="388"/>
      <c r="F523" s="374"/>
      <c r="G523" s="375"/>
      <c r="H523" s="397"/>
      <c r="I523" s="377"/>
      <c r="J523" s="378"/>
      <c r="K523" s="379"/>
      <c r="L523" s="387"/>
      <c r="M523" s="380" t="str">
        <f t="array" ref="M523">IF(L523="","",(MAX(IF(AN$15:AN$144=B523,AO$15:AO$144))/60))</f>
        <v/>
      </c>
      <c r="N523" s="387"/>
      <c r="O523" s="387"/>
      <c r="P523" s="381" t="str">
        <f t="shared" si="29"/>
        <v/>
      </c>
      <c r="Q523" s="382" t="str">
        <f t="array" ref="Q523">IFERROR(INDEX($D$13:$D$1000,MATCH(0,COUNTIF($Q$13:Q522,$D$13:$D$1000&amp;"")+IF($D$13:$D$1000="",1,0),0)),"")</f>
        <v/>
      </c>
      <c r="R523" s="356" t="str">
        <f t="shared" si="30"/>
        <v/>
      </c>
      <c r="S523" s="383" t="str">
        <f t="shared" si="32"/>
        <v/>
      </c>
      <c r="T523" s="384" t="str">
        <f t="shared" si="31"/>
        <v/>
      </c>
      <c r="U523" s="349"/>
      <c r="V523" s="385"/>
      <c r="W523" s="385"/>
      <c r="X523" s="386"/>
    </row>
    <row r="524" spans="2:24">
      <c r="B524" s="395"/>
      <c r="C524" s="371"/>
      <c r="D524" s="372" t="str">
        <f>IFERROR(INDEX('[11]Equipment List'!$B$2:$B$2038,MATCH(E524,'[11]Equipment List'!$A$2:$A$2038,0)),"")</f>
        <v/>
      </c>
      <c r="E524" s="388"/>
      <c r="F524" s="374"/>
      <c r="G524" s="375"/>
      <c r="H524" s="397"/>
      <c r="I524" s="377"/>
      <c r="J524" s="378"/>
      <c r="K524" s="379"/>
      <c r="L524" s="387"/>
      <c r="M524" s="380" t="str">
        <f t="array" ref="M524">IF(L524="","",(MAX(IF(AN$15:AN$144=B524,AO$15:AO$144))/60))</f>
        <v/>
      </c>
      <c r="N524" s="387"/>
      <c r="O524" s="387"/>
      <c r="P524" s="381" t="str">
        <f t="shared" ref="P524:P587" si="33">IFERROR((((K524/5/250/$F$8)+(N524*$F$9))/$S$4)*(M524/60),"")</f>
        <v/>
      </c>
      <c r="Q524" s="382" t="str">
        <f t="array" ref="Q524">IFERROR(INDEX($D$13:$D$1000,MATCH(0,COUNTIF($Q$13:Q523,$D$13:$D$1000&amp;"")+IF($D$13:$D$1000="",1,0),0)),"")</f>
        <v/>
      </c>
      <c r="R524" s="356" t="str">
        <f t="shared" si="30"/>
        <v/>
      </c>
      <c r="S524" s="383" t="str">
        <f t="shared" si="32"/>
        <v/>
      </c>
      <c r="T524" s="384" t="str">
        <f t="shared" si="31"/>
        <v/>
      </c>
      <c r="U524" s="349"/>
      <c r="V524" s="385"/>
      <c r="W524" s="385"/>
      <c r="X524" s="386"/>
    </row>
    <row r="525" spans="2:24">
      <c r="B525" s="395"/>
      <c r="C525" s="371"/>
      <c r="D525" s="372" t="str">
        <f>IFERROR(INDEX('[11]Equipment List'!$B$2:$B$2038,MATCH(E525,'[11]Equipment List'!$A$2:$A$2038,0)),"")</f>
        <v/>
      </c>
      <c r="E525" s="388"/>
      <c r="F525" s="374"/>
      <c r="G525" s="375"/>
      <c r="H525" s="397"/>
      <c r="I525" s="377"/>
      <c r="J525" s="378"/>
      <c r="K525" s="379"/>
      <c r="L525" s="387"/>
      <c r="M525" s="380" t="str">
        <f t="array" ref="M525">IF(L525="","",(MAX(IF(AN$15:AN$144=B525,AO$15:AO$144))/60))</f>
        <v/>
      </c>
      <c r="N525" s="387"/>
      <c r="O525" s="387"/>
      <c r="P525" s="381" t="str">
        <f t="shared" si="33"/>
        <v/>
      </c>
      <c r="Q525" s="382" t="str">
        <f t="array" ref="Q525">IFERROR(INDEX($D$13:$D$1000,MATCH(0,COUNTIF($Q$13:Q524,$D$13:$D$1000&amp;"")+IF($D$13:$D$1000="",1,0),0)),"")</f>
        <v/>
      </c>
      <c r="R525" s="356" t="str">
        <f t="shared" ref="R525:R588" si="34">IF(Q525="","",COUNTIF($D$13:$D$1000,$Q525))</f>
        <v/>
      </c>
      <c r="S525" s="383" t="str">
        <f t="shared" si="32"/>
        <v/>
      </c>
      <c r="T525" s="384" t="str">
        <f t="shared" ref="T525:T588" si="35">IF($Q525="","",SUMIF($D$13:$D$1000,$Q525,N$13:N$1000))</f>
        <v/>
      </c>
      <c r="U525" s="349"/>
      <c r="V525" s="385"/>
      <c r="W525" s="385"/>
      <c r="X525" s="386"/>
    </row>
    <row r="526" spans="2:24">
      <c r="B526" s="395"/>
      <c r="C526" s="371"/>
      <c r="D526" s="372" t="str">
        <f>IFERROR(INDEX('[11]Equipment List'!$B$2:$B$2038,MATCH(E526,'[11]Equipment List'!$A$2:$A$2038,0)),"")</f>
        <v/>
      </c>
      <c r="E526" s="388"/>
      <c r="F526" s="374"/>
      <c r="G526" s="375"/>
      <c r="H526" s="397"/>
      <c r="I526" s="377"/>
      <c r="J526" s="378"/>
      <c r="K526" s="379"/>
      <c r="L526" s="387"/>
      <c r="M526" s="380" t="str">
        <f t="array" ref="M526">IF(L526="","",(MAX(IF(AN$15:AN$144=B526,AO$15:AO$144))/60))</f>
        <v/>
      </c>
      <c r="N526" s="387"/>
      <c r="O526" s="387"/>
      <c r="P526" s="381" t="str">
        <f t="shared" si="33"/>
        <v/>
      </c>
      <c r="Q526" s="382" t="str">
        <f t="array" ref="Q526">IFERROR(INDEX($D$13:$D$1000,MATCH(0,COUNTIF($Q$13:Q525,$D$13:$D$1000&amp;"")+IF($D$13:$D$1000="",1,0),0)),"")</f>
        <v/>
      </c>
      <c r="R526" s="356" t="str">
        <f t="shared" si="34"/>
        <v/>
      </c>
      <c r="S526" s="383" t="str">
        <f t="shared" si="32"/>
        <v/>
      </c>
      <c r="T526" s="384" t="str">
        <f t="shared" si="35"/>
        <v/>
      </c>
      <c r="U526" s="349"/>
      <c r="V526" s="385"/>
      <c r="W526" s="385"/>
      <c r="X526" s="386"/>
    </row>
    <row r="527" spans="2:24">
      <c r="B527" s="395"/>
      <c r="C527" s="371"/>
      <c r="D527" s="372" t="str">
        <f>IFERROR(INDEX('[11]Equipment List'!$B$2:$B$2038,MATCH(E527,'[11]Equipment List'!$A$2:$A$2038,0)),"")</f>
        <v/>
      </c>
      <c r="E527" s="388"/>
      <c r="F527" s="374"/>
      <c r="G527" s="375"/>
      <c r="H527" s="397"/>
      <c r="I527" s="377"/>
      <c r="J527" s="378"/>
      <c r="K527" s="379"/>
      <c r="L527" s="387"/>
      <c r="M527" s="380" t="str">
        <f t="array" ref="M527">IF(L527="","",(MAX(IF(AN$15:AN$144=B527,AO$15:AO$144))/60))</f>
        <v/>
      </c>
      <c r="N527" s="387"/>
      <c r="O527" s="387"/>
      <c r="P527" s="381" t="str">
        <f t="shared" si="33"/>
        <v/>
      </c>
      <c r="Q527" s="382" t="str">
        <f t="array" ref="Q527">IFERROR(INDEX($D$13:$D$1000,MATCH(0,COUNTIF($Q$13:Q526,$D$13:$D$1000&amp;"")+IF($D$13:$D$1000="",1,0),0)),"")</f>
        <v/>
      </c>
      <c r="R527" s="356" t="str">
        <f t="shared" si="34"/>
        <v/>
      </c>
      <c r="S527" s="383" t="str">
        <f t="shared" si="32"/>
        <v/>
      </c>
      <c r="T527" s="384" t="str">
        <f t="shared" si="35"/>
        <v/>
      </c>
      <c r="U527" s="349"/>
      <c r="V527" s="385"/>
      <c r="W527" s="385"/>
      <c r="X527" s="386"/>
    </row>
    <row r="528" spans="2:24">
      <c r="B528" s="395"/>
      <c r="C528" s="371"/>
      <c r="D528" s="372" t="str">
        <f>IFERROR(INDEX('[11]Equipment List'!$B$2:$B$2038,MATCH(E528,'[11]Equipment List'!$A$2:$A$2038,0)),"")</f>
        <v/>
      </c>
      <c r="E528" s="388"/>
      <c r="F528" s="374"/>
      <c r="G528" s="375"/>
      <c r="H528" s="397"/>
      <c r="I528" s="377"/>
      <c r="J528" s="378"/>
      <c r="K528" s="379"/>
      <c r="L528" s="387"/>
      <c r="M528" s="380" t="str">
        <f t="array" ref="M528">IF(L528="","",(MAX(IF(AN$15:AN$144=B528,AO$15:AO$144))/60))</f>
        <v/>
      </c>
      <c r="N528" s="387"/>
      <c r="O528" s="387"/>
      <c r="P528" s="381" t="str">
        <f t="shared" si="33"/>
        <v/>
      </c>
      <c r="Q528" s="382" t="str">
        <f t="array" ref="Q528">IFERROR(INDEX($D$13:$D$1000,MATCH(0,COUNTIF($Q$13:Q527,$D$13:$D$1000&amp;"")+IF($D$13:$D$1000="",1,0),0)),"")</f>
        <v/>
      </c>
      <c r="R528" s="356" t="str">
        <f t="shared" si="34"/>
        <v/>
      </c>
      <c r="S528" s="383" t="str">
        <f t="shared" si="32"/>
        <v/>
      </c>
      <c r="T528" s="384" t="str">
        <f t="shared" si="35"/>
        <v/>
      </c>
      <c r="U528" s="349"/>
      <c r="V528" s="385"/>
      <c r="W528" s="385"/>
      <c r="X528" s="386"/>
    </row>
    <row r="529" spans="2:24">
      <c r="B529" s="395"/>
      <c r="C529" s="371"/>
      <c r="D529" s="372" t="str">
        <f>IFERROR(INDEX('[11]Equipment List'!$B$2:$B$2038,MATCH(E529,'[11]Equipment List'!$A$2:$A$2038,0)),"")</f>
        <v/>
      </c>
      <c r="E529" s="388"/>
      <c r="F529" s="374"/>
      <c r="G529" s="375"/>
      <c r="H529" s="397"/>
      <c r="I529" s="377"/>
      <c r="J529" s="378"/>
      <c r="K529" s="379"/>
      <c r="L529" s="387"/>
      <c r="M529" s="380" t="str">
        <f t="array" ref="M529">IF(L529="","",(MAX(IF(AN$15:AN$144=B529,AO$15:AO$144))/60))</f>
        <v/>
      </c>
      <c r="N529" s="387"/>
      <c r="O529" s="387"/>
      <c r="P529" s="381" t="str">
        <f t="shared" si="33"/>
        <v/>
      </c>
      <c r="Q529" s="382" t="str">
        <f t="array" ref="Q529">IFERROR(INDEX($D$13:$D$1000,MATCH(0,COUNTIF($Q$13:Q528,$D$13:$D$1000&amp;"")+IF($D$13:$D$1000="",1,0),0)),"")</f>
        <v/>
      </c>
      <c r="R529" s="356" t="str">
        <f t="shared" si="34"/>
        <v/>
      </c>
      <c r="S529" s="383" t="str">
        <f t="shared" si="32"/>
        <v/>
      </c>
      <c r="T529" s="384" t="str">
        <f t="shared" si="35"/>
        <v/>
      </c>
      <c r="U529" s="349"/>
      <c r="V529" s="385"/>
      <c r="W529" s="385"/>
      <c r="X529" s="386"/>
    </row>
    <row r="530" spans="2:24">
      <c r="B530" s="395"/>
      <c r="C530" s="371"/>
      <c r="D530" s="372" t="str">
        <f>IFERROR(INDEX('[11]Equipment List'!$B$2:$B$2038,MATCH(E530,'[11]Equipment List'!$A$2:$A$2038,0)),"")</f>
        <v/>
      </c>
      <c r="E530" s="388"/>
      <c r="F530" s="374"/>
      <c r="G530" s="375"/>
      <c r="H530" s="397"/>
      <c r="I530" s="377"/>
      <c r="J530" s="378"/>
      <c r="K530" s="379"/>
      <c r="L530" s="387"/>
      <c r="M530" s="380" t="str">
        <f t="array" ref="M530">IF(L530="","",(MAX(IF(AN$15:AN$144=B530,AO$15:AO$144))/60))</f>
        <v/>
      </c>
      <c r="N530" s="387"/>
      <c r="O530" s="387"/>
      <c r="P530" s="381" t="str">
        <f t="shared" si="33"/>
        <v/>
      </c>
      <c r="Q530" s="382" t="str">
        <f t="array" ref="Q530">IFERROR(INDEX($D$13:$D$1000,MATCH(0,COUNTIF($Q$13:Q529,$D$13:$D$1000&amp;"")+IF($D$13:$D$1000="",1,0),0)),"")</f>
        <v/>
      </c>
      <c r="R530" s="356" t="str">
        <f t="shared" si="34"/>
        <v/>
      </c>
      <c r="S530" s="383" t="str">
        <f t="shared" si="32"/>
        <v/>
      </c>
      <c r="T530" s="384" t="str">
        <f t="shared" si="35"/>
        <v/>
      </c>
      <c r="U530" s="349"/>
      <c r="V530" s="385"/>
      <c r="W530" s="385"/>
      <c r="X530" s="386"/>
    </row>
    <row r="531" spans="2:24">
      <c r="B531" s="395"/>
      <c r="C531" s="371"/>
      <c r="D531" s="372" t="str">
        <f>IFERROR(INDEX('[11]Equipment List'!$B$2:$B$2038,MATCH(E531,'[11]Equipment List'!$A$2:$A$2038,0)),"")</f>
        <v/>
      </c>
      <c r="E531" s="388"/>
      <c r="F531" s="374"/>
      <c r="G531" s="375"/>
      <c r="H531" s="397"/>
      <c r="I531" s="377"/>
      <c r="J531" s="378"/>
      <c r="K531" s="379"/>
      <c r="L531" s="387"/>
      <c r="M531" s="380" t="str">
        <f t="array" ref="M531">IF(L531="","",(MAX(IF(AN$15:AN$144=B531,AO$15:AO$144))/60))</f>
        <v/>
      </c>
      <c r="N531" s="387"/>
      <c r="O531" s="387"/>
      <c r="P531" s="381" t="str">
        <f t="shared" si="33"/>
        <v/>
      </c>
      <c r="Q531" s="382" t="str">
        <f t="array" ref="Q531">IFERROR(INDEX($D$13:$D$1000,MATCH(0,COUNTIF($Q$13:Q530,$D$13:$D$1000&amp;"")+IF($D$13:$D$1000="",1,0),0)),"")</f>
        <v/>
      </c>
      <c r="R531" s="356" t="str">
        <f t="shared" si="34"/>
        <v/>
      </c>
      <c r="S531" s="383" t="str">
        <f t="shared" si="32"/>
        <v/>
      </c>
      <c r="T531" s="384" t="str">
        <f t="shared" si="35"/>
        <v/>
      </c>
      <c r="U531" s="349"/>
      <c r="V531" s="385"/>
      <c r="W531" s="385"/>
      <c r="X531" s="386"/>
    </row>
    <row r="532" spans="2:24">
      <c r="B532" s="395"/>
      <c r="C532" s="371"/>
      <c r="D532" s="372" t="str">
        <f>IFERROR(INDEX('[11]Equipment List'!$B$2:$B$2038,MATCH(E532,'[11]Equipment List'!$A$2:$A$2038,0)),"")</f>
        <v/>
      </c>
      <c r="E532" s="388"/>
      <c r="F532" s="374"/>
      <c r="G532" s="375"/>
      <c r="H532" s="397"/>
      <c r="I532" s="377"/>
      <c r="J532" s="378"/>
      <c r="K532" s="379"/>
      <c r="L532" s="387"/>
      <c r="M532" s="380" t="str">
        <f t="array" ref="M532">IF(L532="","",(MAX(IF(AN$15:AN$144=B532,AO$15:AO$144))/60))</f>
        <v/>
      </c>
      <c r="N532" s="387"/>
      <c r="O532" s="387"/>
      <c r="P532" s="381" t="str">
        <f t="shared" si="33"/>
        <v/>
      </c>
      <c r="Q532" s="382" t="str">
        <f t="array" ref="Q532">IFERROR(INDEX($D$13:$D$1000,MATCH(0,COUNTIF($Q$13:Q531,$D$13:$D$1000&amp;"")+IF($D$13:$D$1000="",1,0),0)),"")</f>
        <v/>
      </c>
      <c r="R532" s="356" t="str">
        <f t="shared" si="34"/>
        <v/>
      </c>
      <c r="S532" s="383" t="str">
        <f t="shared" si="32"/>
        <v/>
      </c>
      <c r="T532" s="384" t="str">
        <f t="shared" si="35"/>
        <v/>
      </c>
      <c r="U532" s="349"/>
      <c r="V532" s="385"/>
      <c r="W532" s="385"/>
      <c r="X532" s="386"/>
    </row>
    <row r="533" spans="2:24">
      <c r="B533" s="395"/>
      <c r="C533" s="371"/>
      <c r="D533" s="372" t="str">
        <f>IFERROR(INDEX('[11]Equipment List'!$B$2:$B$2038,MATCH(E533,'[11]Equipment List'!$A$2:$A$2038,0)),"")</f>
        <v/>
      </c>
      <c r="E533" s="388"/>
      <c r="F533" s="374"/>
      <c r="G533" s="375"/>
      <c r="H533" s="397"/>
      <c r="I533" s="377"/>
      <c r="J533" s="378"/>
      <c r="K533" s="379"/>
      <c r="L533" s="387"/>
      <c r="M533" s="380" t="str">
        <f t="array" ref="M533">IF(L533="","",(MAX(IF(AN$15:AN$144=B533,AO$15:AO$144))/60))</f>
        <v/>
      </c>
      <c r="N533" s="387"/>
      <c r="O533" s="387"/>
      <c r="P533" s="381" t="str">
        <f t="shared" si="33"/>
        <v/>
      </c>
      <c r="Q533" s="382" t="str">
        <f t="array" ref="Q533">IFERROR(INDEX($D$13:$D$1000,MATCH(0,COUNTIF($Q$13:Q532,$D$13:$D$1000&amp;"")+IF($D$13:$D$1000="",1,0),0)),"")</f>
        <v/>
      </c>
      <c r="R533" s="356" t="str">
        <f t="shared" si="34"/>
        <v/>
      </c>
      <c r="S533" s="383" t="str">
        <f t="shared" si="32"/>
        <v/>
      </c>
      <c r="T533" s="384" t="str">
        <f t="shared" si="35"/>
        <v/>
      </c>
      <c r="U533" s="349"/>
      <c r="V533" s="385"/>
      <c r="W533" s="385"/>
      <c r="X533" s="386"/>
    </row>
    <row r="534" spans="2:24">
      <c r="B534" s="395"/>
      <c r="C534" s="371"/>
      <c r="D534" s="372" t="str">
        <f>IFERROR(INDEX('[11]Equipment List'!$B$2:$B$2038,MATCH(E534,'[11]Equipment List'!$A$2:$A$2038,0)),"")</f>
        <v/>
      </c>
      <c r="E534" s="388"/>
      <c r="F534" s="374"/>
      <c r="G534" s="375"/>
      <c r="H534" s="397"/>
      <c r="I534" s="377"/>
      <c r="J534" s="378"/>
      <c r="K534" s="379"/>
      <c r="L534" s="387"/>
      <c r="M534" s="380" t="str">
        <f t="array" ref="M534">IF(L534="","",(MAX(IF(AN$15:AN$144=B534,AO$15:AO$144))/60))</f>
        <v/>
      </c>
      <c r="N534" s="387"/>
      <c r="O534" s="387"/>
      <c r="P534" s="381" t="str">
        <f t="shared" si="33"/>
        <v/>
      </c>
      <c r="Q534" s="382" t="str">
        <f t="array" ref="Q534">IFERROR(INDEX($D$13:$D$1000,MATCH(0,COUNTIF($Q$13:Q533,$D$13:$D$1000&amp;"")+IF($D$13:$D$1000="",1,0),0)),"")</f>
        <v/>
      </c>
      <c r="R534" s="356" t="str">
        <f t="shared" si="34"/>
        <v/>
      </c>
      <c r="S534" s="383" t="str">
        <f t="shared" si="32"/>
        <v/>
      </c>
      <c r="T534" s="384" t="str">
        <f t="shared" si="35"/>
        <v/>
      </c>
      <c r="U534" s="349"/>
      <c r="V534" s="385"/>
      <c r="W534" s="385"/>
      <c r="X534" s="386"/>
    </row>
    <row r="535" spans="2:24">
      <c r="B535" s="395"/>
      <c r="C535" s="371"/>
      <c r="D535" s="372" t="str">
        <f>IFERROR(INDEX('[11]Equipment List'!$B$2:$B$2038,MATCH(E535,'[11]Equipment List'!$A$2:$A$2038,0)),"")</f>
        <v/>
      </c>
      <c r="E535" s="388"/>
      <c r="F535" s="374"/>
      <c r="G535" s="375"/>
      <c r="H535" s="397"/>
      <c r="I535" s="377"/>
      <c r="J535" s="378"/>
      <c r="K535" s="379"/>
      <c r="L535" s="387"/>
      <c r="M535" s="380" t="str">
        <f t="array" ref="M535">IF(L535="","",(MAX(IF(AN$15:AN$144=B535,AO$15:AO$144))/60))</f>
        <v/>
      </c>
      <c r="N535" s="387"/>
      <c r="O535" s="387"/>
      <c r="P535" s="381" t="str">
        <f t="shared" si="33"/>
        <v/>
      </c>
      <c r="Q535" s="382" t="str">
        <f t="array" ref="Q535">IFERROR(INDEX($D$13:$D$1000,MATCH(0,COUNTIF($Q$13:Q534,$D$13:$D$1000&amp;"")+IF($D$13:$D$1000="",1,0),0)),"")</f>
        <v/>
      </c>
      <c r="R535" s="356" t="str">
        <f t="shared" si="34"/>
        <v/>
      </c>
      <c r="S535" s="383" t="str">
        <f t="shared" si="32"/>
        <v/>
      </c>
      <c r="T535" s="384" t="str">
        <f t="shared" si="35"/>
        <v/>
      </c>
      <c r="U535" s="349"/>
      <c r="V535" s="385"/>
      <c r="W535" s="385"/>
      <c r="X535" s="386"/>
    </row>
    <row r="536" spans="2:24">
      <c r="B536" s="395"/>
      <c r="C536" s="371"/>
      <c r="D536" s="372" t="str">
        <f>IFERROR(INDEX('[11]Equipment List'!$B$2:$B$2038,MATCH(E536,'[11]Equipment List'!$A$2:$A$2038,0)),"")</f>
        <v/>
      </c>
      <c r="E536" s="388"/>
      <c r="F536" s="374"/>
      <c r="G536" s="375"/>
      <c r="H536" s="397"/>
      <c r="I536" s="377"/>
      <c r="J536" s="378"/>
      <c r="K536" s="379"/>
      <c r="L536" s="387"/>
      <c r="M536" s="380" t="str">
        <f t="array" ref="M536">IF(L536="","",(MAX(IF(AN$15:AN$144=B536,AO$15:AO$144))/60))</f>
        <v/>
      </c>
      <c r="N536" s="387"/>
      <c r="O536" s="387"/>
      <c r="P536" s="381" t="str">
        <f t="shared" si="33"/>
        <v/>
      </c>
      <c r="Q536" s="382" t="str">
        <f t="array" ref="Q536">IFERROR(INDEX($D$13:$D$1000,MATCH(0,COUNTIF($Q$13:Q535,$D$13:$D$1000&amp;"")+IF($D$13:$D$1000="",1,0),0)),"")</f>
        <v/>
      </c>
      <c r="R536" s="356" t="str">
        <f t="shared" si="34"/>
        <v/>
      </c>
      <c r="S536" s="383" t="str">
        <f t="shared" si="32"/>
        <v/>
      </c>
      <c r="T536" s="384" t="str">
        <f t="shared" si="35"/>
        <v/>
      </c>
      <c r="U536" s="349"/>
      <c r="V536" s="385"/>
      <c r="W536" s="385"/>
      <c r="X536" s="386"/>
    </row>
    <row r="537" spans="2:24">
      <c r="B537" s="395"/>
      <c r="C537" s="371"/>
      <c r="D537" s="372" t="str">
        <f>IFERROR(INDEX('[11]Equipment List'!$B$2:$B$2038,MATCH(E537,'[11]Equipment List'!$A$2:$A$2038,0)),"")</f>
        <v/>
      </c>
      <c r="E537" s="388"/>
      <c r="F537" s="374"/>
      <c r="G537" s="375"/>
      <c r="H537" s="397"/>
      <c r="I537" s="377"/>
      <c r="J537" s="378"/>
      <c r="K537" s="379"/>
      <c r="L537" s="387"/>
      <c r="M537" s="380" t="str">
        <f t="array" ref="M537">IF(L537="","",(MAX(IF(AN$15:AN$144=B537,AO$15:AO$144))/60))</f>
        <v/>
      </c>
      <c r="N537" s="387"/>
      <c r="O537" s="387"/>
      <c r="P537" s="381" t="str">
        <f t="shared" si="33"/>
        <v/>
      </c>
      <c r="Q537" s="382" t="str">
        <f t="array" ref="Q537">IFERROR(INDEX($D$13:$D$1000,MATCH(0,COUNTIF($Q$13:Q536,$D$13:$D$1000&amp;"")+IF($D$13:$D$1000="",1,0),0)),"")</f>
        <v/>
      </c>
      <c r="R537" s="356" t="str">
        <f t="shared" si="34"/>
        <v/>
      </c>
      <c r="S537" s="383" t="str">
        <f t="shared" si="32"/>
        <v/>
      </c>
      <c r="T537" s="384" t="str">
        <f t="shared" si="35"/>
        <v/>
      </c>
      <c r="U537" s="349"/>
      <c r="V537" s="385"/>
      <c r="W537" s="385"/>
      <c r="X537" s="386"/>
    </row>
    <row r="538" spans="2:24">
      <c r="B538" s="395"/>
      <c r="C538" s="371"/>
      <c r="D538" s="372" t="str">
        <f>IFERROR(INDEX('[11]Equipment List'!$B$2:$B$2038,MATCH(E538,'[11]Equipment List'!$A$2:$A$2038,0)),"")</f>
        <v/>
      </c>
      <c r="E538" s="388"/>
      <c r="F538" s="374"/>
      <c r="G538" s="375"/>
      <c r="H538" s="397"/>
      <c r="I538" s="377"/>
      <c r="J538" s="378"/>
      <c r="K538" s="379"/>
      <c r="L538" s="387"/>
      <c r="M538" s="380" t="str">
        <f t="array" ref="M538">IF(L538="","",(MAX(IF(AN$15:AN$144=B538,AO$15:AO$144))/60))</f>
        <v/>
      </c>
      <c r="N538" s="387"/>
      <c r="O538" s="387"/>
      <c r="P538" s="381" t="str">
        <f t="shared" si="33"/>
        <v/>
      </c>
      <c r="Q538" s="382" t="str">
        <f t="array" ref="Q538">IFERROR(INDEX($D$13:$D$1000,MATCH(0,COUNTIF($Q$13:Q537,$D$13:$D$1000&amp;"")+IF($D$13:$D$1000="",1,0),0)),"")</f>
        <v/>
      </c>
      <c r="R538" s="356" t="str">
        <f t="shared" si="34"/>
        <v/>
      </c>
      <c r="S538" s="383" t="str">
        <f t="shared" si="32"/>
        <v/>
      </c>
      <c r="T538" s="384" t="str">
        <f t="shared" si="35"/>
        <v/>
      </c>
      <c r="U538" s="349"/>
      <c r="V538" s="385"/>
      <c r="W538" s="385"/>
      <c r="X538" s="386"/>
    </row>
    <row r="539" spans="2:24">
      <c r="B539" s="395"/>
      <c r="C539" s="371"/>
      <c r="D539" s="372" t="str">
        <f>IFERROR(INDEX('[11]Equipment List'!$B$2:$B$2038,MATCH(E539,'[11]Equipment List'!$A$2:$A$2038,0)),"")</f>
        <v/>
      </c>
      <c r="E539" s="388"/>
      <c r="F539" s="374"/>
      <c r="G539" s="375"/>
      <c r="H539" s="397"/>
      <c r="I539" s="377"/>
      <c r="J539" s="378"/>
      <c r="K539" s="379"/>
      <c r="L539" s="387"/>
      <c r="M539" s="380" t="str">
        <f t="array" ref="M539">IF(L539="","",(MAX(IF(AN$15:AN$144=B539,AO$15:AO$144))/60))</f>
        <v/>
      </c>
      <c r="N539" s="387"/>
      <c r="O539" s="387"/>
      <c r="P539" s="381" t="str">
        <f t="shared" si="33"/>
        <v/>
      </c>
      <c r="Q539" s="382" t="str">
        <f t="array" ref="Q539">IFERROR(INDEX($D$13:$D$1000,MATCH(0,COUNTIF($Q$13:Q538,$D$13:$D$1000&amp;"")+IF($D$13:$D$1000="",1,0),0)),"")</f>
        <v/>
      </c>
      <c r="R539" s="356" t="str">
        <f t="shared" si="34"/>
        <v/>
      </c>
      <c r="S539" s="383" t="str">
        <f t="shared" si="32"/>
        <v/>
      </c>
      <c r="T539" s="384" t="str">
        <f t="shared" si="35"/>
        <v/>
      </c>
      <c r="U539" s="349"/>
      <c r="V539" s="385"/>
      <c r="W539" s="385"/>
      <c r="X539" s="386"/>
    </row>
    <row r="540" spans="2:24">
      <c r="B540" s="395"/>
      <c r="C540" s="371"/>
      <c r="D540" s="372" t="str">
        <f>IFERROR(INDEX('[11]Equipment List'!$B$2:$B$2038,MATCH(E540,'[11]Equipment List'!$A$2:$A$2038,0)),"")</f>
        <v/>
      </c>
      <c r="E540" s="388"/>
      <c r="F540" s="374"/>
      <c r="G540" s="375"/>
      <c r="H540" s="397"/>
      <c r="I540" s="377"/>
      <c r="J540" s="378"/>
      <c r="K540" s="379"/>
      <c r="L540" s="387"/>
      <c r="M540" s="380" t="str">
        <f t="array" ref="M540">IF(L540="","",(MAX(IF(AN$15:AN$144=B540,AO$15:AO$144))/60))</f>
        <v/>
      </c>
      <c r="N540" s="387"/>
      <c r="O540" s="387"/>
      <c r="P540" s="381" t="str">
        <f t="shared" si="33"/>
        <v/>
      </c>
      <c r="Q540" s="382" t="str">
        <f t="array" ref="Q540">IFERROR(INDEX($D$13:$D$1000,MATCH(0,COUNTIF($Q$13:Q539,$D$13:$D$1000&amp;"")+IF($D$13:$D$1000="",1,0),0)),"")</f>
        <v/>
      </c>
      <c r="R540" s="356" t="str">
        <f t="shared" si="34"/>
        <v/>
      </c>
      <c r="S540" s="383" t="str">
        <f t="shared" si="32"/>
        <v/>
      </c>
      <c r="T540" s="384" t="str">
        <f t="shared" si="35"/>
        <v/>
      </c>
      <c r="U540" s="349"/>
      <c r="V540" s="385"/>
      <c r="W540" s="385"/>
      <c r="X540" s="386"/>
    </row>
    <row r="541" spans="2:24">
      <c r="B541" s="395"/>
      <c r="C541" s="371"/>
      <c r="D541" s="372" t="str">
        <f>IFERROR(INDEX('[11]Equipment List'!$B$2:$B$2038,MATCH(E541,'[11]Equipment List'!$A$2:$A$2038,0)),"")</f>
        <v/>
      </c>
      <c r="E541" s="388"/>
      <c r="F541" s="374"/>
      <c r="G541" s="375"/>
      <c r="H541" s="397"/>
      <c r="I541" s="377"/>
      <c r="J541" s="378"/>
      <c r="K541" s="379"/>
      <c r="L541" s="387"/>
      <c r="M541" s="380" t="str">
        <f t="array" ref="M541">IF(L541="","",(MAX(IF(AN$15:AN$144=B541,AO$15:AO$144))/60))</f>
        <v/>
      </c>
      <c r="N541" s="387"/>
      <c r="O541" s="387"/>
      <c r="P541" s="381" t="str">
        <f t="shared" si="33"/>
        <v/>
      </c>
      <c r="Q541" s="382" t="str">
        <f t="array" ref="Q541">IFERROR(INDEX($D$13:$D$1000,MATCH(0,COUNTIF($Q$13:Q540,$D$13:$D$1000&amp;"")+IF($D$13:$D$1000="",1,0),0)),"")</f>
        <v/>
      </c>
      <c r="R541" s="356" t="str">
        <f t="shared" si="34"/>
        <v/>
      </c>
      <c r="S541" s="383" t="str">
        <f t="shared" si="32"/>
        <v/>
      </c>
      <c r="T541" s="384" t="str">
        <f t="shared" si="35"/>
        <v/>
      </c>
      <c r="U541" s="349"/>
      <c r="V541" s="385"/>
      <c r="W541" s="385"/>
      <c r="X541" s="386"/>
    </row>
    <row r="542" spans="2:24">
      <c r="B542" s="395"/>
      <c r="C542" s="371"/>
      <c r="D542" s="372" t="str">
        <f>IFERROR(INDEX('[11]Equipment List'!$B$2:$B$2038,MATCH(E542,'[11]Equipment List'!$A$2:$A$2038,0)),"")</f>
        <v/>
      </c>
      <c r="E542" s="388"/>
      <c r="F542" s="374"/>
      <c r="G542" s="375"/>
      <c r="H542" s="397"/>
      <c r="I542" s="377"/>
      <c r="J542" s="378"/>
      <c r="K542" s="379"/>
      <c r="L542" s="387"/>
      <c r="M542" s="380" t="str">
        <f t="array" ref="M542">IF(L542="","",(MAX(IF(AN$15:AN$144=B542,AO$15:AO$144))/60))</f>
        <v/>
      </c>
      <c r="N542" s="387"/>
      <c r="O542" s="387"/>
      <c r="P542" s="381" t="str">
        <f t="shared" si="33"/>
        <v/>
      </c>
      <c r="Q542" s="382" t="str">
        <f t="array" ref="Q542">IFERROR(INDEX($D$13:$D$1000,MATCH(0,COUNTIF($Q$13:Q541,$D$13:$D$1000&amp;"")+IF($D$13:$D$1000="",1,0),0)),"")</f>
        <v/>
      </c>
      <c r="R542" s="356" t="str">
        <f t="shared" si="34"/>
        <v/>
      </c>
      <c r="S542" s="383" t="str">
        <f t="shared" si="32"/>
        <v/>
      </c>
      <c r="T542" s="384" t="str">
        <f t="shared" si="35"/>
        <v/>
      </c>
      <c r="U542" s="349"/>
      <c r="V542" s="385"/>
      <c r="W542" s="385"/>
      <c r="X542" s="386"/>
    </row>
    <row r="543" spans="2:24">
      <c r="B543" s="395"/>
      <c r="C543" s="371"/>
      <c r="D543" s="372" t="str">
        <f>IFERROR(INDEX('[11]Equipment List'!$B$2:$B$2038,MATCH(E543,'[11]Equipment List'!$A$2:$A$2038,0)),"")</f>
        <v/>
      </c>
      <c r="E543" s="388"/>
      <c r="F543" s="374"/>
      <c r="G543" s="375"/>
      <c r="H543" s="397"/>
      <c r="I543" s="377"/>
      <c r="J543" s="378"/>
      <c r="K543" s="379"/>
      <c r="L543" s="387"/>
      <c r="M543" s="380" t="str">
        <f t="array" ref="M543">IF(L543="","",(MAX(IF(AN$15:AN$144=B543,AO$15:AO$144))/60))</f>
        <v/>
      </c>
      <c r="N543" s="387"/>
      <c r="O543" s="387"/>
      <c r="P543" s="381" t="str">
        <f t="shared" si="33"/>
        <v/>
      </c>
      <c r="Q543" s="382" t="str">
        <f t="array" ref="Q543">IFERROR(INDEX($D$13:$D$1000,MATCH(0,COUNTIF($Q$13:Q542,$D$13:$D$1000&amp;"")+IF($D$13:$D$1000="",1,0),0)),"")</f>
        <v/>
      </c>
      <c r="R543" s="356" t="str">
        <f t="shared" si="34"/>
        <v/>
      </c>
      <c r="S543" s="383" t="str">
        <f t="shared" si="32"/>
        <v/>
      </c>
      <c r="T543" s="384" t="str">
        <f t="shared" si="35"/>
        <v/>
      </c>
      <c r="U543" s="349"/>
      <c r="V543" s="385"/>
      <c r="W543" s="385"/>
      <c r="X543" s="386"/>
    </row>
    <row r="544" spans="2:24">
      <c r="B544" s="395"/>
      <c r="C544" s="371"/>
      <c r="D544" s="372" t="str">
        <f>IFERROR(INDEX('[11]Equipment List'!$B$2:$B$2038,MATCH(E544,'[11]Equipment List'!$A$2:$A$2038,0)),"")</f>
        <v/>
      </c>
      <c r="E544" s="388"/>
      <c r="F544" s="374"/>
      <c r="G544" s="375"/>
      <c r="H544" s="397"/>
      <c r="I544" s="377"/>
      <c r="J544" s="378"/>
      <c r="K544" s="379"/>
      <c r="L544" s="387"/>
      <c r="M544" s="380" t="str">
        <f t="array" ref="M544">IF(L544="","",(MAX(IF(AN$15:AN$144=B544,AO$15:AO$144))/60))</f>
        <v/>
      </c>
      <c r="N544" s="387"/>
      <c r="O544" s="387"/>
      <c r="P544" s="381" t="str">
        <f t="shared" si="33"/>
        <v/>
      </c>
      <c r="Q544" s="382" t="str">
        <f t="array" ref="Q544">IFERROR(INDEX($D$13:$D$1000,MATCH(0,COUNTIF($Q$13:Q543,$D$13:$D$1000&amp;"")+IF($D$13:$D$1000="",1,0),0)),"")</f>
        <v/>
      </c>
      <c r="R544" s="356" t="str">
        <f t="shared" si="34"/>
        <v/>
      </c>
      <c r="S544" s="383" t="str">
        <f t="shared" si="32"/>
        <v/>
      </c>
      <c r="T544" s="384" t="str">
        <f t="shared" si="35"/>
        <v/>
      </c>
      <c r="U544" s="349"/>
      <c r="V544" s="385"/>
      <c r="W544" s="385"/>
      <c r="X544" s="386"/>
    </row>
    <row r="545" spans="2:24">
      <c r="B545" s="395"/>
      <c r="C545" s="371"/>
      <c r="D545" s="372" t="str">
        <f>IFERROR(INDEX('[11]Equipment List'!$B$2:$B$2038,MATCH(E545,'[11]Equipment List'!$A$2:$A$2038,0)),"")</f>
        <v/>
      </c>
      <c r="E545" s="388"/>
      <c r="F545" s="374"/>
      <c r="G545" s="375"/>
      <c r="H545" s="397"/>
      <c r="I545" s="377"/>
      <c r="J545" s="378"/>
      <c r="K545" s="379"/>
      <c r="L545" s="387"/>
      <c r="M545" s="380" t="str">
        <f t="array" ref="M545">IF(L545="","",(MAX(IF(AN$15:AN$144=B545,AO$15:AO$144))/60))</f>
        <v/>
      </c>
      <c r="N545" s="387"/>
      <c r="O545" s="387"/>
      <c r="P545" s="381" t="str">
        <f t="shared" si="33"/>
        <v/>
      </c>
      <c r="Q545" s="382" t="str">
        <f t="array" ref="Q545">IFERROR(INDEX($D$13:$D$1000,MATCH(0,COUNTIF($Q$13:Q544,$D$13:$D$1000&amp;"")+IF($D$13:$D$1000="",1,0),0)),"")</f>
        <v/>
      </c>
      <c r="R545" s="356" t="str">
        <f t="shared" si="34"/>
        <v/>
      </c>
      <c r="S545" s="383" t="str">
        <f t="shared" si="32"/>
        <v/>
      </c>
      <c r="T545" s="384" t="str">
        <f t="shared" si="35"/>
        <v/>
      </c>
      <c r="U545" s="349"/>
      <c r="V545" s="385"/>
      <c r="W545" s="385"/>
      <c r="X545" s="386"/>
    </row>
    <row r="546" spans="2:24">
      <c r="B546" s="395"/>
      <c r="C546" s="371"/>
      <c r="D546" s="372" t="str">
        <f>IFERROR(INDEX('[11]Equipment List'!$B$2:$B$2038,MATCH(E546,'[11]Equipment List'!$A$2:$A$2038,0)),"")</f>
        <v/>
      </c>
      <c r="E546" s="388"/>
      <c r="F546" s="374"/>
      <c r="G546" s="375"/>
      <c r="H546" s="397"/>
      <c r="I546" s="377"/>
      <c r="J546" s="378"/>
      <c r="K546" s="379"/>
      <c r="L546" s="387"/>
      <c r="M546" s="380" t="str">
        <f t="array" ref="M546">IF(L546="","",(MAX(IF(AN$15:AN$144=B546,AO$15:AO$144))/60))</f>
        <v/>
      </c>
      <c r="N546" s="387"/>
      <c r="O546" s="387"/>
      <c r="P546" s="381" t="str">
        <f t="shared" si="33"/>
        <v/>
      </c>
      <c r="Q546" s="382" t="str">
        <f t="array" ref="Q546">IFERROR(INDEX($D$13:$D$1000,MATCH(0,COUNTIF($Q$13:Q545,$D$13:$D$1000&amp;"")+IF($D$13:$D$1000="",1,0),0)),"")</f>
        <v/>
      </c>
      <c r="R546" s="356" t="str">
        <f t="shared" si="34"/>
        <v/>
      </c>
      <c r="S546" s="383" t="str">
        <f t="shared" si="32"/>
        <v/>
      </c>
      <c r="T546" s="384" t="str">
        <f t="shared" si="35"/>
        <v/>
      </c>
      <c r="U546" s="349"/>
      <c r="V546" s="385"/>
      <c r="W546" s="385"/>
      <c r="X546" s="386"/>
    </row>
    <row r="547" spans="2:24">
      <c r="B547" s="395"/>
      <c r="C547" s="371"/>
      <c r="D547" s="372" t="str">
        <f>IFERROR(INDEX('[11]Equipment List'!$B$2:$B$2038,MATCH(E547,'[11]Equipment List'!$A$2:$A$2038,0)),"")</f>
        <v/>
      </c>
      <c r="E547" s="388"/>
      <c r="F547" s="374"/>
      <c r="G547" s="375"/>
      <c r="H547" s="397"/>
      <c r="I547" s="377"/>
      <c r="J547" s="378"/>
      <c r="K547" s="379"/>
      <c r="L547" s="387"/>
      <c r="M547" s="380" t="str">
        <f t="array" ref="M547">IF(L547="","",(MAX(IF(AN$15:AN$144=B547,AO$15:AO$144))/60))</f>
        <v/>
      </c>
      <c r="N547" s="387"/>
      <c r="O547" s="387"/>
      <c r="P547" s="381" t="str">
        <f t="shared" si="33"/>
        <v/>
      </c>
      <c r="Q547" s="382" t="str">
        <f t="array" ref="Q547">IFERROR(INDEX($D$13:$D$1000,MATCH(0,COUNTIF($Q$13:Q546,$D$13:$D$1000&amp;"")+IF($D$13:$D$1000="",1,0),0)),"")</f>
        <v/>
      </c>
      <c r="R547" s="356" t="str">
        <f t="shared" si="34"/>
        <v/>
      </c>
      <c r="S547" s="383" t="str">
        <f t="shared" si="32"/>
        <v/>
      </c>
      <c r="T547" s="384" t="str">
        <f t="shared" si="35"/>
        <v/>
      </c>
      <c r="U547" s="349"/>
      <c r="V547" s="385"/>
      <c r="W547" s="385"/>
      <c r="X547" s="386"/>
    </row>
    <row r="548" spans="2:24">
      <c r="B548" s="395"/>
      <c r="C548" s="371"/>
      <c r="D548" s="372" t="str">
        <f>IFERROR(INDEX('[11]Equipment List'!$B$2:$B$2038,MATCH(E548,'[11]Equipment List'!$A$2:$A$2038,0)),"")</f>
        <v/>
      </c>
      <c r="E548" s="388"/>
      <c r="F548" s="374"/>
      <c r="G548" s="375"/>
      <c r="H548" s="397"/>
      <c r="I548" s="377"/>
      <c r="J548" s="378"/>
      <c r="K548" s="379"/>
      <c r="L548" s="387"/>
      <c r="M548" s="380" t="str">
        <f t="array" ref="M548">IF(L548="","",(MAX(IF(AN$15:AN$144=B548,AO$15:AO$144))/60))</f>
        <v/>
      </c>
      <c r="N548" s="387"/>
      <c r="O548" s="387"/>
      <c r="P548" s="381" t="str">
        <f t="shared" si="33"/>
        <v/>
      </c>
      <c r="Q548" s="382" t="str">
        <f t="array" ref="Q548">IFERROR(INDEX($D$13:$D$1000,MATCH(0,COUNTIF($Q$13:Q547,$D$13:$D$1000&amp;"")+IF($D$13:$D$1000="",1,0),0)),"")</f>
        <v/>
      </c>
      <c r="R548" s="356" t="str">
        <f t="shared" si="34"/>
        <v/>
      </c>
      <c r="S548" s="383" t="str">
        <f t="shared" si="32"/>
        <v/>
      </c>
      <c r="T548" s="384" t="str">
        <f t="shared" si="35"/>
        <v/>
      </c>
      <c r="U548" s="349"/>
      <c r="V548" s="385"/>
      <c r="W548" s="385"/>
      <c r="X548" s="386"/>
    </row>
    <row r="549" spans="2:24">
      <c r="B549" s="395"/>
      <c r="C549" s="371"/>
      <c r="D549" s="372" t="str">
        <f>IFERROR(INDEX('[11]Equipment List'!$B$2:$B$2038,MATCH(E549,'[11]Equipment List'!$A$2:$A$2038,0)),"")</f>
        <v/>
      </c>
      <c r="E549" s="388"/>
      <c r="F549" s="374"/>
      <c r="G549" s="375"/>
      <c r="H549" s="397"/>
      <c r="I549" s="377"/>
      <c r="J549" s="378"/>
      <c r="K549" s="379"/>
      <c r="L549" s="387"/>
      <c r="M549" s="380" t="str">
        <f t="array" ref="M549">IF(L549="","",(MAX(IF(AN$15:AN$144=B549,AO$15:AO$144))/60))</f>
        <v/>
      </c>
      <c r="N549" s="387"/>
      <c r="O549" s="387"/>
      <c r="P549" s="381" t="str">
        <f t="shared" si="33"/>
        <v/>
      </c>
      <c r="Q549" s="382" t="str">
        <f t="array" ref="Q549">IFERROR(INDEX($D$13:$D$1000,MATCH(0,COUNTIF($Q$13:Q548,$D$13:$D$1000&amp;"")+IF($D$13:$D$1000="",1,0),0)),"")</f>
        <v/>
      </c>
      <c r="R549" s="356" t="str">
        <f t="shared" si="34"/>
        <v/>
      </c>
      <c r="S549" s="383" t="str">
        <f t="shared" si="32"/>
        <v/>
      </c>
      <c r="T549" s="384" t="str">
        <f t="shared" si="35"/>
        <v/>
      </c>
      <c r="U549" s="349"/>
      <c r="V549" s="385"/>
      <c r="W549" s="385"/>
      <c r="X549" s="386"/>
    </row>
    <row r="550" spans="2:24">
      <c r="B550" s="395"/>
      <c r="C550" s="371"/>
      <c r="D550" s="372" t="str">
        <f>IFERROR(INDEX('[11]Equipment List'!$B$2:$B$2038,MATCH(E550,'[11]Equipment List'!$A$2:$A$2038,0)),"")</f>
        <v/>
      </c>
      <c r="E550" s="388"/>
      <c r="F550" s="374"/>
      <c r="G550" s="375"/>
      <c r="H550" s="397"/>
      <c r="I550" s="377"/>
      <c r="J550" s="378"/>
      <c r="K550" s="379"/>
      <c r="L550" s="387"/>
      <c r="M550" s="380" t="str">
        <f t="array" ref="M550">IF(L550="","",(MAX(IF(AN$15:AN$144=B550,AO$15:AO$144))/60))</f>
        <v/>
      </c>
      <c r="N550" s="387"/>
      <c r="O550" s="387"/>
      <c r="P550" s="381" t="str">
        <f t="shared" si="33"/>
        <v/>
      </c>
      <c r="Q550" s="382" t="str">
        <f t="array" ref="Q550">IFERROR(INDEX($D$13:$D$1000,MATCH(0,COUNTIF($Q$13:Q549,$D$13:$D$1000&amp;"")+IF($D$13:$D$1000="",1,0),0)),"")</f>
        <v/>
      </c>
      <c r="R550" s="356" t="str">
        <f t="shared" si="34"/>
        <v/>
      </c>
      <c r="S550" s="383" t="str">
        <f t="shared" si="32"/>
        <v/>
      </c>
      <c r="T550" s="384" t="str">
        <f t="shared" si="35"/>
        <v/>
      </c>
      <c r="U550" s="349"/>
      <c r="V550" s="385"/>
      <c r="W550" s="385"/>
      <c r="X550" s="386"/>
    </row>
    <row r="551" spans="2:24">
      <c r="B551" s="395"/>
      <c r="C551" s="371"/>
      <c r="D551" s="372" t="str">
        <f>IFERROR(INDEX('[11]Equipment List'!$B$2:$B$2038,MATCH(E551,'[11]Equipment List'!$A$2:$A$2038,0)),"")</f>
        <v/>
      </c>
      <c r="E551" s="388"/>
      <c r="F551" s="374"/>
      <c r="G551" s="375"/>
      <c r="H551" s="397"/>
      <c r="I551" s="377"/>
      <c r="J551" s="378"/>
      <c r="K551" s="379"/>
      <c r="L551" s="387"/>
      <c r="M551" s="380" t="str">
        <f t="array" ref="M551">IF(L551="","",(MAX(IF(AN$15:AN$144=B551,AO$15:AO$144))/60))</f>
        <v/>
      </c>
      <c r="N551" s="387"/>
      <c r="O551" s="387"/>
      <c r="P551" s="381" t="str">
        <f t="shared" si="33"/>
        <v/>
      </c>
      <c r="Q551" s="382" t="str">
        <f t="array" ref="Q551">IFERROR(INDEX($D$13:$D$1000,MATCH(0,COUNTIF($Q$13:Q550,$D$13:$D$1000&amp;"")+IF($D$13:$D$1000="",1,0),0)),"")</f>
        <v/>
      </c>
      <c r="R551" s="356" t="str">
        <f t="shared" si="34"/>
        <v/>
      </c>
      <c r="S551" s="383" t="str">
        <f t="shared" si="32"/>
        <v/>
      </c>
      <c r="T551" s="384" t="str">
        <f t="shared" si="35"/>
        <v/>
      </c>
      <c r="U551" s="349"/>
      <c r="V551" s="385"/>
      <c r="W551" s="385"/>
      <c r="X551" s="386"/>
    </row>
    <row r="552" spans="2:24">
      <c r="B552" s="395"/>
      <c r="C552" s="371"/>
      <c r="D552" s="372" t="str">
        <f>IFERROR(INDEX('[11]Equipment List'!$B$2:$B$2038,MATCH(E552,'[11]Equipment List'!$A$2:$A$2038,0)),"")</f>
        <v/>
      </c>
      <c r="E552" s="388"/>
      <c r="F552" s="374"/>
      <c r="G552" s="375"/>
      <c r="H552" s="397"/>
      <c r="I552" s="377"/>
      <c r="J552" s="378"/>
      <c r="K552" s="379"/>
      <c r="L552" s="387"/>
      <c r="M552" s="380" t="str">
        <f t="array" ref="M552">IF(L552="","",(MAX(IF(AN$15:AN$144=B552,AO$15:AO$144))/60))</f>
        <v/>
      </c>
      <c r="N552" s="387"/>
      <c r="O552" s="387"/>
      <c r="P552" s="381" t="str">
        <f t="shared" si="33"/>
        <v/>
      </c>
      <c r="Q552" s="382" t="str">
        <f t="array" ref="Q552">IFERROR(INDEX($D$13:$D$1000,MATCH(0,COUNTIF($Q$13:Q551,$D$13:$D$1000&amp;"")+IF($D$13:$D$1000="",1,0),0)),"")</f>
        <v/>
      </c>
      <c r="R552" s="356" t="str">
        <f t="shared" si="34"/>
        <v/>
      </c>
      <c r="S552" s="383" t="str">
        <f t="shared" si="32"/>
        <v/>
      </c>
      <c r="T552" s="384" t="str">
        <f t="shared" si="35"/>
        <v/>
      </c>
      <c r="U552" s="349"/>
      <c r="V552" s="385"/>
      <c r="W552" s="385"/>
      <c r="X552" s="386"/>
    </row>
    <row r="553" spans="2:24">
      <c r="B553" s="395"/>
      <c r="C553" s="371"/>
      <c r="D553" s="372" t="str">
        <f>IFERROR(INDEX('[11]Equipment List'!$B$2:$B$2038,MATCH(E553,'[11]Equipment List'!$A$2:$A$2038,0)),"")</f>
        <v/>
      </c>
      <c r="E553" s="388"/>
      <c r="F553" s="374"/>
      <c r="G553" s="375"/>
      <c r="H553" s="397"/>
      <c r="I553" s="377"/>
      <c r="J553" s="378"/>
      <c r="K553" s="379"/>
      <c r="L553" s="387"/>
      <c r="M553" s="380" t="str">
        <f t="array" ref="M553">IF(L553="","",(MAX(IF(AN$15:AN$144=B553,AO$15:AO$144))/60))</f>
        <v/>
      </c>
      <c r="N553" s="387"/>
      <c r="O553" s="387"/>
      <c r="P553" s="381" t="str">
        <f t="shared" si="33"/>
        <v/>
      </c>
      <c r="Q553" s="382" t="str">
        <f t="array" ref="Q553">IFERROR(INDEX($D$13:$D$1000,MATCH(0,COUNTIF($Q$13:Q552,$D$13:$D$1000&amp;"")+IF($D$13:$D$1000="",1,0),0)),"")</f>
        <v/>
      </c>
      <c r="R553" s="356" t="str">
        <f t="shared" si="34"/>
        <v/>
      </c>
      <c r="S553" s="383" t="str">
        <f t="shared" si="32"/>
        <v/>
      </c>
      <c r="T553" s="384" t="str">
        <f t="shared" si="35"/>
        <v/>
      </c>
      <c r="U553" s="349"/>
      <c r="V553" s="385"/>
      <c r="W553" s="385"/>
      <c r="X553" s="386"/>
    </row>
    <row r="554" spans="2:24">
      <c r="B554" s="395"/>
      <c r="C554" s="371"/>
      <c r="D554" s="372" t="str">
        <f>IFERROR(INDEX('[11]Equipment List'!$B$2:$B$2038,MATCH(E554,'[11]Equipment List'!$A$2:$A$2038,0)),"")</f>
        <v/>
      </c>
      <c r="E554" s="388"/>
      <c r="F554" s="374"/>
      <c r="G554" s="375"/>
      <c r="H554" s="397"/>
      <c r="I554" s="377"/>
      <c r="J554" s="378"/>
      <c r="K554" s="379"/>
      <c r="L554" s="387"/>
      <c r="M554" s="380" t="str">
        <f t="array" ref="M554">IF(L554="","",(MAX(IF(AN$15:AN$144=B554,AO$15:AO$144))/60))</f>
        <v/>
      </c>
      <c r="N554" s="387"/>
      <c r="O554" s="387"/>
      <c r="P554" s="381" t="str">
        <f t="shared" si="33"/>
        <v/>
      </c>
      <c r="Q554" s="382" t="str">
        <f t="array" ref="Q554">IFERROR(INDEX($D$13:$D$1000,MATCH(0,COUNTIF($Q$13:Q553,$D$13:$D$1000&amp;"")+IF($D$13:$D$1000="",1,0),0)),"")</f>
        <v/>
      </c>
      <c r="R554" s="356" t="str">
        <f t="shared" si="34"/>
        <v/>
      </c>
      <c r="S554" s="383" t="str">
        <f t="shared" si="32"/>
        <v/>
      </c>
      <c r="T554" s="384" t="str">
        <f t="shared" si="35"/>
        <v/>
      </c>
      <c r="U554" s="349"/>
      <c r="V554" s="385"/>
      <c r="W554" s="385"/>
      <c r="X554" s="386"/>
    </row>
    <row r="555" spans="2:24">
      <c r="B555" s="395"/>
      <c r="C555" s="371"/>
      <c r="D555" s="372" t="str">
        <f>IFERROR(INDEX('[11]Equipment List'!$B$2:$B$2038,MATCH(E555,'[11]Equipment List'!$A$2:$A$2038,0)),"")</f>
        <v/>
      </c>
      <c r="E555" s="388"/>
      <c r="F555" s="374"/>
      <c r="G555" s="375"/>
      <c r="H555" s="397"/>
      <c r="I555" s="377"/>
      <c r="J555" s="378"/>
      <c r="K555" s="379"/>
      <c r="L555" s="387"/>
      <c r="M555" s="380" t="str">
        <f t="array" ref="M555">IF(L555="","",(MAX(IF(AN$15:AN$144=B555,AO$15:AO$144))/60))</f>
        <v/>
      </c>
      <c r="N555" s="387"/>
      <c r="O555" s="387"/>
      <c r="P555" s="381" t="str">
        <f t="shared" si="33"/>
        <v/>
      </c>
      <c r="Q555" s="382" t="str">
        <f t="array" ref="Q555">IFERROR(INDEX($D$13:$D$1000,MATCH(0,COUNTIF($Q$13:Q554,$D$13:$D$1000&amp;"")+IF($D$13:$D$1000="",1,0),0)),"")</f>
        <v/>
      </c>
      <c r="R555" s="356" t="str">
        <f t="shared" si="34"/>
        <v/>
      </c>
      <c r="S555" s="383" t="str">
        <f t="shared" ref="S555:S618" si="36">IF($Q555="","",SUMIF($D$13:$D$1000,$Q555,I$13:I$1000))</f>
        <v/>
      </c>
      <c r="T555" s="384" t="str">
        <f t="shared" si="35"/>
        <v/>
      </c>
      <c r="U555" s="349"/>
      <c r="V555" s="385"/>
      <c r="W555" s="385"/>
      <c r="X555" s="386"/>
    </row>
    <row r="556" spans="2:24">
      <c r="B556" s="395"/>
      <c r="C556" s="371"/>
      <c r="D556" s="372" t="str">
        <f>IFERROR(INDEX('[11]Equipment List'!$B$2:$B$2038,MATCH(E556,'[11]Equipment List'!$A$2:$A$2038,0)),"")</f>
        <v/>
      </c>
      <c r="E556" s="388"/>
      <c r="F556" s="374"/>
      <c r="G556" s="375"/>
      <c r="H556" s="397"/>
      <c r="I556" s="377"/>
      <c r="J556" s="378"/>
      <c r="K556" s="379"/>
      <c r="L556" s="387"/>
      <c r="M556" s="380" t="str">
        <f t="array" ref="M556">IF(L556="","",(MAX(IF(AN$15:AN$144=B556,AO$15:AO$144))/60))</f>
        <v/>
      </c>
      <c r="N556" s="387"/>
      <c r="O556" s="387"/>
      <c r="P556" s="381" t="str">
        <f t="shared" si="33"/>
        <v/>
      </c>
      <c r="Q556" s="382" t="str">
        <f t="array" ref="Q556">IFERROR(INDEX($D$13:$D$1000,MATCH(0,COUNTIF($Q$13:Q555,$D$13:$D$1000&amp;"")+IF($D$13:$D$1000="",1,0),0)),"")</f>
        <v/>
      </c>
      <c r="R556" s="356" t="str">
        <f t="shared" si="34"/>
        <v/>
      </c>
      <c r="S556" s="383" t="str">
        <f t="shared" si="36"/>
        <v/>
      </c>
      <c r="T556" s="384" t="str">
        <f t="shared" si="35"/>
        <v/>
      </c>
      <c r="U556" s="349"/>
      <c r="V556" s="385"/>
      <c r="W556" s="385"/>
      <c r="X556" s="386"/>
    </row>
    <row r="557" spans="2:24">
      <c r="B557" s="395"/>
      <c r="C557" s="371"/>
      <c r="D557" s="372" t="str">
        <f>IFERROR(INDEX('[11]Equipment List'!$B$2:$B$2038,MATCH(E557,'[11]Equipment List'!$A$2:$A$2038,0)),"")</f>
        <v/>
      </c>
      <c r="E557" s="388"/>
      <c r="F557" s="374"/>
      <c r="G557" s="375"/>
      <c r="H557" s="397"/>
      <c r="I557" s="377"/>
      <c r="J557" s="378"/>
      <c r="K557" s="379"/>
      <c r="L557" s="387"/>
      <c r="M557" s="380" t="str">
        <f t="array" ref="M557">IF(L557="","",(MAX(IF(AN$15:AN$144=B557,AO$15:AO$144))/60))</f>
        <v/>
      </c>
      <c r="N557" s="387"/>
      <c r="O557" s="387"/>
      <c r="P557" s="381" t="str">
        <f t="shared" si="33"/>
        <v/>
      </c>
      <c r="Q557" s="382" t="str">
        <f t="array" ref="Q557">IFERROR(INDEX($D$13:$D$1000,MATCH(0,COUNTIF($Q$13:Q556,$D$13:$D$1000&amp;"")+IF($D$13:$D$1000="",1,0),0)),"")</f>
        <v/>
      </c>
      <c r="R557" s="356" t="str">
        <f t="shared" si="34"/>
        <v/>
      </c>
      <c r="S557" s="383" t="str">
        <f t="shared" si="36"/>
        <v/>
      </c>
      <c r="T557" s="384" t="str">
        <f t="shared" si="35"/>
        <v/>
      </c>
      <c r="U557" s="349"/>
      <c r="V557" s="385"/>
      <c r="W557" s="385"/>
      <c r="X557" s="386"/>
    </row>
    <row r="558" spans="2:24">
      <c r="B558" s="395"/>
      <c r="C558" s="371"/>
      <c r="D558" s="372" t="str">
        <f>IFERROR(INDEX('[11]Equipment List'!$B$2:$B$2038,MATCH(E558,'[11]Equipment List'!$A$2:$A$2038,0)),"")</f>
        <v/>
      </c>
      <c r="E558" s="388"/>
      <c r="F558" s="374"/>
      <c r="G558" s="375"/>
      <c r="H558" s="397"/>
      <c r="I558" s="377"/>
      <c r="J558" s="378"/>
      <c r="K558" s="379"/>
      <c r="L558" s="387"/>
      <c r="M558" s="380" t="str">
        <f t="array" ref="M558">IF(L558="","",(MAX(IF(AN$15:AN$144=B558,AO$15:AO$144))/60))</f>
        <v/>
      </c>
      <c r="N558" s="387"/>
      <c r="O558" s="387"/>
      <c r="P558" s="381" t="str">
        <f t="shared" si="33"/>
        <v/>
      </c>
      <c r="Q558" s="382" t="str">
        <f t="array" ref="Q558">IFERROR(INDEX($D$13:$D$1000,MATCH(0,COUNTIF($Q$13:Q557,$D$13:$D$1000&amp;"")+IF($D$13:$D$1000="",1,0),0)),"")</f>
        <v/>
      </c>
      <c r="R558" s="356" t="str">
        <f t="shared" si="34"/>
        <v/>
      </c>
      <c r="S558" s="383" t="str">
        <f t="shared" si="36"/>
        <v/>
      </c>
      <c r="T558" s="384" t="str">
        <f t="shared" si="35"/>
        <v/>
      </c>
      <c r="U558" s="349"/>
      <c r="V558" s="385"/>
      <c r="W558" s="385"/>
      <c r="X558" s="386"/>
    </row>
    <row r="559" spans="2:24">
      <c r="B559" s="395"/>
      <c r="C559" s="371"/>
      <c r="D559" s="372" t="str">
        <f>IFERROR(INDEX('[11]Equipment List'!$B$2:$B$2038,MATCH(E559,'[11]Equipment List'!$A$2:$A$2038,0)),"")</f>
        <v/>
      </c>
      <c r="E559" s="388"/>
      <c r="F559" s="374"/>
      <c r="G559" s="375"/>
      <c r="H559" s="397"/>
      <c r="I559" s="377"/>
      <c r="J559" s="378"/>
      <c r="K559" s="379"/>
      <c r="L559" s="387"/>
      <c r="M559" s="380" t="str">
        <f t="array" ref="M559">IF(L559="","",(MAX(IF(AN$15:AN$144=B559,AO$15:AO$144))/60))</f>
        <v/>
      </c>
      <c r="N559" s="387"/>
      <c r="O559" s="387"/>
      <c r="P559" s="381" t="str">
        <f t="shared" si="33"/>
        <v/>
      </c>
      <c r="Q559" s="382" t="str">
        <f t="array" ref="Q559">IFERROR(INDEX($D$13:$D$1000,MATCH(0,COUNTIF($Q$13:Q558,$D$13:$D$1000&amp;"")+IF($D$13:$D$1000="",1,0),0)),"")</f>
        <v/>
      </c>
      <c r="R559" s="356" t="str">
        <f t="shared" si="34"/>
        <v/>
      </c>
      <c r="S559" s="383" t="str">
        <f t="shared" si="36"/>
        <v/>
      </c>
      <c r="T559" s="384" t="str">
        <f t="shared" si="35"/>
        <v/>
      </c>
      <c r="U559" s="349"/>
      <c r="V559" s="385"/>
      <c r="W559" s="385"/>
      <c r="X559" s="386"/>
    </row>
    <row r="560" spans="2:24">
      <c r="B560" s="395"/>
      <c r="C560" s="371"/>
      <c r="D560" s="372" t="str">
        <f>IFERROR(INDEX('[11]Equipment List'!$B$2:$B$2038,MATCH(E560,'[11]Equipment List'!$A$2:$A$2038,0)),"")</f>
        <v/>
      </c>
      <c r="E560" s="388"/>
      <c r="F560" s="374"/>
      <c r="G560" s="375"/>
      <c r="H560" s="397"/>
      <c r="I560" s="377"/>
      <c r="J560" s="378"/>
      <c r="K560" s="379"/>
      <c r="L560" s="387"/>
      <c r="M560" s="380" t="str">
        <f t="array" ref="M560">IF(L560="","",(MAX(IF(AN$15:AN$144=B560,AO$15:AO$144))/60))</f>
        <v/>
      </c>
      <c r="N560" s="387"/>
      <c r="O560" s="387"/>
      <c r="P560" s="381" t="str">
        <f t="shared" si="33"/>
        <v/>
      </c>
      <c r="Q560" s="382" t="str">
        <f t="array" ref="Q560">IFERROR(INDEX($D$13:$D$1000,MATCH(0,COUNTIF($Q$13:Q559,$D$13:$D$1000&amp;"")+IF($D$13:$D$1000="",1,0),0)),"")</f>
        <v/>
      </c>
      <c r="R560" s="356" t="str">
        <f t="shared" si="34"/>
        <v/>
      </c>
      <c r="S560" s="383" t="str">
        <f t="shared" si="36"/>
        <v/>
      </c>
      <c r="T560" s="384" t="str">
        <f t="shared" si="35"/>
        <v/>
      </c>
      <c r="U560" s="349"/>
      <c r="V560" s="385"/>
      <c r="W560" s="385"/>
      <c r="X560" s="386"/>
    </row>
    <row r="561" spans="2:24">
      <c r="B561" s="395"/>
      <c r="C561" s="371"/>
      <c r="D561" s="372" t="str">
        <f>IFERROR(INDEX('[11]Equipment List'!$B$2:$B$2038,MATCH(E561,'[11]Equipment List'!$A$2:$A$2038,0)),"")</f>
        <v/>
      </c>
      <c r="E561" s="388"/>
      <c r="F561" s="374"/>
      <c r="G561" s="375"/>
      <c r="H561" s="397"/>
      <c r="I561" s="377"/>
      <c r="J561" s="378"/>
      <c r="K561" s="379"/>
      <c r="L561" s="387"/>
      <c r="M561" s="380" t="str">
        <f t="array" ref="M561">IF(L561="","",(MAX(IF(AN$15:AN$144=B561,AO$15:AO$144))/60))</f>
        <v/>
      </c>
      <c r="N561" s="387"/>
      <c r="O561" s="387"/>
      <c r="P561" s="381" t="str">
        <f t="shared" si="33"/>
        <v/>
      </c>
      <c r="Q561" s="382" t="str">
        <f t="array" ref="Q561">IFERROR(INDEX($D$13:$D$1000,MATCH(0,COUNTIF($Q$13:Q560,$D$13:$D$1000&amp;"")+IF($D$13:$D$1000="",1,0),0)),"")</f>
        <v/>
      </c>
      <c r="R561" s="356" t="str">
        <f t="shared" si="34"/>
        <v/>
      </c>
      <c r="S561" s="383" t="str">
        <f t="shared" si="36"/>
        <v/>
      </c>
      <c r="T561" s="384" t="str">
        <f t="shared" si="35"/>
        <v/>
      </c>
      <c r="U561" s="349"/>
      <c r="V561" s="385"/>
      <c r="W561" s="385"/>
      <c r="X561" s="386"/>
    </row>
    <row r="562" spans="2:24">
      <c r="B562" s="395"/>
      <c r="C562" s="371"/>
      <c r="D562" s="372" t="str">
        <f>IFERROR(INDEX('[11]Equipment List'!$B$2:$B$2038,MATCH(E562,'[11]Equipment List'!$A$2:$A$2038,0)),"")</f>
        <v/>
      </c>
      <c r="E562" s="388"/>
      <c r="F562" s="374"/>
      <c r="G562" s="375"/>
      <c r="H562" s="397"/>
      <c r="I562" s="377"/>
      <c r="J562" s="378"/>
      <c r="K562" s="379"/>
      <c r="L562" s="387"/>
      <c r="M562" s="380" t="str">
        <f t="array" ref="M562">IF(L562="","",(MAX(IF(AN$15:AN$144=B562,AO$15:AO$144))/60))</f>
        <v/>
      </c>
      <c r="N562" s="387"/>
      <c r="O562" s="387"/>
      <c r="P562" s="381" t="str">
        <f t="shared" si="33"/>
        <v/>
      </c>
      <c r="Q562" s="382" t="str">
        <f t="array" ref="Q562">IFERROR(INDEX($D$13:$D$1000,MATCH(0,COUNTIF($Q$13:Q561,$D$13:$D$1000&amp;"")+IF($D$13:$D$1000="",1,0),0)),"")</f>
        <v/>
      </c>
      <c r="R562" s="356" t="str">
        <f t="shared" si="34"/>
        <v/>
      </c>
      <c r="S562" s="383" t="str">
        <f t="shared" si="36"/>
        <v/>
      </c>
      <c r="T562" s="384" t="str">
        <f t="shared" si="35"/>
        <v/>
      </c>
      <c r="U562" s="349"/>
      <c r="V562" s="385"/>
      <c r="W562" s="385"/>
      <c r="X562" s="386"/>
    </row>
    <row r="563" spans="2:24">
      <c r="B563" s="395"/>
      <c r="C563" s="371"/>
      <c r="D563" s="372" t="str">
        <f>IFERROR(INDEX('[11]Equipment List'!$B$2:$B$2038,MATCH(E563,'[11]Equipment List'!$A$2:$A$2038,0)),"")</f>
        <v/>
      </c>
      <c r="E563" s="388"/>
      <c r="F563" s="374"/>
      <c r="G563" s="375"/>
      <c r="H563" s="397"/>
      <c r="I563" s="377"/>
      <c r="J563" s="378"/>
      <c r="K563" s="379"/>
      <c r="L563" s="387"/>
      <c r="M563" s="380" t="str">
        <f t="array" ref="M563">IF(L563="","",(MAX(IF(AN$15:AN$144=B563,AO$15:AO$144))/60))</f>
        <v/>
      </c>
      <c r="N563" s="387"/>
      <c r="O563" s="387"/>
      <c r="P563" s="381" t="str">
        <f t="shared" si="33"/>
        <v/>
      </c>
      <c r="Q563" s="382" t="str">
        <f t="array" ref="Q563">IFERROR(INDEX($D$13:$D$1000,MATCH(0,COUNTIF($Q$13:Q562,$D$13:$D$1000&amp;"")+IF($D$13:$D$1000="",1,0),0)),"")</f>
        <v/>
      </c>
      <c r="R563" s="356" t="str">
        <f t="shared" si="34"/>
        <v/>
      </c>
      <c r="S563" s="383" t="str">
        <f t="shared" si="36"/>
        <v/>
      </c>
      <c r="T563" s="384" t="str">
        <f t="shared" si="35"/>
        <v/>
      </c>
      <c r="U563" s="349"/>
      <c r="V563" s="385"/>
      <c r="W563" s="385"/>
      <c r="X563" s="386"/>
    </row>
    <row r="564" spans="2:24">
      <c r="B564" s="395"/>
      <c r="C564" s="371"/>
      <c r="D564" s="372" t="str">
        <f>IFERROR(INDEX('[11]Equipment List'!$B$2:$B$2038,MATCH(E564,'[11]Equipment List'!$A$2:$A$2038,0)),"")</f>
        <v/>
      </c>
      <c r="E564" s="388"/>
      <c r="F564" s="374"/>
      <c r="G564" s="375"/>
      <c r="H564" s="397"/>
      <c r="I564" s="377"/>
      <c r="J564" s="378"/>
      <c r="K564" s="379"/>
      <c r="L564" s="387"/>
      <c r="M564" s="380" t="str">
        <f t="array" ref="M564">IF(L564="","",(MAX(IF(AN$15:AN$144=B564,AO$15:AO$144))/60))</f>
        <v/>
      </c>
      <c r="N564" s="387"/>
      <c r="O564" s="387"/>
      <c r="P564" s="381" t="str">
        <f t="shared" si="33"/>
        <v/>
      </c>
      <c r="Q564" s="382" t="str">
        <f t="array" ref="Q564">IFERROR(INDEX($D$13:$D$1000,MATCH(0,COUNTIF($Q$13:Q563,$D$13:$D$1000&amp;"")+IF($D$13:$D$1000="",1,0),0)),"")</f>
        <v/>
      </c>
      <c r="R564" s="356" t="str">
        <f t="shared" si="34"/>
        <v/>
      </c>
      <c r="S564" s="383" t="str">
        <f t="shared" si="36"/>
        <v/>
      </c>
      <c r="T564" s="384" t="str">
        <f t="shared" si="35"/>
        <v/>
      </c>
      <c r="U564" s="349"/>
      <c r="V564" s="385"/>
      <c r="W564" s="385"/>
      <c r="X564" s="386"/>
    </row>
    <row r="565" spans="2:24">
      <c r="B565" s="395"/>
      <c r="C565" s="371"/>
      <c r="D565" s="372" t="str">
        <f>IFERROR(INDEX('[11]Equipment List'!$B$2:$B$2038,MATCH(E565,'[11]Equipment List'!$A$2:$A$2038,0)),"")</f>
        <v/>
      </c>
      <c r="E565" s="388"/>
      <c r="F565" s="374"/>
      <c r="G565" s="375"/>
      <c r="H565" s="397"/>
      <c r="I565" s="377"/>
      <c r="J565" s="378"/>
      <c r="K565" s="379"/>
      <c r="L565" s="387"/>
      <c r="M565" s="380" t="str">
        <f t="array" ref="M565">IF(L565="","",(MAX(IF(AN$15:AN$144=B565,AO$15:AO$144))/60))</f>
        <v/>
      </c>
      <c r="N565" s="387"/>
      <c r="O565" s="387"/>
      <c r="P565" s="381" t="str">
        <f t="shared" si="33"/>
        <v/>
      </c>
      <c r="Q565" s="382" t="str">
        <f t="array" ref="Q565">IFERROR(INDEX($D$13:$D$1000,MATCH(0,COUNTIF($Q$13:Q564,$D$13:$D$1000&amp;"")+IF($D$13:$D$1000="",1,0),0)),"")</f>
        <v/>
      </c>
      <c r="R565" s="356" t="str">
        <f t="shared" si="34"/>
        <v/>
      </c>
      <c r="S565" s="383" t="str">
        <f t="shared" si="36"/>
        <v/>
      </c>
      <c r="T565" s="384" t="str">
        <f t="shared" si="35"/>
        <v/>
      </c>
      <c r="U565" s="349"/>
      <c r="V565" s="385"/>
      <c r="W565" s="385"/>
      <c r="X565" s="386"/>
    </row>
    <row r="566" spans="2:24">
      <c r="B566" s="395"/>
      <c r="C566" s="371"/>
      <c r="D566" s="372" t="str">
        <f>IFERROR(INDEX('[11]Equipment List'!$B$2:$B$2038,MATCH(E566,'[11]Equipment List'!$A$2:$A$2038,0)),"")</f>
        <v/>
      </c>
      <c r="E566" s="388"/>
      <c r="F566" s="374"/>
      <c r="G566" s="375"/>
      <c r="H566" s="397"/>
      <c r="I566" s="377"/>
      <c r="J566" s="378"/>
      <c r="K566" s="379"/>
      <c r="L566" s="387"/>
      <c r="M566" s="380" t="str">
        <f t="array" ref="M566">IF(L566="","",(MAX(IF(AN$15:AN$144=B566,AO$15:AO$144))/60))</f>
        <v/>
      </c>
      <c r="N566" s="387"/>
      <c r="O566" s="387"/>
      <c r="P566" s="381" t="str">
        <f t="shared" si="33"/>
        <v/>
      </c>
      <c r="Q566" s="382" t="str">
        <f t="array" ref="Q566">IFERROR(INDEX($D$13:$D$1000,MATCH(0,COUNTIF($Q$13:Q565,$D$13:$D$1000&amp;"")+IF($D$13:$D$1000="",1,0),0)),"")</f>
        <v/>
      </c>
      <c r="R566" s="356" t="str">
        <f t="shared" si="34"/>
        <v/>
      </c>
      <c r="S566" s="383" t="str">
        <f t="shared" si="36"/>
        <v/>
      </c>
      <c r="T566" s="384" t="str">
        <f t="shared" si="35"/>
        <v/>
      </c>
      <c r="U566" s="349"/>
      <c r="V566" s="385"/>
      <c r="W566" s="385"/>
      <c r="X566" s="386"/>
    </row>
    <row r="567" spans="2:24">
      <c r="B567" s="395"/>
      <c r="C567" s="371"/>
      <c r="D567" s="372" t="str">
        <f>IFERROR(INDEX('[11]Equipment List'!$B$2:$B$2038,MATCH(E567,'[11]Equipment List'!$A$2:$A$2038,0)),"")</f>
        <v/>
      </c>
      <c r="E567" s="388"/>
      <c r="F567" s="374"/>
      <c r="G567" s="375"/>
      <c r="H567" s="397"/>
      <c r="I567" s="377"/>
      <c r="J567" s="378"/>
      <c r="K567" s="379"/>
      <c r="L567" s="387"/>
      <c r="M567" s="380" t="str">
        <f t="array" ref="M567">IF(L567="","",(MAX(IF(AN$15:AN$144=B567,AO$15:AO$144))/60))</f>
        <v/>
      </c>
      <c r="N567" s="387"/>
      <c r="O567" s="387"/>
      <c r="P567" s="381" t="str">
        <f t="shared" si="33"/>
        <v/>
      </c>
      <c r="Q567" s="382" t="str">
        <f t="array" ref="Q567">IFERROR(INDEX($D$13:$D$1000,MATCH(0,COUNTIF($Q$13:Q566,$D$13:$D$1000&amp;"")+IF($D$13:$D$1000="",1,0),0)),"")</f>
        <v/>
      </c>
      <c r="R567" s="356" t="str">
        <f t="shared" si="34"/>
        <v/>
      </c>
      <c r="S567" s="383" t="str">
        <f t="shared" si="36"/>
        <v/>
      </c>
      <c r="T567" s="384" t="str">
        <f t="shared" si="35"/>
        <v/>
      </c>
      <c r="U567" s="349"/>
      <c r="V567" s="385"/>
      <c r="W567" s="385"/>
      <c r="X567" s="386"/>
    </row>
    <row r="568" spans="2:24">
      <c r="B568" s="395"/>
      <c r="C568" s="371"/>
      <c r="D568" s="372" t="str">
        <f>IFERROR(INDEX('[11]Equipment List'!$B$2:$B$2038,MATCH(E568,'[11]Equipment List'!$A$2:$A$2038,0)),"")</f>
        <v/>
      </c>
      <c r="E568" s="388"/>
      <c r="F568" s="374"/>
      <c r="G568" s="375"/>
      <c r="H568" s="397"/>
      <c r="I568" s="377"/>
      <c r="J568" s="378"/>
      <c r="K568" s="379"/>
      <c r="L568" s="387"/>
      <c r="M568" s="380" t="str">
        <f t="array" ref="M568">IF(L568="","",(MAX(IF(AN$15:AN$144=B568,AO$15:AO$144))/60))</f>
        <v/>
      </c>
      <c r="N568" s="387"/>
      <c r="O568" s="387"/>
      <c r="P568" s="381" t="str">
        <f t="shared" si="33"/>
        <v/>
      </c>
      <c r="Q568" s="382" t="str">
        <f t="array" ref="Q568">IFERROR(INDEX($D$13:$D$1000,MATCH(0,COUNTIF($Q$13:Q567,$D$13:$D$1000&amp;"")+IF($D$13:$D$1000="",1,0),0)),"")</f>
        <v/>
      </c>
      <c r="R568" s="356" t="str">
        <f t="shared" si="34"/>
        <v/>
      </c>
      <c r="S568" s="383" t="str">
        <f t="shared" si="36"/>
        <v/>
      </c>
      <c r="T568" s="384" t="str">
        <f t="shared" si="35"/>
        <v/>
      </c>
      <c r="U568" s="349"/>
      <c r="V568" s="385"/>
      <c r="W568" s="385"/>
      <c r="X568" s="386"/>
    </row>
    <row r="569" spans="2:24">
      <c r="B569" s="395"/>
      <c r="C569" s="371"/>
      <c r="D569" s="372" t="str">
        <f>IFERROR(INDEX('[11]Equipment List'!$B$2:$B$2038,MATCH(E569,'[11]Equipment List'!$A$2:$A$2038,0)),"")</f>
        <v/>
      </c>
      <c r="E569" s="388"/>
      <c r="F569" s="374"/>
      <c r="G569" s="375"/>
      <c r="H569" s="397"/>
      <c r="I569" s="377"/>
      <c r="J569" s="378"/>
      <c r="K569" s="379"/>
      <c r="L569" s="387"/>
      <c r="M569" s="380" t="str">
        <f t="array" ref="M569">IF(L569="","",(MAX(IF(AN$15:AN$144=B569,AO$15:AO$144))/60))</f>
        <v/>
      </c>
      <c r="N569" s="387"/>
      <c r="O569" s="387"/>
      <c r="P569" s="381" t="str">
        <f t="shared" si="33"/>
        <v/>
      </c>
      <c r="Q569" s="382" t="str">
        <f t="array" ref="Q569">IFERROR(INDEX($D$13:$D$1000,MATCH(0,COUNTIF($Q$13:Q568,$D$13:$D$1000&amp;"")+IF($D$13:$D$1000="",1,0),0)),"")</f>
        <v/>
      </c>
      <c r="R569" s="356" t="str">
        <f t="shared" si="34"/>
        <v/>
      </c>
      <c r="S569" s="383" t="str">
        <f t="shared" si="36"/>
        <v/>
      </c>
      <c r="T569" s="384" t="str">
        <f t="shared" si="35"/>
        <v/>
      </c>
      <c r="U569" s="349"/>
      <c r="V569" s="385"/>
      <c r="W569" s="385"/>
      <c r="X569" s="386"/>
    </row>
    <row r="570" spans="2:24">
      <c r="B570" s="395"/>
      <c r="C570" s="371"/>
      <c r="D570" s="372" t="str">
        <f>IFERROR(INDEX('[11]Equipment List'!$B$2:$B$2038,MATCH(E570,'[11]Equipment List'!$A$2:$A$2038,0)),"")</f>
        <v/>
      </c>
      <c r="E570" s="388"/>
      <c r="F570" s="374"/>
      <c r="G570" s="375"/>
      <c r="H570" s="397"/>
      <c r="I570" s="377"/>
      <c r="J570" s="378"/>
      <c r="K570" s="379"/>
      <c r="L570" s="387"/>
      <c r="M570" s="380" t="str">
        <f t="array" ref="M570">IF(L570="","",(MAX(IF(AN$15:AN$144=B570,AO$15:AO$144))/60))</f>
        <v/>
      </c>
      <c r="N570" s="387"/>
      <c r="O570" s="387"/>
      <c r="P570" s="381" t="str">
        <f t="shared" si="33"/>
        <v/>
      </c>
      <c r="Q570" s="382" t="str">
        <f t="array" ref="Q570">IFERROR(INDEX($D$13:$D$1000,MATCH(0,COUNTIF($Q$13:Q569,$D$13:$D$1000&amp;"")+IF($D$13:$D$1000="",1,0),0)),"")</f>
        <v/>
      </c>
      <c r="R570" s="356" t="str">
        <f t="shared" si="34"/>
        <v/>
      </c>
      <c r="S570" s="383" t="str">
        <f t="shared" si="36"/>
        <v/>
      </c>
      <c r="T570" s="384" t="str">
        <f t="shared" si="35"/>
        <v/>
      </c>
      <c r="U570" s="349"/>
      <c r="V570" s="385"/>
      <c r="W570" s="385"/>
      <c r="X570" s="386"/>
    </row>
    <row r="571" spans="2:24">
      <c r="B571" s="395"/>
      <c r="C571" s="371"/>
      <c r="D571" s="372" t="str">
        <f>IFERROR(INDEX('[11]Equipment List'!$B$2:$B$2038,MATCH(E571,'[11]Equipment List'!$A$2:$A$2038,0)),"")</f>
        <v/>
      </c>
      <c r="E571" s="388"/>
      <c r="F571" s="374"/>
      <c r="G571" s="375"/>
      <c r="H571" s="397"/>
      <c r="I571" s="377"/>
      <c r="J571" s="378"/>
      <c r="K571" s="379"/>
      <c r="L571" s="387"/>
      <c r="M571" s="380" t="str">
        <f t="array" ref="M571">IF(L571="","",(MAX(IF(AN$15:AN$144=B571,AO$15:AO$144))/60))</f>
        <v/>
      </c>
      <c r="N571" s="387"/>
      <c r="O571" s="387"/>
      <c r="P571" s="381" t="str">
        <f t="shared" si="33"/>
        <v/>
      </c>
      <c r="Q571" s="382" t="str">
        <f t="array" ref="Q571">IFERROR(INDEX($D$13:$D$1000,MATCH(0,COUNTIF($Q$13:Q570,$D$13:$D$1000&amp;"")+IF($D$13:$D$1000="",1,0),0)),"")</f>
        <v/>
      </c>
      <c r="R571" s="356" t="str">
        <f t="shared" si="34"/>
        <v/>
      </c>
      <c r="S571" s="383" t="str">
        <f t="shared" si="36"/>
        <v/>
      </c>
      <c r="T571" s="384" t="str">
        <f t="shared" si="35"/>
        <v/>
      </c>
      <c r="U571" s="349"/>
      <c r="V571" s="385"/>
      <c r="W571" s="385"/>
      <c r="X571" s="386"/>
    </row>
    <row r="572" spans="2:24">
      <c r="B572" s="395"/>
      <c r="C572" s="371"/>
      <c r="D572" s="372" t="str">
        <f>IFERROR(INDEX('[11]Equipment List'!$B$2:$B$2038,MATCH(E572,'[11]Equipment List'!$A$2:$A$2038,0)),"")</f>
        <v/>
      </c>
      <c r="E572" s="388"/>
      <c r="F572" s="374"/>
      <c r="G572" s="375"/>
      <c r="H572" s="397"/>
      <c r="I572" s="377"/>
      <c r="J572" s="378"/>
      <c r="K572" s="379"/>
      <c r="L572" s="387"/>
      <c r="M572" s="380" t="str">
        <f t="array" ref="M572">IF(L572="","",(MAX(IF(AN$15:AN$144=B572,AO$15:AO$144))/60))</f>
        <v/>
      </c>
      <c r="N572" s="387"/>
      <c r="O572" s="387"/>
      <c r="P572" s="381" t="str">
        <f t="shared" si="33"/>
        <v/>
      </c>
      <c r="Q572" s="382" t="str">
        <f t="array" ref="Q572">IFERROR(INDEX($D$13:$D$1000,MATCH(0,COUNTIF($Q$13:Q571,$D$13:$D$1000&amp;"")+IF($D$13:$D$1000="",1,0),0)),"")</f>
        <v/>
      </c>
      <c r="R572" s="356" t="str">
        <f t="shared" si="34"/>
        <v/>
      </c>
      <c r="S572" s="383" t="str">
        <f t="shared" si="36"/>
        <v/>
      </c>
      <c r="T572" s="384" t="str">
        <f t="shared" si="35"/>
        <v/>
      </c>
      <c r="U572" s="349"/>
      <c r="V572" s="385"/>
      <c r="W572" s="385"/>
      <c r="X572" s="386"/>
    </row>
    <row r="573" spans="2:24">
      <c r="B573" s="395"/>
      <c r="C573" s="371"/>
      <c r="D573" s="372" t="str">
        <f>IFERROR(INDEX('[11]Equipment List'!$B$2:$B$2038,MATCH(E573,'[11]Equipment List'!$A$2:$A$2038,0)),"")</f>
        <v/>
      </c>
      <c r="E573" s="388"/>
      <c r="F573" s="374"/>
      <c r="G573" s="375"/>
      <c r="H573" s="397"/>
      <c r="I573" s="377"/>
      <c r="J573" s="378"/>
      <c r="K573" s="379"/>
      <c r="L573" s="387"/>
      <c r="M573" s="380" t="str">
        <f t="array" ref="M573">IF(L573="","",(MAX(IF(AN$15:AN$144=B573,AO$15:AO$144))/60))</f>
        <v/>
      </c>
      <c r="N573" s="387"/>
      <c r="O573" s="387"/>
      <c r="P573" s="381" t="str">
        <f t="shared" si="33"/>
        <v/>
      </c>
      <c r="Q573" s="382" t="str">
        <f t="array" ref="Q573">IFERROR(INDEX($D$13:$D$1000,MATCH(0,COUNTIF($Q$13:Q572,$D$13:$D$1000&amp;"")+IF($D$13:$D$1000="",1,0),0)),"")</f>
        <v/>
      </c>
      <c r="R573" s="356" t="str">
        <f t="shared" si="34"/>
        <v/>
      </c>
      <c r="S573" s="383" t="str">
        <f t="shared" si="36"/>
        <v/>
      </c>
      <c r="T573" s="384" t="str">
        <f t="shared" si="35"/>
        <v/>
      </c>
      <c r="U573" s="349"/>
      <c r="V573" s="385"/>
      <c r="W573" s="385"/>
      <c r="X573" s="386"/>
    </row>
    <row r="574" spans="2:24">
      <c r="B574" s="395"/>
      <c r="C574" s="371"/>
      <c r="D574" s="372" t="str">
        <f>IFERROR(INDEX('[11]Equipment List'!$B$2:$B$2038,MATCH(E574,'[11]Equipment List'!$A$2:$A$2038,0)),"")</f>
        <v/>
      </c>
      <c r="E574" s="388"/>
      <c r="F574" s="374"/>
      <c r="G574" s="375"/>
      <c r="H574" s="397"/>
      <c r="I574" s="377"/>
      <c r="J574" s="378"/>
      <c r="K574" s="379"/>
      <c r="L574" s="387"/>
      <c r="M574" s="380" t="str">
        <f t="array" ref="M574">IF(L574="","",(MAX(IF(AN$15:AN$144=B574,AO$15:AO$144))/60))</f>
        <v/>
      </c>
      <c r="N574" s="387"/>
      <c r="O574" s="387"/>
      <c r="P574" s="381" t="str">
        <f t="shared" si="33"/>
        <v/>
      </c>
      <c r="Q574" s="382" t="str">
        <f t="array" ref="Q574">IFERROR(INDEX($D$13:$D$1000,MATCH(0,COUNTIF($Q$13:Q573,$D$13:$D$1000&amp;"")+IF($D$13:$D$1000="",1,0),0)),"")</f>
        <v/>
      </c>
      <c r="R574" s="356" t="str">
        <f t="shared" si="34"/>
        <v/>
      </c>
      <c r="S574" s="383" t="str">
        <f t="shared" si="36"/>
        <v/>
      </c>
      <c r="T574" s="384" t="str">
        <f t="shared" si="35"/>
        <v/>
      </c>
      <c r="U574" s="349"/>
      <c r="V574" s="385"/>
      <c r="W574" s="385"/>
      <c r="X574" s="386"/>
    </row>
    <row r="575" spans="2:24">
      <c r="B575" s="395"/>
      <c r="C575" s="371"/>
      <c r="D575" s="372" t="str">
        <f>IFERROR(INDEX('[11]Equipment List'!$B$2:$B$2038,MATCH(E575,'[11]Equipment List'!$A$2:$A$2038,0)),"")</f>
        <v/>
      </c>
      <c r="E575" s="388"/>
      <c r="F575" s="374"/>
      <c r="G575" s="375"/>
      <c r="H575" s="397"/>
      <c r="I575" s="377"/>
      <c r="J575" s="378"/>
      <c r="K575" s="379"/>
      <c r="L575" s="387"/>
      <c r="M575" s="380" t="str">
        <f t="array" ref="M575">IF(L575="","",(MAX(IF(AN$15:AN$144=B575,AO$15:AO$144))/60))</f>
        <v/>
      </c>
      <c r="N575" s="387"/>
      <c r="O575" s="387"/>
      <c r="P575" s="381" t="str">
        <f t="shared" si="33"/>
        <v/>
      </c>
      <c r="Q575" s="382" t="str">
        <f t="array" ref="Q575">IFERROR(INDEX($D$13:$D$1000,MATCH(0,COUNTIF($Q$13:Q574,$D$13:$D$1000&amp;"")+IF($D$13:$D$1000="",1,0),0)),"")</f>
        <v/>
      </c>
      <c r="R575" s="356" t="str">
        <f t="shared" si="34"/>
        <v/>
      </c>
      <c r="S575" s="383" t="str">
        <f t="shared" si="36"/>
        <v/>
      </c>
      <c r="T575" s="384" t="str">
        <f t="shared" si="35"/>
        <v/>
      </c>
      <c r="U575" s="349"/>
      <c r="V575" s="385"/>
      <c r="W575" s="385"/>
      <c r="X575" s="386"/>
    </row>
    <row r="576" spans="2:24">
      <c r="B576" s="395"/>
      <c r="C576" s="371"/>
      <c r="D576" s="372" t="str">
        <f>IFERROR(INDEX('[11]Equipment List'!$B$2:$B$2038,MATCH(E576,'[11]Equipment List'!$A$2:$A$2038,0)),"")</f>
        <v/>
      </c>
      <c r="E576" s="388"/>
      <c r="F576" s="374"/>
      <c r="G576" s="375"/>
      <c r="H576" s="397"/>
      <c r="I576" s="377"/>
      <c r="J576" s="378"/>
      <c r="K576" s="379"/>
      <c r="L576" s="387"/>
      <c r="M576" s="380" t="str">
        <f t="array" ref="M576">IF(L576="","",(MAX(IF(AN$15:AN$144=B576,AO$15:AO$144))/60))</f>
        <v/>
      </c>
      <c r="N576" s="387"/>
      <c r="O576" s="387"/>
      <c r="P576" s="381" t="str">
        <f t="shared" si="33"/>
        <v/>
      </c>
      <c r="Q576" s="382" t="str">
        <f t="array" ref="Q576">IFERROR(INDEX($D$13:$D$1000,MATCH(0,COUNTIF($Q$13:Q575,$D$13:$D$1000&amp;"")+IF($D$13:$D$1000="",1,0),0)),"")</f>
        <v/>
      </c>
      <c r="R576" s="356" t="str">
        <f t="shared" si="34"/>
        <v/>
      </c>
      <c r="S576" s="383" t="str">
        <f t="shared" si="36"/>
        <v/>
      </c>
      <c r="T576" s="384" t="str">
        <f t="shared" si="35"/>
        <v/>
      </c>
      <c r="U576" s="349"/>
      <c r="V576" s="385"/>
      <c r="W576" s="385"/>
      <c r="X576" s="386"/>
    </row>
    <row r="577" spans="2:24">
      <c r="B577" s="395"/>
      <c r="C577" s="371"/>
      <c r="D577" s="372" t="str">
        <f>IFERROR(INDEX('[11]Equipment List'!$B$2:$B$2038,MATCH(E577,'[11]Equipment List'!$A$2:$A$2038,0)),"")</f>
        <v/>
      </c>
      <c r="E577" s="388"/>
      <c r="F577" s="374"/>
      <c r="G577" s="375"/>
      <c r="H577" s="397"/>
      <c r="I577" s="377"/>
      <c r="J577" s="378"/>
      <c r="K577" s="379"/>
      <c r="L577" s="387"/>
      <c r="M577" s="380" t="str">
        <f t="array" ref="M577">IF(L577="","",(MAX(IF(AN$15:AN$144=B577,AO$15:AO$144))/60))</f>
        <v/>
      </c>
      <c r="N577" s="387"/>
      <c r="O577" s="387"/>
      <c r="P577" s="381" t="str">
        <f t="shared" si="33"/>
        <v/>
      </c>
      <c r="Q577" s="382" t="str">
        <f t="array" ref="Q577">IFERROR(INDEX($D$13:$D$1000,MATCH(0,COUNTIF($Q$13:Q576,$D$13:$D$1000&amp;"")+IF($D$13:$D$1000="",1,0),0)),"")</f>
        <v/>
      </c>
      <c r="R577" s="356" t="str">
        <f t="shared" si="34"/>
        <v/>
      </c>
      <c r="S577" s="383" t="str">
        <f t="shared" si="36"/>
        <v/>
      </c>
      <c r="T577" s="384" t="str">
        <f t="shared" si="35"/>
        <v/>
      </c>
      <c r="U577" s="349"/>
      <c r="V577" s="385"/>
      <c r="W577" s="385"/>
      <c r="X577" s="386"/>
    </row>
    <row r="578" spans="2:24">
      <c r="B578" s="395"/>
      <c r="C578" s="371"/>
      <c r="D578" s="372" t="str">
        <f>IFERROR(INDEX('[11]Equipment List'!$B$2:$B$2038,MATCH(E578,'[11]Equipment List'!$A$2:$A$2038,0)),"")</f>
        <v/>
      </c>
      <c r="E578" s="388"/>
      <c r="F578" s="374"/>
      <c r="G578" s="375"/>
      <c r="H578" s="397"/>
      <c r="I578" s="377"/>
      <c r="J578" s="378"/>
      <c r="K578" s="379"/>
      <c r="L578" s="387"/>
      <c r="M578" s="380" t="str">
        <f t="array" ref="M578">IF(L578="","",(MAX(IF(AN$15:AN$144=B578,AO$15:AO$144))/60))</f>
        <v/>
      </c>
      <c r="N578" s="387"/>
      <c r="O578" s="387"/>
      <c r="P578" s="381" t="str">
        <f t="shared" si="33"/>
        <v/>
      </c>
      <c r="Q578" s="382" t="str">
        <f t="array" ref="Q578">IFERROR(INDEX($D$13:$D$1000,MATCH(0,COUNTIF($Q$13:Q577,$D$13:$D$1000&amp;"")+IF($D$13:$D$1000="",1,0),0)),"")</f>
        <v/>
      </c>
      <c r="R578" s="356" t="str">
        <f t="shared" si="34"/>
        <v/>
      </c>
      <c r="S578" s="383" t="str">
        <f t="shared" si="36"/>
        <v/>
      </c>
      <c r="T578" s="384" t="str">
        <f t="shared" si="35"/>
        <v/>
      </c>
      <c r="U578" s="349"/>
      <c r="V578" s="385"/>
      <c r="W578" s="385"/>
      <c r="X578" s="386"/>
    </row>
    <row r="579" spans="2:24">
      <c r="B579" s="395"/>
      <c r="C579" s="371"/>
      <c r="D579" s="372" t="str">
        <f>IFERROR(INDEX('[11]Equipment List'!$B$2:$B$2038,MATCH(E579,'[11]Equipment List'!$A$2:$A$2038,0)),"")</f>
        <v/>
      </c>
      <c r="E579" s="388"/>
      <c r="F579" s="374"/>
      <c r="G579" s="375"/>
      <c r="H579" s="397"/>
      <c r="I579" s="377"/>
      <c r="J579" s="378"/>
      <c r="K579" s="379"/>
      <c r="L579" s="387"/>
      <c r="M579" s="380" t="str">
        <f t="array" ref="M579">IF(L579="","",(MAX(IF(AN$15:AN$144=B579,AO$15:AO$144))/60))</f>
        <v/>
      </c>
      <c r="N579" s="387"/>
      <c r="O579" s="387"/>
      <c r="P579" s="381" t="str">
        <f t="shared" si="33"/>
        <v/>
      </c>
      <c r="Q579" s="382" t="str">
        <f t="array" ref="Q579">IFERROR(INDEX($D$13:$D$1000,MATCH(0,COUNTIF($Q$13:Q578,$D$13:$D$1000&amp;"")+IF($D$13:$D$1000="",1,0),0)),"")</f>
        <v/>
      </c>
      <c r="R579" s="356" t="str">
        <f t="shared" si="34"/>
        <v/>
      </c>
      <c r="S579" s="383" t="str">
        <f t="shared" si="36"/>
        <v/>
      </c>
      <c r="T579" s="384" t="str">
        <f t="shared" si="35"/>
        <v/>
      </c>
      <c r="U579" s="349"/>
      <c r="V579" s="385"/>
      <c r="W579" s="385"/>
      <c r="X579" s="386"/>
    </row>
    <row r="580" spans="2:24">
      <c r="B580" s="395"/>
      <c r="C580" s="371"/>
      <c r="D580" s="372" t="str">
        <f>IFERROR(INDEX('[11]Equipment List'!$B$2:$B$2038,MATCH(E580,'[11]Equipment List'!$A$2:$A$2038,0)),"")</f>
        <v/>
      </c>
      <c r="E580" s="388"/>
      <c r="F580" s="374"/>
      <c r="G580" s="375"/>
      <c r="H580" s="397"/>
      <c r="I580" s="377"/>
      <c r="J580" s="378"/>
      <c r="K580" s="379"/>
      <c r="L580" s="387"/>
      <c r="M580" s="380" t="str">
        <f t="array" ref="M580">IF(L580="","",(MAX(IF(AN$15:AN$144=B580,AO$15:AO$144))/60))</f>
        <v/>
      </c>
      <c r="N580" s="387"/>
      <c r="O580" s="387"/>
      <c r="P580" s="381" t="str">
        <f t="shared" si="33"/>
        <v/>
      </c>
      <c r="Q580" s="382" t="str">
        <f t="array" ref="Q580">IFERROR(INDEX($D$13:$D$1000,MATCH(0,COUNTIF($Q$13:Q579,$D$13:$D$1000&amp;"")+IF($D$13:$D$1000="",1,0),0)),"")</f>
        <v/>
      </c>
      <c r="R580" s="356" t="str">
        <f t="shared" si="34"/>
        <v/>
      </c>
      <c r="S580" s="383" t="str">
        <f t="shared" si="36"/>
        <v/>
      </c>
      <c r="T580" s="384" t="str">
        <f t="shared" si="35"/>
        <v/>
      </c>
      <c r="U580" s="349"/>
      <c r="V580" s="385"/>
      <c r="W580" s="385"/>
      <c r="X580" s="386"/>
    </row>
    <row r="581" spans="2:24">
      <c r="B581" s="395"/>
      <c r="C581" s="371"/>
      <c r="D581" s="372" t="str">
        <f>IFERROR(INDEX('[11]Equipment List'!$B$2:$B$2038,MATCH(E581,'[11]Equipment List'!$A$2:$A$2038,0)),"")</f>
        <v/>
      </c>
      <c r="E581" s="388"/>
      <c r="F581" s="374"/>
      <c r="G581" s="375"/>
      <c r="H581" s="397"/>
      <c r="I581" s="377"/>
      <c r="J581" s="378"/>
      <c r="K581" s="379"/>
      <c r="L581" s="387"/>
      <c r="M581" s="380" t="str">
        <f t="array" ref="M581">IF(L581="","",(MAX(IF(AN$15:AN$144=B581,AO$15:AO$144))/60))</f>
        <v/>
      </c>
      <c r="N581" s="387"/>
      <c r="O581" s="387"/>
      <c r="P581" s="381" t="str">
        <f t="shared" si="33"/>
        <v/>
      </c>
      <c r="Q581" s="382" t="str">
        <f t="array" ref="Q581">IFERROR(INDEX($D$13:$D$1000,MATCH(0,COUNTIF($Q$13:Q580,$D$13:$D$1000&amp;"")+IF($D$13:$D$1000="",1,0),0)),"")</f>
        <v/>
      </c>
      <c r="R581" s="356" t="str">
        <f t="shared" si="34"/>
        <v/>
      </c>
      <c r="S581" s="383" t="str">
        <f t="shared" si="36"/>
        <v/>
      </c>
      <c r="T581" s="384" t="str">
        <f t="shared" si="35"/>
        <v/>
      </c>
      <c r="U581" s="349"/>
      <c r="V581" s="385"/>
      <c r="W581" s="385"/>
      <c r="X581" s="386"/>
    </row>
    <row r="582" spans="2:24">
      <c r="B582" s="395"/>
      <c r="C582" s="371"/>
      <c r="D582" s="372" t="str">
        <f>IFERROR(INDEX('[11]Equipment List'!$B$2:$B$2038,MATCH(E582,'[11]Equipment List'!$A$2:$A$2038,0)),"")</f>
        <v/>
      </c>
      <c r="E582" s="388"/>
      <c r="F582" s="374"/>
      <c r="G582" s="375"/>
      <c r="H582" s="397"/>
      <c r="I582" s="377"/>
      <c r="J582" s="378"/>
      <c r="K582" s="379"/>
      <c r="L582" s="387"/>
      <c r="M582" s="380" t="str">
        <f t="array" ref="M582">IF(L582="","",(MAX(IF(AN$15:AN$144=B582,AO$15:AO$144))/60))</f>
        <v/>
      </c>
      <c r="N582" s="387"/>
      <c r="O582" s="387"/>
      <c r="P582" s="381" t="str">
        <f t="shared" si="33"/>
        <v/>
      </c>
      <c r="Q582" s="382" t="str">
        <f t="array" ref="Q582">IFERROR(INDEX($D$13:$D$1000,MATCH(0,COUNTIF($Q$13:Q581,$D$13:$D$1000&amp;"")+IF($D$13:$D$1000="",1,0),0)),"")</f>
        <v/>
      </c>
      <c r="R582" s="356" t="str">
        <f t="shared" si="34"/>
        <v/>
      </c>
      <c r="S582" s="383" t="str">
        <f t="shared" si="36"/>
        <v/>
      </c>
      <c r="T582" s="384" t="str">
        <f t="shared" si="35"/>
        <v/>
      </c>
      <c r="U582" s="349"/>
      <c r="V582" s="385"/>
      <c r="W582" s="385"/>
      <c r="X582" s="386"/>
    </row>
    <row r="583" spans="2:24">
      <c r="B583" s="395"/>
      <c r="C583" s="371"/>
      <c r="D583" s="372" t="str">
        <f>IFERROR(INDEX('[11]Equipment List'!$B$2:$B$2038,MATCH(E583,'[11]Equipment List'!$A$2:$A$2038,0)),"")</f>
        <v/>
      </c>
      <c r="E583" s="388"/>
      <c r="F583" s="374"/>
      <c r="G583" s="375"/>
      <c r="H583" s="397"/>
      <c r="I583" s="377"/>
      <c r="J583" s="378"/>
      <c r="K583" s="379"/>
      <c r="L583" s="387"/>
      <c r="M583" s="380" t="str">
        <f t="array" ref="M583">IF(L583="","",(MAX(IF(AN$15:AN$144=B583,AO$15:AO$144))/60))</f>
        <v/>
      </c>
      <c r="N583" s="387"/>
      <c r="O583" s="387"/>
      <c r="P583" s="381" t="str">
        <f t="shared" si="33"/>
        <v/>
      </c>
      <c r="Q583" s="382" t="str">
        <f t="array" ref="Q583">IFERROR(INDEX($D$13:$D$1000,MATCH(0,COUNTIF($Q$13:Q582,$D$13:$D$1000&amp;"")+IF($D$13:$D$1000="",1,0),0)),"")</f>
        <v/>
      </c>
      <c r="R583" s="356" t="str">
        <f t="shared" si="34"/>
        <v/>
      </c>
      <c r="S583" s="383" t="str">
        <f t="shared" si="36"/>
        <v/>
      </c>
      <c r="T583" s="384" t="str">
        <f t="shared" si="35"/>
        <v/>
      </c>
      <c r="U583" s="349"/>
      <c r="V583" s="385"/>
      <c r="W583" s="385"/>
      <c r="X583" s="386"/>
    </row>
    <row r="584" spans="2:24">
      <c r="B584" s="395"/>
      <c r="C584" s="371"/>
      <c r="D584" s="372" t="str">
        <f>IFERROR(INDEX('[11]Equipment List'!$B$2:$B$2038,MATCH(E584,'[11]Equipment List'!$A$2:$A$2038,0)),"")</f>
        <v/>
      </c>
      <c r="E584" s="388"/>
      <c r="F584" s="374"/>
      <c r="G584" s="375"/>
      <c r="H584" s="397"/>
      <c r="I584" s="377"/>
      <c r="J584" s="378"/>
      <c r="K584" s="379"/>
      <c r="L584" s="387"/>
      <c r="M584" s="380" t="str">
        <f t="array" ref="M584">IF(L584="","",(MAX(IF(AN$15:AN$144=B584,AO$15:AO$144))/60))</f>
        <v/>
      </c>
      <c r="N584" s="387"/>
      <c r="O584" s="387"/>
      <c r="P584" s="381" t="str">
        <f t="shared" si="33"/>
        <v/>
      </c>
      <c r="Q584" s="382" t="str">
        <f t="array" ref="Q584">IFERROR(INDEX($D$13:$D$1000,MATCH(0,COUNTIF($Q$13:Q583,$D$13:$D$1000&amp;"")+IF($D$13:$D$1000="",1,0),0)),"")</f>
        <v/>
      </c>
      <c r="R584" s="356" t="str">
        <f t="shared" si="34"/>
        <v/>
      </c>
      <c r="S584" s="383" t="str">
        <f t="shared" si="36"/>
        <v/>
      </c>
      <c r="T584" s="384" t="str">
        <f t="shared" si="35"/>
        <v/>
      </c>
      <c r="U584" s="349"/>
      <c r="V584" s="385"/>
      <c r="W584" s="385"/>
      <c r="X584" s="386"/>
    </row>
    <row r="585" spans="2:24">
      <c r="B585" s="395"/>
      <c r="C585" s="371"/>
      <c r="D585" s="372" t="str">
        <f>IFERROR(INDEX('[11]Equipment List'!$B$2:$B$2038,MATCH(E585,'[11]Equipment List'!$A$2:$A$2038,0)),"")</f>
        <v/>
      </c>
      <c r="E585" s="388"/>
      <c r="F585" s="374"/>
      <c r="G585" s="375"/>
      <c r="H585" s="397"/>
      <c r="I585" s="377"/>
      <c r="J585" s="378"/>
      <c r="K585" s="379"/>
      <c r="L585" s="387"/>
      <c r="M585" s="380" t="str">
        <f t="array" ref="M585">IF(L585="","",(MAX(IF(AN$15:AN$144=B585,AO$15:AO$144))/60))</f>
        <v/>
      </c>
      <c r="N585" s="387"/>
      <c r="O585" s="387"/>
      <c r="P585" s="381" t="str">
        <f t="shared" si="33"/>
        <v/>
      </c>
      <c r="Q585" s="382" t="str">
        <f t="array" ref="Q585">IFERROR(INDEX($D$13:$D$1000,MATCH(0,COUNTIF($Q$13:Q584,$D$13:$D$1000&amp;"")+IF($D$13:$D$1000="",1,0),0)),"")</f>
        <v/>
      </c>
      <c r="R585" s="356" t="str">
        <f t="shared" si="34"/>
        <v/>
      </c>
      <c r="S585" s="383" t="str">
        <f t="shared" si="36"/>
        <v/>
      </c>
      <c r="T585" s="384" t="str">
        <f t="shared" si="35"/>
        <v/>
      </c>
      <c r="U585" s="349"/>
      <c r="V585" s="385"/>
      <c r="W585" s="385"/>
      <c r="X585" s="386"/>
    </row>
    <row r="586" spans="2:24">
      <c r="B586" s="395"/>
      <c r="C586" s="371"/>
      <c r="D586" s="372" t="str">
        <f>IFERROR(INDEX('[11]Equipment List'!$B$2:$B$2038,MATCH(E586,'[11]Equipment List'!$A$2:$A$2038,0)),"")</f>
        <v/>
      </c>
      <c r="E586" s="388"/>
      <c r="F586" s="374"/>
      <c r="G586" s="375"/>
      <c r="H586" s="397"/>
      <c r="I586" s="377"/>
      <c r="J586" s="378"/>
      <c r="K586" s="379"/>
      <c r="L586" s="387"/>
      <c r="M586" s="380" t="str">
        <f t="array" ref="M586">IF(L586="","",(MAX(IF(AN$15:AN$144=B586,AO$15:AO$144))/60))</f>
        <v/>
      </c>
      <c r="N586" s="387"/>
      <c r="O586" s="387"/>
      <c r="P586" s="381" t="str">
        <f t="shared" si="33"/>
        <v/>
      </c>
      <c r="Q586" s="382" t="str">
        <f t="array" ref="Q586">IFERROR(INDEX($D$13:$D$1000,MATCH(0,COUNTIF($Q$13:Q585,$D$13:$D$1000&amp;"")+IF($D$13:$D$1000="",1,0),0)),"")</f>
        <v/>
      </c>
      <c r="R586" s="356" t="str">
        <f t="shared" si="34"/>
        <v/>
      </c>
      <c r="S586" s="383" t="str">
        <f t="shared" si="36"/>
        <v/>
      </c>
      <c r="T586" s="384" t="str">
        <f t="shared" si="35"/>
        <v/>
      </c>
      <c r="U586" s="349"/>
      <c r="V586" s="385"/>
      <c r="W586" s="385"/>
      <c r="X586" s="386"/>
    </row>
    <row r="587" spans="2:24">
      <c r="B587" s="395"/>
      <c r="C587" s="371"/>
      <c r="D587" s="372" t="str">
        <f>IFERROR(INDEX('[11]Equipment List'!$B$2:$B$2038,MATCH(E587,'[11]Equipment List'!$A$2:$A$2038,0)),"")</f>
        <v/>
      </c>
      <c r="E587" s="388"/>
      <c r="F587" s="374"/>
      <c r="G587" s="375"/>
      <c r="H587" s="397"/>
      <c r="I587" s="377"/>
      <c r="J587" s="378"/>
      <c r="K587" s="379"/>
      <c r="L587" s="387"/>
      <c r="M587" s="380" t="str">
        <f t="array" ref="M587">IF(L587="","",(MAX(IF(AN$15:AN$144=B587,AO$15:AO$144))/60))</f>
        <v/>
      </c>
      <c r="N587" s="387"/>
      <c r="O587" s="387"/>
      <c r="P587" s="381" t="str">
        <f t="shared" si="33"/>
        <v/>
      </c>
      <c r="Q587" s="382" t="str">
        <f t="array" ref="Q587">IFERROR(INDEX($D$13:$D$1000,MATCH(0,COUNTIF($Q$13:Q586,$D$13:$D$1000&amp;"")+IF($D$13:$D$1000="",1,0),0)),"")</f>
        <v/>
      </c>
      <c r="R587" s="356" t="str">
        <f t="shared" si="34"/>
        <v/>
      </c>
      <c r="S587" s="383" t="str">
        <f t="shared" si="36"/>
        <v/>
      </c>
      <c r="T587" s="384" t="str">
        <f t="shared" si="35"/>
        <v/>
      </c>
      <c r="U587" s="349"/>
      <c r="V587" s="385"/>
      <c r="W587" s="385"/>
      <c r="X587" s="386"/>
    </row>
    <row r="588" spans="2:24">
      <c r="B588" s="395"/>
      <c r="C588" s="371"/>
      <c r="D588" s="372" t="str">
        <f>IFERROR(INDEX('[11]Equipment List'!$B$2:$B$2038,MATCH(E588,'[11]Equipment List'!$A$2:$A$2038,0)),"")</f>
        <v/>
      </c>
      <c r="E588" s="388"/>
      <c r="F588" s="374"/>
      <c r="G588" s="375"/>
      <c r="H588" s="397"/>
      <c r="I588" s="377"/>
      <c r="J588" s="378"/>
      <c r="K588" s="379"/>
      <c r="L588" s="387"/>
      <c r="M588" s="380" t="str">
        <f t="array" ref="M588">IF(L588="","",(MAX(IF(AN$15:AN$144=B588,AO$15:AO$144))/60))</f>
        <v/>
      </c>
      <c r="N588" s="387"/>
      <c r="O588" s="387"/>
      <c r="P588" s="381" t="str">
        <f t="shared" ref="P588:P651" si="37">IFERROR((((K588/5/250/$F$8)+(N588*$F$9))/$S$4)*(M588/60),"")</f>
        <v/>
      </c>
      <c r="Q588" s="382" t="str">
        <f t="array" ref="Q588">IFERROR(INDEX($D$13:$D$1000,MATCH(0,COUNTIF($Q$13:Q587,$D$13:$D$1000&amp;"")+IF($D$13:$D$1000="",1,0),0)),"")</f>
        <v/>
      </c>
      <c r="R588" s="356" t="str">
        <f t="shared" si="34"/>
        <v/>
      </c>
      <c r="S588" s="383" t="str">
        <f t="shared" si="36"/>
        <v/>
      </c>
      <c r="T588" s="384" t="str">
        <f t="shared" si="35"/>
        <v/>
      </c>
      <c r="U588" s="349"/>
      <c r="V588" s="385"/>
      <c r="W588" s="385"/>
      <c r="X588" s="386"/>
    </row>
    <row r="589" spans="2:24">
      <c r="B589" s="395"/>
      <c r="C589" s="371"/>
      <c r="D589" s="372" t="str">
        <f>IFERROR(INDEX('[11]Equipment List'!$B$2:$B$2038,MATCH(E589,'[11]Equipment List'!$A$2:$A$2038,0)),"")</f>
        <v/>
      </c>
      <c r="E589" s="388"/>
      <c r="F589" s="374"/>
      <c r="G589" s="375"/>
      <c r="H589" s="397"/>
      <c r="I589" s="377"/>
      <c r="J589" s="378"/>
      <c r="K589" s="379"/>
      <c r="L589" s="387"/>
      <c r="M589" s="380" t="str">
        <f t="array" ref="M589">IF(L589="","",(MAX(IF(AN$15:AN$144=B589,AO$15:AO$144))/60))</f>
        <v/>
      </c>
      <c r="N589" s="387"/>
      <c r="O589" s="387"/>
      <c r="P589" s="381" t="str">
        <f t="shared" si="37"/>
        <v/>
      </c>
      <c r="Q589" s="382" t="str">
        <f t="array" ref="Q589">IFERROR(INDEX($D$13:$D$1000,MATCH(0,COUNTIF($Q$13:Q588,$D$13:$D$1000&amp;"")+IF($D$13:$D$1000="",1,0),0)),"")</f>
        <v/>
      </c>
      <c r="R589" s="356" t="str">
        <f t="shared" ref="R589:R652" si="38">IF(Q589="","",COUNTIF($D$13:$D$1000,$Q589))</f>
        <v/>
      </c>
      <c r="S589" s="383" t="str">
        <f t="shared" si="36"/>
        <v/>
      </c>
      <c r="T589" s="384" t="str">
        <f t="shared" ref="T589:T652" si="39">IF($Q589="","",SUMIF($D$13:$D$1000,$Q589,N$13:N$1000))</f>
        <v/>
      </c>
      <c r="U589" s="349"/>
      <c r="V589" s="385"/>
      <c r="W589" s="385"/>
      <c r="X589" s="386"/>
    </row>
    <row r="590" spans="2:24">
      <c r="B590" s="395"/>
      <c r="C590" s="371"/>
      <c r="D590" s="372" t="str">
        <f>IFERROR(INDEX('[11]Equipment List'!$B$2:$B$2038,MATCH(E590,'[11]Equipment List'!$A$2:$A$2038,0)),"")</f>
        <v/>
      </c>
      <c r="E590" s="388"/>
      <c r="F590" s="374"/>
      <c r="G590" s="375"/>
      <c r="H590" s="397"/>
      <c r="I590" s="377"/>
      <c r="J590" s="378"/>
      <c r="K590" s="379"/>
      <c r="L590" s="387"/>
      <c r="M590" s="380" t="str">
        <f t="array" ref="M590">IF(L590="","",(MAX(IF(AN$15:AN$144=B590,AO$15:AO$144))/60))</f>
        <v/>
      </c>
      <c r="N590" s="387"/>
      <c r="O590" s="387"/>
      <c r="P590" s="381" t="str">
        <f t="shared" si="37"/>
        <v/>
      </c>
      <c r="Q590" s="382" t="str">
        <f t="array" ref="Q590">IFERROR(INDEX($D$13:$D$1000,MATCH(0,COUNTIF($Q$13:Q589,$D$13:$D$1000&amp;"")+IF($D$13:$D$1000="",1,0),0)),"")</f>
        <v/>
      </c>
      <c r="R590" s="356" t="str">
        <f t="shared" si="38"/>
        <v/>
      </c>
      <c r="S590" s="383" t="str">
        <f t="shared" si="36"/>
        <v/>
      </c>
      <c r="T590" s="384" t="str">
        <f t="shared" si="39"/>
        <v/>
      </c>
      <c r="U590" s="349"/>
      <c r="V590" s="385"/>
      <c r="W590" s="385"/>
      <c r="X590" s="386"/>
    </row>
    <row r="591" spans="2:24">
      <c r="B591" s="395"/>
      <c r="C591" s="371"/>
      <c r="D591" s="372" t="str">
        <f>IFERROR(INDEX('[11]Equipment List'!$B$2:$B$2038,MATCH(E591,'[11]Equipment List'!$A$2:$A$2038,0)),"")</f>
        <v/>
      </c>
      <c r="E591" s="388"/>
      <c r="F591" s="374"/>
      <c r="G591" s="375"/>
      <c r="H591" s="397"/>
      <c r="I591" s="377"/>
      <c r="J591" s="378"/>
      <c r="K591" s="379"/>
      <c r="L591" s="387"/>
      <c r="M591" s="380" t="str">
        <f t="array" ref="M591">IF(L591="","",(MAX(IF(AN$15:AN$144=B591,AO$15:AO$144))/60))</f>
        <v/>
      </c>
      <c r="N591" s="387"/>
      <c r="O591" s="387"/>
      <c r="P591" s="381" t="str">
        <f t="shared" si="37"/>
        <v/>
      </c>
      <c r="Q591" s="382" t="str">
        <f t="array" ref="Q591">IFERROR(INDEX($D$13:$D$1000,MATCH(0,COUNTIF($Q$13:Q590,$D$13:$D$1000&amp;"")+IF($D$13:$D$1000="",1,0),0)),"")</f>
        <v/>
      </c>
      <c r="R591" s="356" t="str">
        <f t="shared" si="38"/>
        <v/>
      </c>
      <c r="S591" s="383" t="str">
        <f t="shared" si="36"/>
        <v/>
      </c>
      <c r="T591" s="384" t="str">
        <f t="shared" si="39"/>
        <v/>
      </c>
      <c r="U591" s="349"/>
      <c r="V591" s="385"/>
      <c r="W591" s="385"/>
      <c r="X591" s="386"/>
    </row>
    <row r="592" spans="2:24">
      <c r="B592" s="395"/>
      <c r="C592" s="371"/>
      <c r="D592" s="372" t="str">
        <f>IFERROR(INDEX('[11]Equipment List'!$B$2:$B$2038,MATCH(E592,'[11]Equipment List'!$A$2:$A$2038,0)),"")</f>
        <v/>
      </c>
      <c r="E592" s="388"/>
      <c r="F592" s="374"/>
      <c r="G592" s="375"/>
      <c r="H592" s="397"/>
      <c r="I592" s="377"/>
      <c r="J592" s="378"/>
      <c r="K592" s="379"/>
      <c r="L592" s="387"/>
      <c r="M592" s="380" t="str">
        <f t="array" ref="M592">IF(L592="","",(MAX(IF(AN$15:AN$144=B592,AO$15:AO$144))/60))</f>
        <v/>
      </c>
      <c r="N592" s="387"/>
      <c r="O592" s="387"/>
      <c r="P592" s="381" t="str">
        <f t="shared" si="37"/>
        <v/>
      </c>
      <c r="Q592" s="382" t="str">
        <f t="array" ref="Q592">IFERROR(INDEX($D$13:$D$1000,MATCH(0,COUNTIF($Q$13:Q591,$D$13:$D$1000&amp;"")+IF($D$13:$D$1000="",1,0),0)),"")</f>
        <v/>
      </c>
      <c r="R592" s="356" t="str">
        <f t="shared" si="38"/>
        <v/>
      </c>
      <c r="S592" s="383" t="str">
        <f t="shared" si="36"/>
        <v/>
      </c>
      <c r="T592" s="384" t="str">
        <f t="shared" si="39"/>
        <v/>
      </c>
      <c r="U592" s="349"/>
      <c r="V592" s="385"/>
      <c r="W592" s="385"/>
      <c r="X592" s="386"/>
    </row>
    <row r="593" spans="2:24">
      <c r="B593" s="395"/>
      <c r="C593" s="371"/>
      <c r="D593" s="372" t="str">
        <f>IFERROR(INDEX('[11]Equipment List'!$B$2:$B$2038,MATCH(E593,'[11]Equipment List'!$A$2:$A$2038,0)),"")</f>
        <v/>
      </c>
      <c r="E593" s="388"/>
      <c r="F593" s="374"/>
      <c r="G593" s="375"/>
      <c r="H593" s="397"/>
      <c r="I593" s="377"/>
      <c r="J593" s="378"/>
      <c r="K593" s="379"/>
      <c r="L593" s="387"/>
      <c r="M593" s="380" t="str">
        <f t="array" ref="M593">IF(L593="","",(MAX(IF(AN$15:AN$144=B593,AO$15:AO$144))/60))</f>
        <v/>
      </c>
      <c r="N593" s="387"/>
      <c r="O593" s="387"/>
      <c r="P593" s="381" t="str">
        <f t="shared" si="37"/>
        <v/>
      </c>
      <c r="Q593" s="382" t="str">
        <f t="array" ref="Q593">IFERROR(INDEX($D$13:$D$1000,MATCH(0,COUNTIF($Q$13:Q592,$D$13:$D$1000&amp;"")+IF($D$13:$D$1000="",1,0),0)),"")</f>
        <v/>
      </c>
      <c r="R593" s="356" t="str">
        <f t="shared" si="38"/>
        <v/>
      </c>
      <c r="S593" s="383" t="str">
        <f t="shared" si="36"/>
        <v/>
      </c>
      <c r="T593" s="384" t="str">
        <f t="shared" si="39"/>
        <v/>
      </c>
      <c r="U593" s="349"/>
      <c r="V593" s="385"/>
      <c r="W593" s="385"/>
      <c r="X593" s="386"/>
    </row>
    <row r="594" spans="2:24">
      <c r="B594" s="395"/>
      <c r="C594" s="371"/>
      <c r="D594" s="372" t="str">
        <f>IFERROR(INDEX('[11]Equipment List'!$B$2:$B$2038,MATCH(E594,'[11]Equipment List'!$A$2:$A$2038,0)),"")</f>
        <v/>
      </c>
      <c r="E594" s="388"/>
      <c r="F594" s="374"/>
      <c r="G594" s="375"/>
      <c r="H594" s="397"/>
      <c r="I594" s="377"/>
      <c r="J594" s="378"/>
      <c r="K594" s="379"/>
      <c r="L594" s="387"/>
      <c r="M594" s="380" t="str">
        <f t="array" ref="M594">IF(L594="","",(MAX(IF(AN$15:AN$144=B594,AO$15:AO$144))/60))</f>
        <v/>
      </c>
      <c r="N594" s="387"/>
      <c r="O594" s="387"/>
      <c r="P594" s="381" t="str">
        <f t="shared" si="37"/>
        <v/>
      </c>
      <c r="Q594" s="382" t="str">
        <f t="array" ref="Q594">IFERROR(INDEX($D$13:$D$1000,MATCH(0,COUNTIF($Q$13:Q593,$D$13:$D$1000&amp;"")+IF($D$13:$D$1000="",1,0),0)),"")</f>
        <v/>
      </c>
      <c r="R594" s="356" t="str">
        <f t="shared" si="38"/>
        <v/>
      </c>
      <c r="S594" s="383" t="str">
        <f t="shared" si="36"/>
        <v/>
      </c>
      <c r="T594" s="384" t="str">
        <f t="shared" si="39"/>
        <v/>
      </c>
      <c r="U594" s="349"/>
      <c r="V594" s="385"/>
      <c r="W594" s="385"/>
      <c r="X594" s="386"/>
    </row>
    <row r="595" spans="2:24">
      <c r="B595" s="395"/>
      <c r="C595" s="371"/>
      <c r="D595" s="372" t="str">
        <f>IFERROR(INDEX('[11]Equipment List'!$B$2:$B$2038,MATCH(E595,'[11]Equipment List'!$A$2:$A$2038,0)),"")</f>
        <v/>
      </c>
      <c r="E595" s="388"/>
      <c r="F595" s="374"/>
      <c r="G595" s="375"/>
      <c r="H595" s="397"/>
      <c r="I595" s="377"/>
      <c r="J595" s="378"/>
      <c r="K595" s="379"/>
      <c r="L595" s="387"/>
      <c r="M595" s="380" t="str">
        <f t="array" ref="M595">IF(L595="","",(MAX(IF(AN$15:AN$144=B595,AO$15:AO$144))/60))</f>
        <v/>
      </c>
      <c r="N595" s="387"/>
      <c r="O595" s="387"/>
      <c r="P595" s="381" t="str">
        <f t="shared" si="37"/>
        <v/>
      </c>
      <c r="Q595" s="382" t="str">
        <f t="array" ref="Q595">IFERROR(INDEX($D$13:$D$1000,MATCH(0,COUNTIF($Q$13:Q594,$D$13:$D$1000&amp;"")+IF($D$13:$D$1000="",1,0),0)),"")</f>
        <v/>
      </c>
      <c r="R595" s="356" t="str">
        <f t="shared" si="38"/>
        <v/>
      </c>
      <c r="S595" s="383" t="str">
        <f t="shared" si="36"/>
        <v/>
      </c>
      <c r="T595" s="384" t="str">
        <f t="shared" si="39"/>
        <v/>
      </c>
      <c r="U595" s="349"/>
      <c r="V595" s="385"/>
      <c r="W595" s="385"/>
      <c r="X595" s="386"/>
    </row>
    <row r="596" spans="2:24">
      <c r="B596" s="395"/>
      <c r="C596" s="371"/>
      <c r="D596" s="372" t="str">
        <f>IFERROR(INDEX('[11]Equipment List'!$B$2:$B$2038,MATCH(E596,'[11]Equipment List'!$A$2:$A$2038,0)),"")</f>
        <v/>
      </c>
      <c r="E596" s="388"/>
      <c r="F596" s="374"/>
      <c r="G596" s="375"/>
      <c r="H596" s="397"/>
      <c r="I596" s="377"/>
      <c r="J596" s="378"/>
      <c r="K596" s="379"/>
      <c r="L596" s="387"/>
      <c r="M596" s="380" t="str">
        <f t="array" ref="M596">IF(L596="","",(MAX(IF(AN$15:AN$144=B596,AO$15:AO$144))/60))</f>
        <v/>
      </c>
      <c r="N596" s="387"/>
      <c r="O596" s="387"/>
      <c r="P596" s="381" t="str">
        <f t="shared" si="37"/>
        <v/>
      </c>
      <c r="Q596" s="382" t="str">
        <f t="array" ref="Q596">IFERROR(INDEX($D$13:$D$1000,MATCH(0,COUNTIF($Q$13:Q595,$D$13:$D$1000&amp;"")+IF($D$13:$D$1000="",1,0),0)),"")</f>
        <v/>
      </c>
      <c r="R596" s="356" t="str">
        <f t="shared" si="38"/>
        <v/>
      </c>
      <c r="S596" s="383" t="str">
        <f t="shared" si="36"/>
        <v/>
      </c>
      <c r="T596" s="384" t="str">
        <f t="shared" si="39"/>
        <v/>
      </c>
      <c r="U596" s="349"/>
      <c r="V596" s="385"/>
      <c r="W596" s="385"/>
      <c r="X596" s="386"/>
    </row>
    <row r="597" spans="2:24">
      <c r="B597" s="395"/>
      <c r="C597" s="371"/>
      <c r="D597" s="372" t="str">
        <f>IFERROR(INDEX('[11]Equipment List'!$B$2:$B$2038,MATCH(E597,'[11]Equipment List'!$A$2:$A$2038,0)),"")</f>
        <v/>
      </c>
      <c r="E597" s="388"/>
      <c r="F597" s="374"/>
      <c r="G597" s="375"/>
      <c r="H597" s="397"/>
      <c r="I597" s="377"/>
      <c r="J597" s="378"/>
      <c r="K597" s="379"/>
      <c r="L597" s="387"/>
      <c r="M597" s="380" t="str">
        <f t="array" ref="M597">IF(L597="","",(MAX(IF(AN$15:AN$144=B597,AO$15:AO$144))/60))</f>
        <v/>
      </c>
      <c r="N597" s="387"/>
      <c r="O597" s="387"/>
      <c r="P597" s="381" t="str">
        <f t="shared" si="37"/>
        <v/>
      </c>
      <c r="Q597" s="382" t="str">
        <f t="array" ref="Q597">IFERROR(INDEX($D$13:$D$1000,MATCH(0,COUNTIF($Q$13:Q596,$D$13:$D$1000&amp;"")+IF($D$13:$D$1000="",1,0),0)),"")</f>
        <v/>
      </c>
      <c r="R597" s="356" t="str">
        <f t="shared" si="38"/>
        <v/>
      </c>
      <c r="S597" s="383" t="str">
        <f t="shared" si="36"/>
        <v/>
      </c>
      <c r="T597" s="384" t="str">
        <f t="shared" si="39"/>
        <v/>
      </c>
      <c r="U597" s="349"/>
      <c r="V597" s="385"/>
      <c r="W597" s="385"/>
      <c r="X597" s="386"/>
    </row>
    <row r="598" spans="2:24">
      <c r="B598" s="395"/>
      <c r="C598" s="371"/>
      <c r="D598" s="372" t="str">
        <f>IFERROR(INDEX('[11]Equipment List'!$B$2:$B$2038,MATCH(E598,'[11]Equipment List'!$A$2:$A$2038,0)),"")</f>
        <v/>
      </c>
      <c r="E598" s="388"/>
      <c r="F598" s="374"/>
      <c r="G598" s="375"/>
      <c r="H598" s="397"/>
      <c r="I598" s="377"/>
      <c r="J598" s="378"/>
      <c r="K598" s="379"/>
      <c r="L598" s="387"/>
      <c r="M598" s="380" t="str">
        <f t="array" ref="M598">IF(L598="","",(MAX(IF(AN$15:AN$144=B598,AO$15:AO$144))/60))</f>
        <v/>
      </c>
      <c r="N598" s="387"/>
      <c r="O598" s="387"/>
      <c r="P598" s="381" t="str">
        <f t="shared" si="37"/>
        <v/>
      </c>
      <c r="Q598" s="382" t="str">
        <f t="array" ref="Q598">IFERROR(INDEX($D$13:$D$1000,MATCH(0,COUNTIF($Q$13:Q597,$D$13:$D$1000&amp;"")+IF($D$13:$D$1000="",1,0),0)),"")</f>
        <v/>
      </c>
      <c r="R598" s="356" t="str">
        <f t="shared" si="38"/>
        <v/>
      </c>
      <c r="S598" s="383" t="str">
        <f t="shared" si="36"/>
        <v/>
      </c>
      <c r="T598" s="384" t="str">
        <f t="shared" si="39"/>
        <v/>
      </c>
      <c r="U598" s="349"/>
      <c r="V598" s="385"/>
      <c r="W598" s="385"/>
      <c r="X598" s="386"/>
    </row>
    <row r="599" spans="2:24">
      <c r="B599" s="395"/>
      <c r="C599" s="371"/>
      <c r="D599" s="372" t="str">
        <f>IFERROR(INDEX('[11]Equipment List'!$B$2:$B$2038,MATCH(E599,'[11]Equipment List'!$A$2:$A$2038,0)),"")</f>
        <v/>
      </c>
      <c r="E599" s="388"/>
      <c r="F599" s="374"/>
      <c r="G599" s="375"/>
      <c r="H599" s="397"/>
      <c r="I599" s="377"/>
      <c r="J599" s="378"/>
      <c r="K599" s="379"/>
      <c r="L599" s="387"/>
      <c r="M599" s="380" t="str">
        <f t="array" ref="M599">IF(L599="","",(MAX(IF(AN$15:AN$144=B599,AO$15:AO$144))/60))</f>
        <v/>
      </c>
      <c r="N599" s="387"/>
      <c r="O599" s="387"/>
      <c r="P599" s="381" t="str">
        <f t="shared" si="37"/>
        <v/>
      </c>
      <c r="Q599" s="382" t="str">
        <f t="array" ref="Q599">IFERROR(INDEX($D$13:$D$1000,MATCH(0,COUNTIF($Q$13:Q598,$D$13:$D$1000&amp;"")+IF($D$13:$D$1000="",1,0),0)),"")</f>
        <v/>
      </c>
      <c r="R599" s="356" t="str">
        <f t="shared" si="38"/>
        <v/>
      </c>
      <c r="S599" s="383" t="str">
        <f t="shared" si="36"/>
        <v/>
      </c>
      <c r="T599" s="384" t="str">
        <f t="shared" si="39"/>
        <v/>
      </c>
      <c r="U599" s="349"/>
      <c r="V599" s="385"/>
      <c r="W599" s="385"/>
      <c r="X599" s="386"/>
    </row>
    <row r="600" spans="2:24">
      <c r="B600" s="395"/>
      <c r="C600" s="371"/>
      <c r="D600" s="372" t="str">
        <f>IFERROR(INDEX('[11]Equipment List'!$B$2:$B$2038,MATCH(E600,'[11]Equipment List'!$A$2:$A$2038,0)),"")</f>
        <v/>
      </c>
      <c r="E600" s="388"/>
      <c r="F600" s="374"/>
      <c r="G600" s="375"/>
      <c r="H600" s="397"/>
      <c r="I600" s="377"/>
      <c r="J600" s="378"/>
      <c r="K600" s="379"/>
      <c r="L600" s="387"/>
      <c r="M600" s="380" t="str">
        <f t="array" ref="M600">IF(L600="","",(MAX(IF(AN$15:AN$144=B600,AO$15:AO$144))/60))</f>
        <v/>
      </c>
      <c r="N600" s="387"/>
      <c r="O600" s="387"/>
      <c r="P600" s="381" t="str">
        <f t="shared" si="37"/>
        <v/>
      </c>
      <c r="Q600" s="382" t="str">
        <f t="array" ref="Q600">IFERROR(INDEX($D$13:$D$1000,MATCH(0,COUNTIF($Q$13:Q599,$D$13:$D$1000&amp;"")+IF($D$13:$D$1000="",1,0),0)),"")</f>
        <v/>
      </c>
      <c r="R600" s="356" t="str">
        <f t="shared" si="38"/>
        <v/>
      </c>
      <c r="S600" s="383" t="str">
        <f t="shared" si="36"/>
        <v/>
      </c>
      <c r="T600" s="384" t="str">
        <f t="shared" si="39"/>
        <v/>
      </c>
      <c r="U600" s="349"/>
      <c r="V600" s="385"/>
      <c r="W600" s="385"/>
      <c r="X600" s="386"/>
    </row>
    <row r="601" spans="2:24">
      <c r="B601" s="395"/>
      <c r="C601" s="371"/>
      <c r="D601" s="372" t="str">
        <f>IFERROR(INDEX('[11]Equipment List'!$B$2:$B$2038,MATCH(E601,'[11]Equipment List'!$A$2:$A$2038,0)),"")</f>
        <v/>
      </c>
      <c r="E601" s="388"/>
      <c r="F601" s="374"/>
      <c r="G601" s="375"/>
      <c r="H601" s="397"/>
      <c r="I601" s="377"/>
      <c r="J601" s="378"/>
      <c r="K601" s="379"/>
      <c r="L601" s="387"/>
      <c r="M601" s="380" t="str">
        <f t="array" ref="M601">IF(L601="","",(MAX(IF(AN$15:AN$144=B601,AO$15:AO$144))/60))</f>
        <v/>
      </c>
      <c r="N601" s="387"/>
      <c r="O601" s="387"/>
      <c r="P601" s="381" t="str">
        <f t="shared" si="37"/>
        <v/>
      </c>
      <c r="Q601" s="382" t="str">
        <f t="array" ref="Q601">IFERROR(INDEX($D$13:$D$1000,MATCH(0,COUNTIF($Q$13:Q600,$D$13:$D$1000&amp;"")+IF($D$13:$D$1000="",1,0),0)),"")</f>
        <v/>
      </c>
      <c r="R601" s="356" t="str">
        <f t="shared" si="38"/>
        <v/>
      </c>
      <c r="S601" s="383" t="str">
        <f t="shared" si="36"/>
        <v/>
      </c>
      <c r="T601" s="384" t="str">
        <f t="shared" si="39"/>
        <v/>
      </c>
      <c r="U601" s="349"/>
      <c r="V601" s="385"/>
      <c r="W601" s="385"/>
      <c r="X601" s="386"/>
    </row>
    <row r="602" spans="2:24">
      <c r="B602" s="395"/>
      <c r="C602" s="371"/>
      <c r="D602" s="372" t="str">
        <f>IFERROR(INDEX('[11]Equipment List'!$B$2:$B$2038,MATCH(E602,'[11]Equipment List'!$A$2:$A$2038,0)),"")</f>
        <v/>
      </c>
      <c r="E602" s="388"/>
      <c r="F602" s="374"/>
      <c r="G602" s="375"/>
      <c r="H602" s="397"/>
      <c r="I602" s="377"/>
      <c r="J602" s="378"/>
      <c r="K602" s="379"/>
      <c r="L602" s="387"/>
      <c r="M602" s="380" t="str">
        <f t="array" ref="M602">IF(L602="","",(MAX(IF(AN$15:AN$144=B602,AO$15:AO$144))/60))</f>
        <v/>
      </c>
      <c r="N602" s="387"/>
      <c r="O602" s="387"/>
      <c r="P602" s="381" t="str">
        <f t="shared" si="37"/>
        <v/>
      </c>
      <c r="Q602" s="382" t="str">
        <f t="array" ref="Q602">IFERROR(INDEX($D$13:$D$1000,MATCH(0,COUNTIF($Q$13:Q601,$D$13:$D$1000&amp;"")+IF($D$13:$D$1000="",1,0),0)),"")</f>
        <v/>
      </c>
      <c r="R602" s="356" t="str">
        <f t="shared" si="38"/>
        <v/>
      </c>
      <c r="S602" s="383" t="str">
        <f t="shared" si="36"/>
        <v/>
      </c>
      <c r="T602" s="384" t="str">
        <f t="shared" si="39"/>
        <v/>
      </c>
      <c r="U602" s="349"/>
      <c r="V602" s="385"/>
      <c r="W602" s="385"/>
      <c r="X602" s="386"/>
    </row>
    <row r="603" spans="2:24">
      <c r="B603" s="395"/>
      <c r="C603" s="371"/>
      <c r="D603" s="372" t="str">
        <f>IFERROR(INDEX('[11]Equipment List'!$B$2:$B$2038,MATCH(E603,'[11]Equipment List'!$A$2:$A$2038,0)),"")</f>
        <v/>
      </c>
      <c r="E603" s="388"/>
      <c r="F603" s="374"/>
      <c r="G603" s="375"/>
      <c r="H603" s="397"/>
      <c r="I603" s="377"/>
      <c r="J603" s="378"/>
      <c r="K603" s="379"/>
      <c r="L603" s="387"/>
      <c r="M603" s="380" t="str">
        <f t="array" ref="M603">IF(L603="","",(MAX(IF(AN$15:AN$144=B603,AO$15:AO$144))/60))</f>
        <v/>
      </c>
      <c r="N603" s="387"/>
      <c r="O603" s="387"/>
      <c r="P603" s="381" t="str">
        <f t="shared" si="37"/>
        <v/>
      </c>
      <c r="Q603" s="382" t="str">
        <f t="array" ref="Q603">IFERROR(INDEX($D$13:$D$1000,MATCH(0,COUNTIF($Q$13:Q602,$D$13:$D$1000&amp;"")+IF($D$13:$D$1000="",1,0),0)),"")</f>
        <v/>
      </c>
      <c r="R603" s="356" t="str">
        <f t="shared" si="38"/>
        <v/>
      </c>
      <c r="S603" s="383" t="str">
        <f t="shared" si="36"/>
        <v/>
      </c>
      <c r="T603" s="384" t="str">
        <f t="shared" si="39"/>
        <v/>
      </c>
      <c r="U603" s="349"/>
      <c r="V603" s="385"/>
      <c r="W603" s="385"/>
      <c r="X603" s="386"/>
    </row>
    <row r="604" spans="2:24">
      <c r="B604" s="395"/>
      <c r="C604" s="371"/>
      <c r="D604" s="372" t="str">
        <f>IFERROR(INDEX('[11]Equipment List'!$B$2:$B$2038,MATCH(E604,'[11]Equipment List'!$A$2:$A$2038,0)),"")</f>
        <v/>
      </c>
      <c r="E604" s="388"/>
      <c r="F604" s="374"/>
      <c r="G604" s="375"/>
      <c r="H604" s="397"/>
      <c r="I604" s="377"/>
      <c r="J604" s="378"/>
      <c r="K604" s="379"/>
      <c r="L604" s="387"/>
      <c r="M604" s="380" t="str">
        <f t="array" ref="M604">IF(L604="","",(MAX(IF(AN$15:AN$144=B604,AO$15:AO$144))/60))</f>
        <v/>
      </c>
      <c r="N604" s="387"/>
      <c r="O604" s="387"/>
      <c r="P604" s="381" t="str">
        <f t="shared" si="37"/>
        <v/>
      </c>
      <c r="Q604" s="382" t="str">
        <f t="array" ref="Q604">IFERROR(INDEX($D$13:$D$1000,MATCH(0,COUNTIF($Q$13:Q603,$D$13:$D$1000&amp;"")+IF($D$13:$D$1000="",1,0),0)),"")</f>
        <v/>
      </c>
      <c r="R604" s="356" t="str">
        <f t="shared" si="38"/>
        <v/>
      </c>
      <c r="S604" s="383" t="str">
        <f t="shared" si="36"/>
        <v/>
      </c>
      <c r="T604" s="384" t="str">
        <f t="shared" si="39"/>
        <v/>
      </c>
      <c r="U604" s="349"/>
      <c r="V604" s="385"/>
      <c r="W604" s="385"/>
      <c r="X604" s="386"/>
    </row>
    <row r="605" spans="2:24">
      <c r="B605" s="395"/>
      <c r="C605" s="371"/>
      <c r="D605" s="372" t="str">
        <f>IFERROR(INDEX('[11]Equipment List'!$B$2:$B$2038,MATCH(E605,'[11]Equipment List'!$A$2:$A$2038,0)),"")</f>
        <v/>
      </c>
      <c r="E605" s="388"/>
      <c r="F605" s="374"/>
      <c r="G605" s="375"/>
      <c r="H605" s="397"/>
      <c r="I605" s="377"/>
      <c r="J605" s="378"/>
      <c r="K605" s="379"/>
      <c r="L605" s="387"/>
      <c r="M605" s="380" t="str">
        <f t="array" ref="M605">IF(L605="","",(MAX(IF(AN$15:AN$144=B605,AO$15:AO$144))/60))</f>
        <v/>
      </c>
      <c r="N605" s="387"/>
      <c r="O605" s="387"/>
      <c r="P605" s="381" t="str">
        <f t="shared" si="37"/>
        <v/>
      </c>
      <c r="Q605" s="382" t="str">
        <f t="array" ref="Q605">IFERROR(INDEX($D$13:$D$1000,MATCH(0,COUNTIF($Q$13:Q604,$D$13:$D$1000&amp;"")+IF($D$13:$D$1000="",1,0),0)),"")</f>
        <v/>
      </c>
      <c r="R605" s="356" t="str">
        <f t="shared" si="38"/>
        <v/>
      </c>
      <c r="S605" s="383" t="str">
        <f t="shared" si="36"/>
        <v/>
      </c>
      <c r="T605" s="384" t="str">
        <f t="shared" si="39"/>
        <v/>
      </c>
      <c r="U605" s="349"/>
      <c r="V605" s="385"/>
      <c r="W605" s="385"/>
      <c r="X605" s="386"/>
    </row>
    <row r="606" spans="2:24">
      <c r="B606" s="395"/>
      <c r="C606" s="371"/>
      <c r="D606" s="372" t="str">
        <f>IFERROR(INDEX('[11]Equipment List'!$B$2:$B$2038,MATCH(E606,'[11]Equipment List'!$A$2:$A$2038,0)),"")</f>
        <v/>
      </c>
      <c r="E606" s="388"/>
      <c r="F606" s="374"/>
      <c r="G606" s="375"/>
      <c r="H606" s="397"/>
      <c r="I606" s="377"/>
      <c r="J606" s="378"/>
      <c r="K606" s="379"/>
      <c r="L606" s="387"/>
      <c r="M606" s="380" t="str">
        <f t="array" ref="M606">IF(L606="","",(MAX(IF(AN$15:AN$144=B606,AO$15:AO$144))/60))</f>
        <v/>
      </c>
      <c r="N606" s="387"/>
      <c r="O606" s="387"/>
      <c r="P606" s="381" t="str">
        <f t="shared" si="37"/>
        <v/>
      </c>
      <c r="Q606" s="382" t="str">
        <f t="array" ref="Q606">IFERROR(INDEX($D$13:$D$1000,MATCH(0,COUNTIF($Q$13:Q605,$D$13:$D$1000&amp;"")+IF($D$13:$D$1000="",1,0),0)),"")</f>
        <v/>
      </c>
      <c r="R606" s="356" t="str">
        <f t="shared" si="38"/>
        <v/>
      </c>
      <c r="S606" s="383" t="str">
        <f t="shared" si="36"/>
        <v/>
      </c>
      <c r="T606" s="384" t="str">
        <f t="shared" si="39"/>
        <v/>
      </c>
      <c r="U606" s="349"/>
      <c r="V606" s="385"/>
      <c r="W606" s="385"/>
      <c r="X606" s="386"/>
    </row>
    <row r="607" spans="2:24">
      <c r="B607" s="395"/>
      <c r="C607" s="371"/>
      <c r="D607" s="372" t="str">
        <f>IFERROR(INDEX('[11]Equipment List'!$B$2:$B$2038,MATCH(E607,'[11]Equipment List'!$A$2:$A$2038,0)),"")</f>
        <v/>
      </c>
      <c r="E607" s="388"/>
      <c r="F607" s="374"/>
      <c r="G607" s="375"/>
      <c r="H607" s="397"/>
      <c r="I607" s="377"/>
      <c r="J607" s="378"/>
      <c r="K607" s="379"/>
      <c r="L607" s="387"/>
      <c r="M607" s="380" t="str">
        <f t="array" ref="M607">IF(L607="","",(MAX(IF(AN$15:AN$144=B607,AO$15:AO$144))/60))</f>
        <v/>
      </c>
      <c r="N607" s="387"/>
      <c r="O607" s="387"/>
      <c r="P607" s="381" t="str">
        <f t="shared" si="37"/>
        <v/>
      </c>
      <c r="Q607" s="382" t="str">
        <f t="array" ref="Q607">IFERROR(INDEX($D$13:$D$1000,MATCH(0,COUNTIF($Q$13:Q606,$D$13:$D$1000&amp;"")+IF($D$13:$D$1000="",1,0),0)),"")</f>
        <v/>
      </c>
      <c r="R607" s="356" t="str">
        <f t="shared" si="38"/>
        <v/>
      </c>
      <c r="S607" s="383" t="str">
        <f t="shared" si="36"/>
        <v/>
      </c>
      <c r="T607" s="384" t="str">
        <f t="shared" si="39"/>
        <v/>
      </c>
      <c r="U607" s="349"/>
      <c r="V607" s="385"/>
      <c r="W607" s="385"/>
      <c r="X607" s="386"/>
    </row>
    <row r="608" spans="2:24">
      <c r="B608" s="395"/>
      <c r="C608" s="371"/>
      <c r="D608" s="372" t="str">
        <f>IFERROR(INDEX('[11]Equipment List'!$B$2:$B$2038,MATCH(E608,'[11]Equipment List'!$A$2:$A$2038,0)),"")</f>
        <v/>
      </c>
      <c r="E608" s="388"/>
      <c r="F608" s="374"/>
      <c r="G608" s="375"/>
      <c r="H608" s="397"/>
      <c r="I608" s="377"/>
      <c r="J608" s="378"/>
      <c r="K608" s="379"/>
      <c r="L608" s="387"/>
      <c r="M608" s="380" t="str">
        <f t="array" ref="M608">IF(L608="","",(MAX(IF(AN$15:AN$144=B608,AO$15:AO$144))/60))</f>
        <v/>
      </c>
      <c r="N608" s="387"/>
      <c r="O608" s="387"/>
      <c r="P608" s="381" t="str">
        <f t="shared" si="37"/>
        <v/>
      </c>
      <c r="Q608" s="382" t="str">
        <f t="array" ref="Q608">IFERROR(INDEX($D$13:$D$1000,MATCH(0,COUNTIF($Q$13:Q607,$D$13:$D$1000&amp;"")+IF($D$13:$D$1000="",1,0),0)),"")</f>
        <v/>
      </c>
      <c r="R608" s="356" t="str">
        <f t="shared" si="38"/>
        <v/>
      </c>
      <c r="S608" s="383" t="str">
        <f t="shared" si="36"/>
        <v/>
      </c>
      <c r="T608" s="384" t="str">
        <f t="shared" si="39"/>
        <v/>
      </c>
      <c r="U608" s="349"/>
      <c r="V608" s="385"/>
      <c r="W608" s="385"/>
      <c r="X608" s="386"/>
    </row>
    <row r="609" spans="2:24">
      <c r="B609" s="395"/>
      <c r="C609" s="371"/>
      <c r="D609" s="372" t="str">
        <f>IFERROR(INDEX('[11]Equipment List'!$B$2:$B$2038,MATCH(E609,'[11]Equipment List'!$A$2:$A$2038,0)),"")</f>
        <v/>
      </c>
      <c r="E609" s="388"/>
      <c r="F609" s="374"/>
      <c r="G609" s="375"/>
      <c r="H609" s="397"/>
      <c r="I609" s="377"/>
      <c r="J609" s="378"/>
      <c r="K609" s="379"/>
      <c r="L609" s="387"/>
      <c r="M609" s="380" t="str">
        <f t="array" ref="M609">IF(L609="","",(MAX(IF(AN$15:AN$144=B609,AO$15:AO$144))/60))</f>
        <v/>
      </c>
      <c r="N609" s="387"/>
      <c r="O609" s="387"/>
      <c r="P609" s="381" t="str">
        <f t="shared" si="37"/>
        <v/>
      </c>
      <c r="Q609" s="382" t="str">
        <f t="array" ref="Q609">IFERROR(INDEX($D$13:$D$1000,MATCH(0,COUNTIF($Q$13:Q608,$D$13:$D$1000&amp;"")+IF($D$13:$D$1000="",1,0),0)),"")</f>
        <v/>
      </c>
      <c r="R609" s="356" t="str">
        <f t="shared" si="38"/>
        <v/>
      </c>
      <c r="S609" s="383" t="str">
        <f t="shared" si="36"/>
        <v/>
      </c>
      <c r="T609" s="384" t="str">
        <f t="shared" si="39"/>
        <v/>
      </c>
      <c r="U609" s="349"/>
      <c r="V609" s="385"/>
      <c r="W609" s="385"/>
      <c r="X609" s="386"/>
    </row>
    <row r="610" spans="2:24">
      <c r="B610" s="395"/>
      <c r="C610" s="371"/>
      <c r="D610" s="372" t="str">
        <f>IFERROR(INDEX('[11]Equipment List'!$B$2:$B$2038,MATCH(E610,'[11]Equipment List'!$A$2:$A$2038,0)),"")</f>
        <v/>
      </c>
      <c r="E610" s="388"/>
      <c r="F610" s="374"/>
      <c r="G610" s="375"/>
      <c r="H610" s="397"/>
      <c r="I610" s="377"/>
      <c r="J610" s="378"/>
      <c r="K610" s="379"/>
      <c r="L610" s="387"/>
      <c r="M610" s="380" t="str">
        <f t="array" ref="M610">IF(L610="","",(MAX(IF(AN$15:AN$144=B610,AO$15:AO$144))/60))</f>
        <v/>
      </c>
      <c r="N610" s="387"/>
      <c r="O610" s="387"/>
      <c r="P610" s="381" t="str">
        <f t="shared" si="37"/>
        <v/>
      </c>
      <c r="Q610" s="382" t="str">
        <f t="array" ref="Q610">IFERROR(INDEX($D$13:$D$1000,MATCH(0,COUNTIF($Q$13:Q609,$D$13:$D$1000&amp;"")+IF($D$13:$D$1000="",1,0),0)),"")</f>
        <v/>
      </c>
      <c r="R610" s="356" t="str">
        <f t="shared" si="38"/>
        <v/>
      </c>
      <c r="S610" s="383" t="str">
        <f t="shared" si="36"/>
        <v/>
      </c>
      <c r="T610" s="384" t="str">
        <f t="shared" si="39"/>
        <v/>
      </c>
      <c r="U610" s="349"/>
      <c r="V610" s="385"/>
      <c r="W610" s="385"/>
      <c r="X610" s="386"/>
    </row>
    <row r="611" spans="2:24">
      <c r="B611" s="395"/>
      <c r="C611" s="371"/>
      <c r="D611" s="372" t="str">
        <f>IFERROR(INDEX('[11]Equipment List'!$B$2:$B$2038,MATCH(E611,'[11]Equipment List'!$A$2:$A$2038,0)),"")</f>
        <v/>
      </c>
      <c r="E611" s="388"/>
      <c r="F611" s="374"/>
      <c r="G611" s="375"/>
      <c r="H611" s="397"/>
      <c r="I611" s="377"/>
      <c r="J611" s="378"/>
      <c r="K611" s="379"/>
      <c r="L611" s="387"/>
      <c r="M611" s="380" t="str">
        <f t="array" ref="M611">IF(L611="","",(MAX(IF(AN$15:AN$144=B611,AO$15:AO$144))/60))</f>
        <v/>
      </c>
      <c r="N611" s="387"/>
      <c r="O611" s="387"/>
      <c r="P611" s="381" t="str">
        <f t="shared" si="37"/>
        <v/>
      </c>
      <c r="Q611" s="382" t="str">
        <f t="array" ref="Q611">IFERROR(INDEX($D$13:$D$1000,MATCH(0,COUNTIF($Q$13:Q610,$D$13:$D$1000&amp;"")+IF($D$13:$D$1000="",1,0),0)),"")</f>
        <v/>
      </c>
      <c r="R611" s="356" t="str">
        <f t="shared" si="38"/>
        <v/>
      </c>
      <c r="S611" s="383" t="str">
        <f t="shared" si="36"/>
        <v/>
      </c>
      <c r="T611" s="384" t="str">
        <f t="shared" si="39"/>
        <v/>
      </c>
      <c r="U611" s="349"/>
      <c r="V611" s="385"/>
      <c r="W611" s="385"/>
      <c r="X611" s="386"/>
    </row>
    <row r="612" spans="2:24">
      <c r="B612" s="395"/>
      <c r="C612" s="371"/>
      <c r="D612" s="372" t="str">
        <f>IFERROR(INDEX('[11]Equipment List'!$B$2:$B$2038,MATCH(E612,'[11]Equipment List'!$A$2:$A$2038,0)),"")</f>
        <v/>
      </c>
      <c r="E612" s="388"/>
      <c r="F612" s="374"/>
      <c r="G612" s="375"/>
      <c r="H612" s="397"/>
      <c r="I612" s="377"/>
      <c r="J612" s="378"/>
      <c r="K612" s="379"/>
      <c r="L612" s="387"/>
      <c r="M612" s="380" t="str">
        <f t="array" ref="M612">IF(L612="","",(MAX(IF(AN$15:AN$144=B612,AO$15:AO$144))/60))</f>
        <v/>
      </c>
      <c r="N612" s="387"/>
      <c r="O612" s="387"/>
      <c r="P612" s="381" t="str">
        <f t="shared" si="37"/>
        <v/>
      </c>
      <c r="Q612" s="382" t="str">
        <f t="array" ref="Q612">IFERROR(INDEX($D$13:$D$1000,MATCH(0,COUNTIF($Q$13:Q611,$D$13:$D$1000&amp;"")+IF($D$13:$D$1000="",1,0),0)),"")</f>
        <v/>
      </c>
      <c r="R612" s="356" t="str">
        <f t="shared" si="38"/>
        <v/>
      </c>
      <c r="S612" s="383" t="str">
        <f t="shared" si="36"/>
        <v/>
      </c>
      <c r="T612" s="384" t="str">
        <f t="shared" si="39"/>
        <v/>
      </c>
      <c r="U612" s="349"/>
      <c r="V612" s="385"/>
      <c r="W612" s="385"/>
      <c r="X612" s="386"/>
    </row>
    <row r="613" spans="2:24">
      <c r="B613" s="395"/>
      <c r="C613" s="371"/>
      <c r="D613" s="372" t="str">
        <f>IFERROR(INDEX('[11]Equipment List'!$B$2:$B$2038,MATCH(E613,'[11]Equipment List'!$A$2:$A$2038,0)),"")</f>
        <v/>
      </c>
      <c r="E613" s="388"/>
      <c r="F613" s="374"/>
      <c r="G613" s="375"/>
      <c r="H613" s="397"/>
      <c r="I613" s="377"/>
      <c r="J613" s="378"/>
      <c r="K613" s="379"/>
      <c r="L613" s="387"/>
      <c r="M613" s="380" t="str">
        <f t="array" ref="M613">IF(L613="","",(MAX(IF(AN$15:AN$144=B613,AO$15:AO$144))/60))</f>
        <v/>
      </c>
      <c r="N613" s="387"/>
      <c r="O613" s="387"/>
      <c r="P613" s="381" t="str">
        <f t="shared" si="37"/>
        <v/>
      </c>
      <c r="Q613" s="382" t="str">
        <f t="array" ref="Q613">IFERROR(INDEX($D$13:$D$1000,MATCH(0,COUNTIF($Q$13:Q612,$D$13:$D$1000&amp;"")+IF($D$13:$D$1000="",1,0),0)),"")</f>
        <v/>
      </c>
      <c r="R613" s="356" t="str">
        <f t="shared" si="38"/>
        <v/>
      </c>
      <c r="S613" s="383" t="str">
        <f t="shared" si="36"/>
        <v/>
      </c>
      <c r="T613" s="384" t="str">
        <f t="shared" si="39"/>
        <v/>
      </c>
      <c r="U613" s="349"/>
      <c r="V613" s="385"/>
      <c r="W613" s="385"/>
      <c r="X613" s="386"/>
    </row>
    <row r="614" spans="2:24">
      <c r="B614" s="395"/>
      <c r="C614" s="371"/>
      <c r="D614" s="372" t="str">
        <f>IFERROR(INDEX('[11]Equipment List'!$B$2:$B$2038,MATCH(E614,'[11]Equipment List'!$A$2:$A$2038,0)),"")</f>
        <v/>
      </c>
      <c r="E614" s="388"/>
      <c r="F614" s="374"/>
      <c r="G614" s="375"/>
      <c r="H614" s="397"/>
      <c r="I614" s="377"/>
      <c r="J614" s="378"/>
      <c r="K614" s="379"/>
      <c r="L614" s="387"/>
      <c r="M614" s="380" t="str">
        <f t="array" ref="M614">IF(L614="","",(MAX(IF(AN$15:AN$144=B614,AO$15:AO$144))/60))</f>
        <v/>
      </c>
      <c r="N614" s="387"/>
      <c r="O614" s="387"/>
      <c r="P614" s="381" t="str">
        <f t="shared" si="37"/>
        <v/>
      </c>
      <c r="Q614" s="382" t="str">
        <f t="array" ref="Q614">IFERROR(INDEX($D$13:$D$1000,MATCH(0,COUNTIF($Q$13:Q613,$D$13:$D$1000&amp;"")+IF($D$13:$D$1000="",1,0),0)),"")</f>
        <v/>
      </c>
      <c r="R614" s="356" t="str">
        <f t="shared" si="38"/>
        <v/>
      </c>
      <c r="S614" s="383" t="str">
        <f t="shared" si="36"/>
        <v/>
      </c>
      <c r="T614" s="384" t="str">
        <f t="shared" si="39"/>
        <v/>
      </c>
      <c r="U614" s="349"/>
      <c r="V614" s="385"/>
      <c r="W614" s="385"/>
      <c r="X614" s="386"/>
    </row>
    <row r="615" spans="2:24">
      <c r="B615" s="395"/>
      <c r="C615" s="371"/>
      <c r="D615" s="372" t="str">
        <f>IFERROR(INDEX('[11]Equipment List'!$B$2:$B$2038,MATCH(E615,'[11]Equipment List'!$A$2:$A$2038,0)),"")</f>
        <v/>
      </c>
      <c r="E615" s="388"/>
      <c r="F615" s="374"/>
      <c r="G615" s="375"/>
      <c r="H615" s="397"/>
      <c r="I615" s="377"/>
      <c r="J615" s="378"/>
      <c r="K615" s="379"/>
      <c r="L615" s="387"/>
      <c r="M615" s="380" t="str">
        <f t="array" ref="M615">IF(L615="","",(MAX(IF(AN$15:AN$144=B615,AO$15:AO$144))/60))</f>
        <v/>
      </c>
      <c r="N615" s="387"/>
      <c r="O615" s="387"/>
      <c r="P615" s="381" t="str">
        <f t="shared" si="37"/>
        <v/>
      </c>
      <c r="Q615" s="382" t="str">
        <f t="array" ref="Q615">IFERROR(INDEX($D$13:$D$1000,MATCH(0,COUNTIF($Q$13:Q614,$D$13:$D$1000&amp;"")+IF($D$13:$D$1000="",1,0),0)),"")</f>
        <v/>
      </c>
      <c r="R615" s="356" t="str">
        <f t="shared" si="38"/>
        <v/>
      </c>
      <c r="S615" s="383" t="str">
        <f t="shared" si="36"/>
        <v/>
      </c>
      <c r="T615" s="384" t="str">
        <f t="shared" si="39"/>
        <v/>
      </c>
      <c r="U615" s="349"/>
      <c r="V615" s="385"/>
      <c r="W615" s="385"/>
      <c r="X615" s="386"/>
    </row>
    <row r="616" spans="2:24">
      <c r="B616" s="395"/>
      <c r="C616" s="371"/>
      <c r="D616" s="372" t="str">
        <f>IFERROR(INDEX('[11]Equipment List'!$B$2:$B$2038,MATCH(E616,'[11]Equipment List'!$A$2:$A$2038,0)),"")</f>
        <v/>
      </c>
      <c r="E616" s="388"/>
      <c r="F616" s="374"/>
      <c r="G616" s="375"/>
      <c r="H616" s="397"/>
      <c r="I616" s="377"/>
      <c r="J616" s="378"/>
      <c r="K616" s="379"/>
      <c r="L616" s="387"/>
      <c r="M616" s="380" t="str">
        <f t="array" ref="M616">IF(L616="","",(MAX(IF(AN$15:AN$144=B616,AO$15:AO$144))/60))</f>
        <v/>
      </c>
      <c r="N616" s="387"/>
      <c r="O616" s="387"/>
      <c r="P616" s="381" t="str">
        <f t="shared" si="37"/>
        <v/>
      </c>
      <c r="Q616" s="382" t="str">
        <f t="array" ref="Q616">IFERROR(INDEX($D$13:$D$1000,MATCH(0,COUNTIF($Q$13:Q615,$D$13:$D$1000&amp;"")+IF($D$13:$D$1000="",1,0),0)),"")</f>
        <v/>
      </c>
      <c r="R616" s="356" t="str">
        <f t="shared" si="38"/>
        <v/>
      </c>
      <c r="S616" s="383" t="str">
        <f t="shared" si="36"/>
        <v/>
      </c>
      <c r="T616" s="384" t="str">
        <f t="shared" si="39"/>
        <v/>
      </c>
      <c r="U616" s="349"/>
      <c r="V616" s="385"/>
      <c r="W616" s="385"/>
      <c r="X616" s="386"/>
    </row>
    <row r="617" spans="2:24">
      <c r="B617" s="395"/>
      <c r="C617" s="371"/>
      <c r="D617" s="372" t="str">
        <f>IFERROR(INDEX('[11]Equipment List'!$B$2:$B$2038,MATCH(E617,'[11]Equipment List'!$A$2:$A$2038,0)),"")</f>
        <v/>
      </c>
      <c r="E617" s="388"/>
      <c r="F617" s="374"/>
      <c r="G617" s="375"/>
      <c r="H617" s="397"/>
      <c r="I617" s="377"/>
      <c r="J617" s="378"/>
      <c r="K617" s="379"/>
      <c r="L617" s="387"/>
      <c r="M617" s="380" t="str">
        <f t="array" ref="M617">IF(L617="","",(MAX(IF(AN$15:AN$144=B617,AO$15:AO$144))/60))</f>
        <v/>
      </c>
      <c r="N617" s="387"/>
      <c r="O617" s="387"/>
      <c r="P617" s="381" t="str">
        <f t="shared" si="37"/>
        <v/>
      </c>
      <c r="Q617" s="382" t="str">
        <f t="array" ref="Q617">IFERROR(INDEX($D$13:$D$1000,MATCH(0,COUNTIF($Q$13:Q616,$D$13:$D$1000&amp;"")+IF($D$13:$D$1000="",1,0),0)),"")</f>
        <v/>
      </c>
      <c r="R617" s="356" t="str">
        <f t="shared" si="38"/>
        <v/>
      </c>
      <c r="S617" s="383" t="str">
        <f t="shared" si="36"/>
        <v/>
      </c>
      <c r="T617" s="384" t="str">
        <f t="shared" si="39"/>
        <v/>
      </c>
      <c r="U617" s="349"/>
      <c r="V617" s="385"/>
      <c r="W617" s="385"/>
      <c r="X617" s="386"/>
    </row>
    <row r="618" spans="2:24">
      <c r="B618" s="395"/>
      <c r="C618" s="371"/>
      <c r="D618" s="372" t="str">
        <f>IFERROR(INDEX('[11]Equipment List'!$B$2:$B$2038,MATCH(E618,'[11]Equipment List'!$A$2:$A$2038,0)),"")</f>
        <v/>
      </c>
      <c r="E618" s="388"/>
      <c r="F618" s="374"/>
      <c r="G618" s="375"/>
      <c r="H618" s="397"/>
      <c r="I618" s="377"/>
      <c r="J618" s="378"/>
      <c r="K618" s="379"/>
      <c r="L618" s="387"/>
      <c r="M618" s="380" t="str">
        <f t="array" ref="M618">IF(L618="","",(MAX(IF(AN$15:AN$144=B618,AO$15:AO$144))/60))</f>
        <v/>
      </c>
      <c r="N618" s="387"/>
      <c r="O618" s="387"/>
      <c r="P618" s="381" t="str">
        <f t="shared" si="37"/>
        <v/>
      </c>
      <c r="Q618" s="382" t="str">
        <f t="array" ref="Q618">IFERROR(INDEX($D$13:$D$1000,MATCH(0,COUNTIF($Q$13:Q617,$D$13:$D$1000&amp;"")+IF($D$13:$D$1000="",1,0),0)),"")</f>
        <v/>
      </c>
      <c r="R618" s="356" t="str">
        <f t="shared" si="38"/>
        <v/>
      </c>
      <c r="S618" s="383" t="str">
        <f t="shared" si="36"/>
        <v/>
      </c>
      <c r="T618" s="384" t="str">
        <f t="shared" si="39"/>
        <v/>
      </c>
      <c r="U618" s="349"/>
      <c r="V618" s="385"/>
      <c r="W618" s="385"/>
      <c r="X618" s="386"/>
    </row>
    <row r="619" spans="2:24">
      <c r="B619" s="395"/>
      <c r="C619" s="371"/>
      <c r="D619" s="372" t="str">
        <f>IFERROR(INDEX('[11]Equipment List'!$B$2:$B$2038,MATCH(E619,'[11]Equipment List'!$A$2:$A$2038,0)),"")</f>
        <v/>
      </c>
      <c r="E619" s="388"/>
      <c r="F619" s="374"/>
      <c r="G619" s="375"/>
      <c r="H619" s="397"/>
      <c r="I619" s="377"/>
      <c r="J619" s="378"/>
      <c r="K619" s="379"/>
      <c r="L619" s="387"/>
      <c r="M619" s="380" t="str">
        <f t="array" ref="M619">IF(L619="","",(MAX(IF(AN$15:AN$144=B619,AO$15:AO$144))/60))</f>
        <v/>
      </c>
      <c r="N619" s="387"/>
      <c r="O619" s="387"/>
      <c r="P619" s="381" t="str">
        <f t="shared" si="37"/>
        <v/>
      </c>
      <c r="Q619" s="382" t="str">
        <f t="array" ref="Q619">IFERROR(INDEX($D$13:$D$1000,MATCH(0,COUNTIF($Q$13:Q618,$D$13:$D$1000&amp;"")+IF($D$13:$D$1000="",1,0),0)),"")</f>
        <v/>
      </c>
      <c r="R619" s="356" t="str">
        <f t="shared" si="38"/>
        <v/>
      </c>
      <c r="S619" s="383" t="str">
        <f t="shared" ref="S619:S682" si="40">IF($Q619="","",SUMIF($D$13:$D$1000,$Q619,I$13:I$1000))</f>
        <v/>
      </c>
      <c r="T619" s="384" t="str">
        <f t="shared" si="39"/>
        <v/>
      </c>
      <c r="U619" s="349"/>
      <c r="V619" s="385"/>
      <c r="W619" s="385"/>
      <c r="X619" s="386"/>
    </row>
    <row r="620" spans="2:24">
      <c r="B620" s="395"/>
      <c r="C620" s="371"/>
      <c r="D620" s="372" t="str">
        <f>IFERROR(INDEX('[11]Equipment List'!$B$2:$B$2038,MATCH(E620,'[11]Equipment List'!$A$2:$A$2038,0)),"")</f>
        <v/>
      </c>
      <c r="E620" s="388"/>
      <c r="F620" s="374"/>
      <c r="G620" s="375"/>
      <c r="H620" s="397"/>
      <c r="I620" s="377"/>
      <c r="J620" s="378"/>
      <c r="K620" s="379"/>
      <c r="L620" s="387"/>
      <c r="M620" s="380" t="str">
        <f t="array" ref="M620">IF(L620="","",(MAX(IF(AN$15:AN$144=B620,AO$15:AO$144))/60))</f>
        <v/>
      </c>
      <c r="N620" s="387"/>
      <c r="O620" s="387"/>
      <c r="P620" s="381" t="str">
        <f t="shared" si="37"/>
        <v/>
      </c>
      <c r="Q620" s="382" t="str">
        <f t="array" ref="Q620">IFERROR(INDEX($D$13:$D$1000,MATCH(0,COUNTIF($Q$13:Q619,$D$13:$D$1000&amp;"")+IF($D$13:$D$1000="",1,0),0)),"")</f>
        <v/>
      </c>
      <c r="R620" s="356" t="str">
        <f t="shared" si="38"/>
        <v/>
      </c>
      <c r="S620" s="383" t="str">
        <f t="shared" si="40"/>
        <v/>
      </c>
      <c r="T620" s="384" t="str">
        <f t="shared" si="39"/>
        <v/>
      </c>
      <c r="U620" s="349"/>
      <c r="V620" s="385"/>
      <c r="W620" s="385"/>
      <c r="X620" s="386"/>
    </row>
    <row r="621" spans="2:24">
      <c r="B621" s="395"/>
      <c r="C621" s="371"/>
      <c r="D621" s="372" t="str">
        <f>IFERROR(INDEX('[11]Equipment List'!$B$2:$B$2038,MATCH(E621,'[11]Equipment List'!$A$2:$A$2038,0)),"")</f>
        <v/>
      </c>
      <c r="E621" s="388"/>
      <c r="F621" s="374"/>
      <c r="G621" s="375"/>
      <c r="H621" s="397"/>
      <c r="I621" s="377"/>
      <c r="J621" s="378"/>
      <c r="K621" s="379"/>
      <c r="L621" s="387"/>
      <c r="M621" s="380" t="str">
        <f t="array" ref="M621">IF(L621="","",(MAX(IF(AN$15:AN$144=B621,AO$15:AO$144))/60))</f>
        <v/>
      </c>
      <c r="N621" s="387"/>
      <c r="O621" s="387"/>
      <c r="P621" s="381" t="str">
        <f t="shared" si="37"/>
        <v/>
      </c>
      <c r="Q621" s="382" t="str">
        <f t="array" ref="Q621">IFERROR(INDEX($D$13:$D$1000,MATCH(0,COUNTIF($Q$13:Q620,$D$13:$D$1000&amp;"")+IF($D$13:$D$1000="",1,0),0)),"")</f>
        <v/>
      </c>
      <c r="R621" s="356" t="str">
        <f t="shared" si="38"/>
        <v/>
      </c>
      <c r="S621" s="383" t="str">
        <f t="shared" si="40"/>
        <v/>
      </c>
      <c r="T621" s="384" t="str">
        <f t="shared" si="39"/>
        <v/>
      </c>
      <c r="U621" s="349"/>
      <c r="V621" s="385"/>
      <c r="W621" s="385"/>
      <c r="X621" s="386"/>
    </row>
    <row r="622" spans="2:24">
      <c r="B622" s="395"/>
      <c r="C622" s="371"/>
      <c r="D622" s="372" t="str">
        <f>IFERROR(INDEX('[11]Equipment List'!$B$2:$B$2038,MATCH(E622,'[11]Equipment List'!$A$2:$A$2038,0)),"")</f>
        <v/>
      </c>
      <c r="E622" s="388"/>
      <c r="F622" s="374"/>
      <c r="G622" s="375"/>
      <c r="H622" s="397"/>
      <c r="I622" s="377"/>
      <c r="J622" s="378"/>
      <c r="K622" s="379"/>
      <c r="L622" s="387"/>
      <c r="M622" s="380" t="str">
        <f t="array" ref="M622">IF(L622="","",(MAX(IF(AN$15:AN$144=B622,AO$15:AO$144))/60))</f>
        <v/>
      </c>
      <c r="N622" s="387"/>
      <c r="O622" s="387"/>
      <c r="P622" s="381" t="str">
        <f t="shared" si="37"/>
        <v/>
      </c>
      <c r="Q622" s="382" t="str">
        <f t="array" ref="Q622">IFERROR(INDEX($D$13:$D$1000,MATCH(0,COUNTIF($Q$13:Q621,$D$13:$D$1000&amp;"")+IF($D$13:$D$1000="",1,0),0)),"")</f>
        <v/>
      </c>
      <c r="R622" s="356" t="str">
        <f t="shared" si="38"/>
        <v/>
      </c>
      <c r="S622" s="383" t="str">
        <f t="shared" si="40"/>
        <v/>
      </c>
      <c r="T622" s="384" t="str">
        <f t="shared" si="39"/>
        <v/>
      </c>
      <c r="U622" s="349"/>
      <c r="V622" s="385"/>
      <c r="W622" s="385"/>
      <c r="X622" s="386"/>
    </row>
    <row r="623" spans="2:24">
      <c r="B623" s="395"/>
      <c r="C623" s="371"/>
      <c r="D623" s="372" t="str">
        <f>IFERROR(INDEX('[11]Equipment List'!$B$2:$B$2038,MATCH(E623,'[11]Equipment List'!$A$2:$A$2038,0)),"")</f>
        <v/>
      </c>
      <c r="E623" s="388"/>
      <c r="F623" s="374"/>
      <c r="G623" s="375"/>
      <c r="H623" s="397"/>
      <c r="I623" s="377"/>
      <c r="J623" s="378"/>
      <c r="K623" s="379"/>
      <c r="L623" s="387"/>
      <c r="M623" s="380" t="str">
        <f t="array" ref="M623">IF(L623="","",(MAX(IF(AN$15:AN$144=B623,AO$15:AO$144))/60))</f>
        <v/>
      </c>
      <c r="N623" s="387"/>
      <c r="O623" s="387"/>
      <c r="P623" s="381" t="str">
        <f t="shared" si="37"/>
        <v/>
      </c>
      <c r="Q623" s="382" t="str">
        <f t="array" ref="Q623">IFERROR(INDEX($D$13:$D$1000,MATCH(0,COUNTIF($Q$13:Q622,$D$13:$D$1000&amp;"")+IF($D$13:$D$1000="",1,0),0)),"")</f>
        <v/>
      </c>
      <c r="R623" s="356" t="str">
        <f t="shared" si="38"/>
        <v/>
      </c>
      <c r="S623" s="383" t="str">
        <f t="shared" si="40"/>
        <v/>
      </c>
      <c r="T623" s="384" t="str">
        <f t="shared" si="39"/>
        <v/>
      </c>
      <c r="U623" s="349"/>
      <c r="V623" s="385"/>
      <c r="W623" s="385"/>
      <c r="X623" s="386"/>
    </row>
    <row r="624" spans="2:24">
      <c r="B624" s="395"/>
      <c r="C624" s="371"/>
      <c r="D624" s="372" t="str">
        <f>IFERROR(INDEX('[11]Equipment List'!$B$2:$B$2038,MATCH(E624,'[11]Equipment List'!$A$2:$A$2038,0)),"")</f>
        <v/>
      </c>
      <c r="E624" s="388"/>
      <c r="F624" s="374"/>
      <c r="G624" s="375"/>
      <c r="H624" s="397"/>
      <c r="I624" s="377"/>
      <c r="J624" s="378"/>
      <c r="K624" s="379"/>
      <c r="L624" s="387"/>
      <c r="M624" s="380" t="str">
        <f t="array" ref="M624">IF(L624="","",(MAX(IF(AN$15:AN$144=B624,AO$15:AO$144))/60))</f>
        <v/>
      </c>
      <c r="N624" s="387"/>
      <c r="O624" s="387"/>
      <c r="P624" s="381" t="str">
        <f t="shared" si="37"/>
        <v/>
      </c>
      <c r="Q624" s="382" t="str">
        <f t="array" ref="Q624">IFERROR(INDEX($D$13:$D$1000,MATCH(0,COUNTIF($Q$13:Q623,$D$13:$D$1000&amp;"")+IF($D$13:$D$1000="",1,0),0)),"")</f>
        <v/>
      </c>
      <c r="R624" s="356" t="str">
        <f t="shared" si="38"/>
        <v/>
      </c>
      <c r="S624" s="383" t="str">
        <f t="shared" si="40"/>
        <v/>
      </c>
      <c r="T624" s="384" t="str">
        <f t="shared" si="39"/>
        <v/>
      </c>
      <c r="U624" s="349"/>
      <c r="V624" s="385"/>
      <c r="W624" s="385"/>
      <c r="X624" s="386"/>
    </row>
    <row r="625" spans="2:24">
      <c r="B625" s="395"/>
      <c r="C625" s="371"/>
      <c r="D625" s="372" t="str">
        <f>IFERROR(INDEX('[11]Equipment List'!$B$2:$B$2038,MATCH(E625,'[11]Equipment List'!$A$2:$A$2038,0)),"")</f>
        <v/>
      </c>
      <c r="E625" s="388"/>
      <c r="F625" s="374"/>
      <c r="G625" s="375"/>
      <c r="H625" s="397"/>
      <c r="I625" s="377"/>
      <c r="J625" s="378"/>
      <c r="K625" s="379"/>
      <c r="L625" s="387"/>
      <c r="M625" s="380" t="str">
        <f t="array" ref="M625">IF(L625="","",(MAX(IF(AN$15:AN$144=B625,AO$15:AO$144))/60))</f>
        <v/>
      </c>
      <c r="N625" s="387"/>
      <c r="O625" s="387"/>
      <c r="P625" s="381" t="str">
        <f t="shared" si="37"/>
        <v/>
      </c>
      <c r="Q625" s="382" t="str">
        <f t="array" ref="Q625">IFERROR(INDEX($D$13:$D$1000,MATCH(0,COUNTIF($Q$13:Q624,$D$13:$D$1000&amp;"")+IF($D$13:$D$1000="",1,0),0)),"")</f>
        <v/>
      </c>
      <c r="R625" s="356" t="str">
        <f t="shared" si="38"/>
        <v/>
      </c>
      <c r="S625" s="383" t="str">
        <f t="shared" si="40"/>
        <v/>
      </c>
      <c r="T625" s="384" t="str">
        <f t="shared" si="39"/>
        <v/>
      </c>
      <c r="U625" s="349"/>
      <c r="V625" s="385"/>
      <c r="W625" s="385"/>
      <c r="X625" s="386"/>
    </row>
    <row r="626" spans="2:24">
      <c r="B626" s="395"/>
      <c r="C626" s="371"/>
      <c r="D626" s="372" t="str">
        <f>IFERROR(INDEX('[11]Equipment List'!$B$2:$B$2038,MATCH(E626,'[11]Equipment List'!$A$2:$A$2038,0)),"")</f>
        <v/>
      </c>
      <c r="E626" s="388"/>
      <c r="F626" s="374"/>
      <c r="G626" s="375"/>
      <c r="H626" s="397"/>
      <c r="I626" s="377"/>
      <c r="J626" s="378"/>
      <c r="K626" s="379"/>
      <c r="L626" s="387"/>
      <c r="M626" s="380" t="str">
        <f t="array" ref="M626">IF(L626="","",(MAX(IF(AN$15:AN$144=B626,AO$15:AO$144))/60))</f>
        <v/>
      </c>
      <c r="N626" s="387"/>
      <c r="O626" s="387"/>
      <c r="P626" s="381" t="str">
        <f t="shared" si="37"/>
        <v/>
      </c>
      <c r="Q626" s="382" t="str">
        <f t="array" ref="Q626">IFERROR(INDEX($D$13:$D$1000,MATCH(0,COUNTIF($Q$13:Q625,$D$13:$D$1000&amp;"")+IF($D$13:$D$1000="",1,0),0)),"")</f>
        <v/>
      </c>
      <c r="R626" s="356" t="str">
        <f t="shared" si="38"/>
        <v/>
      </c>
      <c r="S626" s="383" t="str">
        <f t="shared" si="40"/>
        <v/>
      </c>
      <c r="T626" s="384" t="str">
        <f t="shared" si="39"/>
        <v/>
      </c>
      <c r="U626" s="349"/>
      <c r="V626" s="385"/>
      <c r="W626" s="385"/>
      <c r="X626" s="386"/>
    </row>
    <row r="627" spans="2:24">
      <c r="B627" s="395"/>
      <c r="C627" s="371"/>
      <c r="D627" s="372" t="str">
        <f>IFERROR(INDEX('[11]Equipment List'!$B$2:$B$2038,MATCH(E627,'[11]Equipment List'!$A$2:$A$2038,0)),"")</f>
        <v/>
      </c>
      <c r="E627" s="388"/>
      <c r="F627" s="374"/>
      <c r="G627" s="375"/>
      <c r="H627" s="397"/>
      <c r="I627" s="377"/>
      <c r="J627" s="378"/>
      <c r="K627" s="379"/>
      <c r="L627" s="387"/>
      <c r="M627" s="380" t="str">
        <f t="array" ref="M627">IF(L627="","",(MAX(IF(AN$15:AN$144=B627,AO$15:AO$144))/60))</f>
        <v/>
      </c>
      <c r="N627" s="387"/>
      <c r="O627" s="387"/>
      <c r="P627" s="381" t="str">
        <f t="shared" si="37"/>
        <v/>
      </c>
      <c r="Q627" s="382" t="str">
        <f t="array" ref="Q627">IFERROR(INDEX($D$13:$D$1000,MATCH(0,COUNTIF($Q$13:Q626,$D$13:$D$1000&amp;"")+IF($D$13:$D$1000="",1,0),0)),"")</f>
        <v/>
      </c>
      <c r="R627" s="356" t="str">
        <f t="shared" si="38"/>
        <v/>
      </c>
      <c r="S627" s="383" t="str">
        <f t="shared" si="40"/>
        <v/>
      </c>
      <c r="T627" s="384" t="str">
        <f t="shared" si="39"/>
        <v/>
      </c>
      <c r="U627" s="349"/>
      <c r="V627" s="385"/>
      <c r="W627" s="385"/>
      <c r="X627" s="386"/>
    </row>
    <row r="628" spans="2:24">
      <c r="B628" s="395"/>
      <c r="C628" s="371"/>
      <c r="D628" s="372" t="str">
        <f>IFERROR(INDEX('[11]Equipment List'!$B$2:$B$2038,MATCH(E628,'[11]Equipment List'!$A$2:$A$2038,0)),"")</f>
        <v/>
      </c>
      <c r="E628" s="388"/>
      <c r="F628" s="374"/>
      <c r="G628" s="375"/>
      <c r="H628" s="397"/>
      <c r="I628" s="377"/>
      <c r="J628" s="378"/>
      <c r="K628" s="379"/>
      <c r="L628" s="387"/>
      <c r="M628" s="380" t="str">
        <f t="array" ref="M628">IF(L628="","",(MAX(IF(AN$15:AN$144=B628,AO$15:AO$144))/60))</f>
        <v/>
      </c>
      <c r="N628" s="387"/>
      <c r="O628" s="387"/>
      <c r="P628" s="381" t="str">
        <f t="shared" si="37"/>
        <v/>
      </c>
      <c r="Q628" s="382" t="str">
        <f t="array" ref="Q628">IFERROR(INDEX($D$13:$D$1000,MATCH(0,COUNTIF($Q$13:Q627,$D$13:$D$1000&amp;"")+IF($D$13:$D$1000="",1,0),0)),"")</f>
        <v/>
      </c>
      <c r="R628" s="356" t="str">
        <f t="shared" si="38"/>
        <v/>
      </c>
      <c r="S628" s="383" t="str">
        <f t="shared" si="40"/>
        <v/>
      </c>
      <c r="T628" s="384" t="str">
        <f t="shared" si="39"/>
        <v/>
      </c>
      <c r="U628" s="349"/>
      <c r="V628" s="385"/>
      <c r="W628" s="385"/>
      <c r="X628" s="386"/>
    </row>
    <row r="629" spans="2:24">
      <c r="B629" s="395"/>
      <c r="C629" s="371"/>
      <c r="D629" s="372" t="str">
        <f>IFERROR(INDEX('[11]Equipment List'!$B$2:$B$2038,MATCH(E629,'[11]Equipment List'!$A$2:$A$2038,0)),"")</f>
        <v/>
      </c>
      <c r="E629" s="388"/>
      <c r="F629" s="374"/>
      <c r="G629" s="375"/>
      <c r="H629" s="397"/>
      <c r="I629" s="377"/>
      <c r="J629" s="378"/>
      <c r="K629" s="379"/>
      <c r="L629" s="387"/>
      <c r="M629" s="380" t="str">
        <f t="array" ref="M629">IF(L629="","",(MAX(IF(AN$15:AN$144=B629,AO$15:AO$144))/60))</f>
        <v/>
      </c>
      <c r="N629" s="387"/>
      <c r="O629" s="387"/>
      <c r="P629" s="381" t="str">
        <f t="shared" si="37"/>
        <v/>
      </c>
      <c r="Q629" s="382" t="str">
        <f t="array" ref="Q629">IFERROR(INDEX($D$13:$D$1000,MATCH(0,COUNTIF($Q$13:Q628,$D$13:$D$1000&amp;"")+IF($D$13:$D$1000="",1,0),0)),"")</f>
        <v/>
      </c>
      <c r="R629" s="356" t="str">
        <f t="shared" si="38"/>
        <v/>
      </c>
      <c r="S629" s="383" t="str">
        <f t="shared" si="40"/>
        <v/>
      </c>
      <c r="T629" s="384" t="str">
        <f t="shared" si="39"/>
        <v/>
      </c>
      <c r="U629" s="349"/>
      <c r="V629" s="385"/>
      <c r="W629" s="385"/>
      <c r="X629" s="386"/>
    </row>
    <row r="630" spans="2:24">
      <c r="B630" s="395"/>
      <c r="C630" s="371"/>
      <c r="D630" s="372" t="str">
        <f>IFERROR(INDEX('[11]Equipment List'!$B$2:$B$2038,MATCH(E630,'[11]Equipment List'!$A$2:$A$2038,0)),"")</f>
        <v/>
      </c>
      <c r="E630" s="388"/>
      <c r="F630" s="374"/>
      <c r="G630" s="375"/>
      <c r="H630" s="397"/>
      <c r="I630" s="377"/>
      <c r="J630" s="378"/>
      <c r="K630" s="379"/>
      <c r="L630" s="387"/>
      <c r="M630" s="380" t="str">
        <f t="array" ref="M630">IF(L630="","",(MAX(IF(AN$15:AN$144=B630,AO$15:AO$144))/60))</f>
        <v/>
      </c>
      <c r="N630" s="387"/>
      <c r="O630" s="387"/>
      <c r="P630" s="381" t="str">
        <f t="shared" si="37"/>
        <v/>
      </c>
      <c r="Q630" s="382" t="str">
        <f t="array" ref="Q630">IFERROR(INDEX($D$13:$D$1000,MATCH(0,COUNTIF($Q$13:Q629,$D$13:$D$1000&amp;"")+IF($D$13:$D$1000="",1,0),0)),"")</f>
        <v/>
      </c>
      <c r="R630" s="356" t="str">
        <f t="shared" si="38"/>
        <v/>
      </c>
      <c r="S630" s="383" t="str">
        <f t="shared" si="40"/>
        <v/>
      </c>
      <c r="T630" s="384" t="str">
        <f t="shared" si="39"/>
        <v/>
      </c>
      <c r="U630" s="349"/>
      <c r="V630" s="385"/>
      <c r="W630" s="385"/>
      <c r="X630" s="386"/>
    </row>
    <row r="631" spans="2:24">
      <c r="B631" s="395"/>
      <c r="C631" s="371"/>
      <c r="D631" s="372" t="str">
        <f>IFERROR(INDEX('[11]Equipment List'!$B$2:$B$2038,MATCH(E631,'[11]Equipment List'!$A$2:$A$2038,0)),"")</f>
        <v/>
      </c>
      <c r="E631" s="388"/>
      <c r="F631" s="374"/>
      <c r="G631" s="375"/>
      <c r="H631" s="397"/>
      <c r="I631" s="377"/>
      <c r="J631" s="378"/>
      <c r="K631" s="379"/>
      <c r="L631" s="387"/>
      <c r="M631" s="380" t="str">
        <f t="array" ref="M631">IF(L631="","",(MAX(IF(AN$15:AN$144=B631,AO$15:AO$144))/60))</f>
        <v/>
      </c>
      <c r="N631" s="387"/>
      <c r="O631" s="387"/>
      <c r="P631" s="381" t="str">
        <f t="shared" si="37"/>
        <v/>
      </c>
      <c r="Q631" s="382" t="str">
        <f t="array" ref="Q631">IFERROR(INDEX($D$13:$D$1000,MATCH(0,COUNTIF($Q$13:Q630,$D$13:$D$1000&amp;"")+IF($D$13:$D$1000="",1,0),0)),"")</f>
        <v/>
      </c>
      <c r="R631" s="356" t="str">
        <f t="shared" si="38"/>
        <v/>
      </c>
      <c r="S631" s="383" t="str">
        <f t="shared" si="40"/>
        <v/>
      </c>
      <c r="T631" s="384" t="str">
        <f t="shared" si="39"/>
        <v/>
      </c>
      <c r="U631" s="349"/>
      <c r="V631" s="385"/>
      <c r="W631" s="385"/>
      <c r="X631" s="386"/>
    </row>
    <row r="632" spans="2:24">
      <c r="B632" s="395"/>
      <c r="C632" s="371"/>
      <c r="D632" s="372" t="str">
        <f>IFERROR(INDEX('[11]Equipment List'!$B$2:$B$2038,MATCH(E632,'[11]Equipment List'!$A$2:$A$2038,0)),"")</f>
        <v/>
      </c>
      <c r="E632" s="388"/>
      <c r="F632" s="374"/>
      <c r="G632" s="375"/>
      <c r="H632" s="397"/>
      <c r="I632" s="377"/>
      <c r="J632" s="378"/>
      <c r="K632" s="379"/>
      <c r="L632" s="387"/>
      <c r="M632" s="380" t="str">
        <f t="array" ref="M632">IF(L632="","",(MAX(IF(AN$15:AN$144=B632,AO$15:AO$144))/60))</f>
        <v/>
      </c>
      <c r="N632" s="387"/>
      <c r="O632" s="387"/>
      <c r="P632" s="381" t="str">
        <f t="shared" si="37"/>
        <v/>
      </c>
      <c r="Q632" s="382" t="str">
        <f t="array" ref="Q632">IFERROR(INDEX($D$13:$D$1000,MATCH(0,COUNTIF($Q$13:Q631,$D$13:$D$1000&amp;"")+IF($D$13:$D$1000="",1,0),0)),"")</f>
        <v/>
      </c>
      <c r="R632" s="356" t="str">
        <f t="shared" si="38"/>
        <v/>
      </c>
      <c r="S632" s="383" t="str">
        <f t="shared" si="40"/>
        <v/>
      </c>
      <c r="T632" s="384" t="str">
        <f t="shared" si="39"/>
        <v/>
      </c>
      <c r="U632" s="349"/>
      <c r="V632" s="385"/>
      <c r="W632" s="385"/>
      <c r="X632" s="386"/>
    </row>
    <row r="633" spans="2:24">
      <c r="B633" s="395"/>
      <c r="C633" s="371"/>
      <c r="D633" s="372" t="str">
        <f>IFERROR(INDEX('[11]Equipment List'!$B$2:$B$2038,MATCH(E633,'[11]Equipment List'!$A$2:$A$2038,0)),"")</f>
        <v/>
      </c>
      <c r="E633" s="388"/>
      <c r="F633" s="374"/>
      <c r="G633" s="375"/>
      <c r="H633" s="397"/>
      <c r="I633" s="377"/>
      <c r="J633" s="378"/>
      <c r="K633" s="379"/>
      <c r="L633" s="387"/>
      <c r="M633" s="380" t="str">
        <f t="array" ref="M633">IF(L633="","",(MAX(IF(AN$15:AN$144=B633,AO$15:AO$144))/60))</f>
        <v/>
      </c>
      <c r="N633" s="387"/>
      <c r="O633" s="387"/>
      <c r="P633" s="381" t="str">
        <f t="shared" si="37"/>
        <v/>
      </c>
      <c r="Q633" s="382" t="str">
        <f t="array" ref="Q633">IFERROR(INDEX($D$13:$D$1000,MATCH(0,COUNTIF($Q$13:Q632,$D$13:$D$1000&amp;"")+IF($D$13:$D$1000="",1,0),0)),"")</f>
        <v/>
      </c>
      <c r="R633" s="356" t="str">
        <f t="shared" si="38"/>
        <v/>
      </c>
      <c r="S633" s="383" t="str">
        <f t="shared" si="40"/>
        <v/>
      </c>
      <c r="T633" s="384" t="str">
        <f t="shared" si="39"/>
        <v/>
      </c>
      <c r="U633" s="349"/>
      <c r="V633" s="385"/>
      <c r="W633" s="385"/>
      <c r="X633" s="386"/>
    </row>
    <row r="634" spans="2:24">
      <c r="B634" s="395"/>
      <c r="C634" s="371"/>
      <c r="D634" s="372" t="str">
        <f>IFERROR(INDEX('[11]Equipment List'!$B$2:$B$2038,MATCH(E634,'[11]Equipment List'!$A$2:$A$2038,0)),"")</f>
        <v/>
      </c>
      <c r="E634" s="388"/>
      <c r="F634" s="374"/>
      <c r="G634" s="375"/>
      <c r="H634" s="397"/>
      <c r="I634" s="377"/>
      <c r="J634" s="378"/>
      <c r="K634" s="379"/>
      <c r="L634" s="387"/>
      <c r="M634" s="380" t="str">
        <f t="array" ref="M634">IF(L634="","",(MAX(IF(AN$15:AN$144=B634,AO$15:AO$144))/60))</f>
        <v/>
      </c>
      <c r="N634" s="387"/>
      <c r="O634" s="387"/>
      <c r="P634" s="381" t="str">
        <f t="shared" si="37"/>
        <v/>
      </c>
      <c r="Q634" s="382" t="str">
        <f t="array" ref="Q634">IFERROR(INDEX($D$13:$D$1000,MATCH(0,COUNTIF($Q$13:Q633,$D$13:$D$1000&amp;"")+IF($D$13:$D$1000="",1,0),0)),"")</f>
        <v/>
      </c>
      <c r="R634" s="356" t="str">
        <f t="shared" si="38"/>
        <v/>
      </c>
      <c r="S634" s="383" t="str">
        <f t="shared" si="40"/>
        <v/>
      </c>
      <c r="T634" s="384" t="str">
        <f t="shared" si="39"/>
        <v/>
      </c>
      <c r="U634" s="349"/>
      <c r="V634" s="385"/>
      <c r="W634" s="385"/>
      <c r="X634" s="386"/>
    </row>
    <row r="635" spans="2:24">
      <c r="B635" s="395"/>
      <c r="C635" s="371"/>
      <c r="D635" s="372" t="str">
        <f>IFERROR(INDEX('[11]Equipment List'!$B$2:$B$2038,MATCH(E635,'[11]Equipment List'!$A$2:$A$2038,0)),"")</f>
        <v/>
      </c>
      <c r="E635" s="388"/>
      <c r="F635" s="374"/>
      <c r="G635" s="375"/>
      <c r="H635" s="397"/>
      <c r="I635" s="377"/>
      <c r="J635" s="378"/>
      <c r="K635" s="379"/>
      <c r="L635" s="387"/>
      <c r="M635" s="380" t="str">
        <f t="array" ref="M635">IF(L635="","",(MAX(IF(AN$15:AN$144=B635,AO$15:AO$144))/60))</f>
        <v/>
      </c>
      <c r="N635" s="387"/>
      <c r="O635" s="387"/>
      <c r="P635" s="381" t="str">
        <f t="shared" si="37"/>
        <v/>
      </c>
      <c r="Q635" s="382" t="str">
        <f t="array" ref="Q635">IFERROR(INDEX($D$13:$D$1000,MATCH(0,COUNTIF($Q$13:Q634,$D$13:$D$1000&amp;"")+IF($D$13:$D$1000="",1,0),0)),"")</f>
        <v/>
      </c>
      <c r="R635" s="356" t="str">
        <f t="shared" si="38"/>
        <v/>
      </c>
      <c r="S635" s="383" t="str">
        <f t="shared" si="40"/>
        <v/>
      </c>
      <c r="T635" s="384" t="str">
        <f t="shared" si="39"/>
        <v/>
      </c>
      <c r="U635" s="349"/>
      <c r="V635" s="385"/>
      <c r="W635" s="385"/>
      <c r="X635" s="386"/>
    </row>
    <row r="636" spans="2:24">
      <c r="B636" s="395"/>
      <c r="C636" s="371"/>
      <c r="D636" s="372" t="str">
        <f>IFERROR(INDEX('[11]Equipment List'!$B$2:$B$2038,MATCH(E636,'[11]Equipment List'!$A$2:$A$2038,0)),"")</f>
        <v/>
      </c>
      <c r="E636" s="388"/>
      <c r="F636" s="374"/>
      <c r="G636" s="375"/>
      <c r="H636" s="397"/>
      <c r="I636" s="377"/>
      <c r="J636" s="378"/>
      <c r="K636" s="379"/>
      <c r="L636" s="387"/>
      <c r="M636" s="380" t="str">
        <f t="array" ref="M636">IF(L636="","",(MAX(IF(AN$15:AN$144=B636,AO$15:AO$144))/60))</f>
        <v/>
      </c>
      <c r="N636" s="387"/>
      <c r="O636" s="387"/>
      <c r="P636" s="381" t="str">
        <f t="shared" si="37"/>
        <v/>
      </c>
      <c r="Q636" s="382" t="str">
        <f t="array" ref="Q636">IFERROR(INDEX($D$13:$D$1000,MATCH(0,COUNTIF($Q$13:Q635,$D$13:$D$1000&amp;"")+IF($D$13:$D$1000="",1,0),0)),"")</f>
        <v/>
      </c>
      <c r="R636" s="356" t="str">
        <f t="shared" si="38"/>
        <v/>
      </c>
      <c r="S636" s="383" t="str">
        <f t="shared" si="40"/>
        <v/>
      </c>
      <c r="T636" s="384" t="str">
        <f t="shared" si="39"/>
        <v/>
      </c>
      <c r="U636" s="349"/>
      <c r="V636" s="385"/>
      <c r="W636" s="385"/>
      <c r="X636" s="386"/>
    </row>
    <row r="637" spans="2:24">
      <c r="B637" s="395"/>
      <c r="C637" s="371"/>
      <c r="D637" s="372" t="str">
        <f>IFERROR(INDEX('[11]Equipment List'!$B$2:$B$2038,MATCH(E637,'[11]Equipment List'!$A$2:$A$2038,0)),"")</f>
        <v/>
      </c>
      <c r="E637" s="388"/>
      <c r="F637" s="374"/>
      <c r="G637" s="375"/>
      <c r="H637" s="397"/>
      <c r="I637" s="377"/>
      <c r="J637" s="378"/>
      <c r="K637" s="379"/>
      <c r="L637" s="387"/>
      <c r="M637" s="380" t="str">
        <f t="array" ref="M637">IF(L637="","",(MAX(IF(AN$15:AN$144=B637,AO$15:AO$144))/60))</f>
        <v/>
      </c>
      <c r="N637" s="387"/>
      <c r="O637" s="387"/>
      <c r="P637" s="381" t="str">
        <f t="shared" si="37"/>
        <v/>
      </c>
      <c r="Q637" s="382" t="str">
        <f t="array" ref="Q637">IFERROR(INDEX($D$13:$D$1000,MATCH(0,COUNTIF($Q$13:Q636,$D$13:$D$1000&amp;"")+IF($D$13:$D$1000="",1,0),0)),"")</f>
        <v/>
      </c>
      <c r="R637" s="356" t="str">
        <f t="shared" si="38"/>
        <v/>
      </c>
      <c r="S637" s="383" t="str">
        <f t="shared" si="40"/>
        <v/>
      </c>
      <c r="T637" s="384" t="str">
        <f t="shared" si="39"/>
        <v/>
      </c>
      <c r="U637" s="349"/>
      <c r="V637" s="385"/>
      <c r="W637" s="385"/>
      <c r="X637" s="386"/>
    </row>
    <row r="638" spans="2:24">
      <c r="B638" s="395"/>
      <c r="C638" s="371"/>
      <c r="D638" s="372" t="str">
        <f>IFERROR(INDEX('[11]Equipment List'!$B$2:$B$2038,MATCH(E638,'[11]Equipment List'!$A$2:$A$2038,0)),"")</f>
        <v/>
      </c>
      <c r="E638" s="388"/>
      <c r="F638" s="374"/>
      <c r="G638" s="375"/>
      <c r="H638" s="397"/>
      <c r="I638" s="377"/>
      <c r="J638" s="378"/>
      <c r="K638" s="379"/>
      <c r="L638" s="387"/>
      <c r="M638" s="380" t="str">
        <f t="array" ref="M638">IF(L638="","",(MAX(IF(AN$15:AN$144=B638,AO$15:AO$144))/60))</f>
        <v/>
      </c>
      <c r="N638" s="387"/>
      <c r="O638" s="387"/>
      <c r="P638" s="381" t="str">
        <f t="shared" si="37"/>
        <v/>
      </c>
      <c r="Q638" s="382" t="str">
        <f t="array" ref="Q638">IFERROR(INDEX($D$13:$D$1000,MATCH(0,COUNTIF($Q$13:Q637,$D$13:$D$1000&amp;"")+IF($D$13:$D$1000="",1,0),0)),"")</f>
        <v/>
      </c>
      <c r="R638" s="356" t="str">
        <f t="shared" si="38"/>
        <v/>
      </c>
      <c r="S638" s="383" t="str">
        <f t="shared" si="40"/>
        <v/>
      </c>
      <c r="T638" s="384" t="str">
        <f t="shared" si="39"/>
        <v/>
      </c>
      <c r="U638" s="349"/>
      <c r="V638" s="385"/>
      <c r="W638" s="385"/>
      <c r="X638" s="386"/>
    </row>
    <row r="639" spans="2:24">
      <c r="B639" s="395"/>
      <c r="C639" s="371"/>
      <c r="D639" s="372" t="str">
        <f>IFERROR(INDEX('[11]Equipment List'!$B$2:$B$2038,MATCH(E639,'[11]Equipment List'!$A$2:$A$2038,0)),"")</f>
        <v/>
      </c>
      <c r="E639" s="388"/>
      <c r="F639" s="374"/>
      <c r="G639" s="375"/>
      <c r="H639" s="397"/>
      <c r="I639" s="377"/>
      <c r="J639" s="378"/>
      <c r="K639" s="379"/>
      <c r="L639" s="387"/>
      <c r="M639" s="380" t="str">
        <f t="array" ref="M639">IF(L639="","",(MAX(IF(AN$15:AN$144=B639,AO$15:AO$144))/60))</f>
        <v/>
      </c>
      <c r="N639" s="387"/>
      <c r="O639" s="387"/>
      <c r="P639" s="381" t="str">
        <f t="shared" si="37"/>
        <v/>
      </c>
      <c r="Q639" s="382" t="str">
        <f t="array" ref="Q639">IFERROR(INDEX($D$13:$D$1000,MATCH(0,COUNTIF($Q$13:Q638,$D$13:$D$1000&amp;"")+IF($D$13:$D$1000="",1,0),0)),"")</f>
        <v/>
      </c>
      <c r="R639" s="356" t="str">
        <f t="shared" si="38"/>
        <v/>
      </c>
      <c r="S639" s="383" t="str">
        <f t="shared" si="40"/>
        <v/>
      </c>
      <c r="T639" s="384" t="str">
        <f t="shared" si="39"/>
        <v/>
      </c>
      <c r="U639" s="349"/>
      <c r="V639" s="385"/>
      <c r="W639" s="385"/>
      <c r="X639" s="386"/>
    </row>
    <row r="640" spans="2:24">
      <c r="B640" s="395"/>
      <c r="C640" s="371"/>
      <c r="D640" s="372" t="str">
        <f>IFERROR(INDEX('[11]Equipment List'!$B$2:$B$2038,MATCH(E640,'[11]Equipment List'!$A$2:$A$2038,0)),"")</f>
        <v/>
      </c>
      <c r="E640" s="388"/>
      <c r="F640" s="374"/>
      <c r="G640" s="375"/>
      <c r="H640" s="397"/>
      <c r="I640" s="377"/>
      <c r="J640" s="378"/>
      <c r="K640" s="379"/>
      <c r="L640" s="387"/>
      <c r="M640" s="380" t="str">
        <f t="array" ref="M640">IF(L640="","",(MAX(IF(AN$15:AN$144=B640,AO$15:AO$144))/60))</f>
        <v/>
      </c>
      <c r="N640" s="387"/>
      <c r="O640" s="387"/>
      <c r="P640" s="381" t="str">
        <f t="shared" si="37"/>
        <v/>
      </c>
      <c r="Q640" s="382" t="str">
        <f t="array" ref="Q640">IFERROR(INDEX($D$13:$D$1000,MATCH(0,COUNTIF($Q$13:Q639,$D$13:$D$1000&amp;"")+IF($D$13:$D$1000="",1,0),0)),"")</f>
        <v/>
      </c>
      <c r="R640" s="356" t="str">
        <f t="shared" si="38"/>
        <v/>
      </c>
      <c r="S640" s="383" t="str">
        <f t="shared" si="40"/>
        <v/>
      </c>
      <c r="T640" s="384" t="str">
        <f t="shared" si="39"/>
        <v/>
      </c>
      <c r="U640" s="349"/>
      <c r="V640" s="385"/>
      <c r="W640" s="385"/>
      <c r="X640" s="386"/>
    </row>
    <row r="641" spans="2:24">
      <c r="B641" s="395"/>
      <c r="C641" s="371"/>
      <c r="D641" s="372" t="str">
        <f>IFERROR(INDEX('[11]Equipment List'!$B$2:$B$2038,MATCH(E641,'[11]Equipment List'!$A$2:$A$2038,0)),"")</f>
        <v/>
      </c>
      <c r="E641" s="388"/>
      <c r="F641" s="374"/>
      <c r="G641" s="375"/>
      <c r="H641" s="397"/>
      <c r="I641" s="377"/>
      <c r="J641" s="378"/>
      <c r="K641" s="379"/>
      <c r="L641" s="387"/>
      <c r="M641" s="380" t="str">
        <f t="array" ref="M641">IF(L641="","",(MAX(IF(AN$15:AN$144=B641,AO$15:AO$144))/60))</f>
        <v/>
      </c>
      <c r="N641" s="387"/>
      <c r="O641" s="387"/>
      <c r="P641" s="381" t="str">
        <f t="shared" si="37"/>
        <v/>
      </c>
      <c r="Q641" s="382" t="str">
        <f t="array" ref="Q641">IFERROR(INDEX($D$13:$D$1000,MATCH(0,COUNTIF($Q$13:Q640,$D$13:$D$1000&amp;"")+IF($D$13:$D$1000="",1,0),0)),"")</f>
        <v/>
      </c>
      <c r="R641" s="356" t="str">
        <f t="shared" si="38"/>
        <v/>
      </c>
      <c r="S641" s="383" t="str">
        <f t="shared" si="40"/>
        <v/>
      </c>
      <c r="T641" s="384" t="str">
        <f t="shared" si="39"/>
        <v/>
      </c>
      <c r="U641" s="349"/>
      <c r="V641" s="385"/>
      <c r="W641" s="385"/>
      <c r="X641" s="386"/>
    </row>
    <row r="642" spans="2:24">
      <c r="B642" s="395"/>
      <c r="C642" s="371"/>
      <c r="D642" s="372" t="str">
        <f>IFERROR(INDEX('[11]Equipment List'!$B$2:$B$2038,MATCH(E642,'[11]Equipment List'!$A$2:$A$2038,0)),"")</f>
        <v/>
      </c>
      <c r="E642" s="388"/>
      <c r="F642" s="374"/>
      <c r="G642" s="375"/>
      <c r="H642" s="397"/>
      <c r="I642" s="377"/>
      <c r="J642" s="378"/>
      <c r="K642" s="379"/>
      <c r="L642" s="387"/>
      <c r="M642" s="380" t="str">
        <f t="array" ref="M642">IF(L642="","",(MAX(IF(AN$15:AN$144=B642,AO$15:AO$144))/60))</f>
        <v/>
      </c>
      <c r="N642" s="387"/>
      <c r="O642" s="387"/>
      <c r="P642" s="381" t="str">
        <f t="shared" si="37"/>
        <v/>
      </c>
      <c r="Q642" s="382" t="str">
        <f t="array" ref="Q642">IFERROR(INDEX($D$13:$D$1000,MATCH(0,COUNTIF($Q$13:Q641,$D$13:$D$1000&amp;"")+IF($D$13:$D$1000="",1,0),0)),"")</f>
        <v/>
      </c>
      <c r="R642" s="356" t="str">
        <f t="shared" si="38"/>
        <v/>
      </c>
      <c r="S642" s="383" t="str">
        <f t="shared" si="40"/>
        <v/>
      </c>
      <c r="T642" s="384" t="str">
        <f t="shared" si="39"/>
        <v/>
      </c>
      <c r="U642" s="349"/>
      <c r="V642" s="385"/>
      <c r="W642" s="385"/>
      <c r="X642" s="386"/>
    </row>
    <row r="643" spans="2:24">
      <c r="B643" s="395"/>
      <c r="C643" s="371"/>
      <c r="D643" s="372" t="str">
        <f>IFERROR(INDEX('[11]Equipment List'!$B$2:$B$2038,MATCH(E643,'[11]Equipment List'!$A$2:$A$2038,0)),"")</f>
        <v/>
      </c>
      <c r="E643" s="388"/>
      <c r="F643" s="374"/>
      <c r="G643" s="375"/>
      <c r="H643" s="397"/>
      <c r="I643" s="377"/>
      <c r="J643" s="378"/>
      <c r="K643" s="379"/>
      <c r="L643" s="387"/>
      <c r="M643" s="380" t="str">
        <f t="array" ref="M643">IF(L643="","",(MAX(IF(AN$15:AN$144=B643,AO$15:AO$144))/60))</f>
        <v/>
      </c>
      <c r="N643" s="387"/>
      <c r="O643" s="387"/>
      <c r="P643" s="381" t="str">
        <f t="shared" si="37"/>
        <v/>
      </c>
      <c r="Q643" s="382" t="str">
        <f t="array" ref="Q643">IFERROR(INDEX($D$13:$D$1000,MATCH(0,COUNTIF($Q$13:Q642,$D$13:$D$1000&amp;"")+IF($D$13:$D$1000="",1,0),0)),"")</f>
        <v/>
      </c>
      <c r="R643" s="356" t="str">
        <f t="shared" si="38"/>
        <v/>
      </c>
      <c r="S643" s="383" t="str">
        <f t="shared" si="40"/>
        <v/>
      </c>
      <c r="T643" s="384" t="str">
        <f t="shared" si="39"/>
        <v/>
      </c>
      <c r="U643" s="349"/>
      <c r="V643" s="385"/>
      <c r="W643" s="385"/>
      <c r="X643" s="386"/>
    </row>
    <row r="644" spans="2:24">
      <c r="B644" s="395"/>
      <c r="C644" s="371"/>
      <c r="D644" s="372" t="str">
        <f>IFERROR(INDEX('[11]Equipment List'!$B$2:$B$2038,MATCH(E644,'[11]Equipment List'!$A$2:$A$2038,0)),"")</f>
        <v/>
      </c>
      <c r="E644" s="388"/>
      <c r="F644" s="374"/>
      <c r="G644" s="375"/>
      <c r="H644" s="397"/>
      <c r="I644" s="377"/>
      <c r="J644" s="378"/>
      <c r="K644" s="379"/>
      <c r="L644" s="387"/>
      <c r="M644" s="380" t="str">
        <f t="array" ref="M644">IF(L644="","",(MAX(IF(AN$15:AN$144=B644,AO$15:AO$144))/60))</f>
        <v/>
      </c>
      <c r="N644" s="387"/>
      <c r="O644" s="387"/>
      <c r="P644" s="381" t="str">
        <f t="shared" si="37"/>
        <v/>
      </c>
      <c r="Q644" s="382" t="str">
        <f t="array" ref="Q644">IFERROR(INDEX($D$13:$D$1000,MATCH(0,COUNTIF($Q$13:Q643,$D$13:$D$1000&amp;"")+IF($D$13:$D$1000="",1,0),0)),"")</f>
        <v/>
      </c>
      <c r="R644" s="356" t="str">
        <f t="shared" si="38"/>
        <v/>
      </c>
      <c r="S644" s="383" t="str">
        <f t="shared" si="40"/>
        <v/>
      </c>
      <c r="T644" s="384" t="str">
        <f t="shared" si="39"/>
        <v/>
      </c>
      <c r="U644" s="349"/>
      <c r="V644" s="385"/>
      <c r="W644" s="385"/>
      <c r="X644" s="386"/>
    </row>
    <row r="645" spans="2:24">
      <c r="B645" s="395"/>
      <c r="C645" s="371"/>
      <c r="D645" s="372" t="str">
        <f>IFERROR(INDEX('[11]Equipment List'!$B$2:$B$2038,MATCH(E645,'[11]Equipment List'!$A$2:$A$2038,0)),"")</f>
        <v/>
      </c>
      <c r="E645" s="388"/>
      <c r="F645" s="374"/>
      <c r="G645" s="375"/>
      <c r="H645" s="397"/>
      <c r="I645" s="377"/>
      <c r="J645" s="378"/>
      <c r="K645" s="379"/>
      <c r="L645" s="387"/>
      <c r="M645" s="380" t="str">
        <f t="array" ref="M645">IF(L645="","",(MAX(IF(AN$15:AN$144=B645,AO$15:AO$144))/60))</f>
        <v/>
      </c>
      <c r="N645" s="387"/>
      <c r="O645" s="387"/>
      <c r="P645" s="381" t="str">
        <f t="shared" si="37"/>
        <v/>
      </c>
      <c r="Q645" s="382" t="str">
        <f t="array" ref="Q645">IFERROR(INDEX($D$13:$D$1000,MATCH(0,COUNTIF($Q$13:Q644,$D$13:$D$1000&amp;"")+IF($D$13:$D$1000="",1,0),0)),"")</f>
        <v/>
      </c>
      <c r="R645" s="356" t="str">
        <f t="shared" si="38"/>
        <v/>
      </c>
      <c r="S645" s="383" t="str">
        <f t="shared" si="40"/>
        <v/>
      </c>
      <c r="T645" s="384" t="str">
        <f t="shared" si="39"/>
        <v/>
      </c>
      <c r="U645" s="349"/>
      <c r="V645" s="385"/>
      <c r="W645" s="385"/>
      <c r="X645" s="386"/>
    </row>
    <row r="646" spans="2:24">
      <c r="B646" s="395"/>
      <c r="C646" s="371"/>
      <c r="D646" s="372" t="str">
        <f>IFERROR(INDEX('[11]Equipment List'!$B$2:$B$2038,MATCH(E646,'[11]Equipment List'!$A$2:$A$2038,0)),"")</f>
        <v/>
      </c>
      <c r="E646" s="388"/>
      <c r="F646" s="374"/>
      <c r="G646" s="375"/>
      <c r="H646" s="397"/>
      <c r="I646" s="377"/>
      <c r="J646" s="378"/>
      <c r="K646" s="379"/>
      <c r="L646" s="387"/>
      <c r="M646" s="380" t="str">
        <f t="array" ref="M646">IF(L646="","",(MAX(IF(AN$15:AN$144=B646,AO$15:AO$144))/60))</f>
        <v/>
      </c>
      <c r="N646" s="387"/>
      <c r="O646" s="387"/>
      <c r="P646" s="381" t="str">
        <f t="shared" si="37"/>
        <v/>
      </c>
      <c r="Q646" s="382" t="str">
        <f t="array" ref="Q646">IFERROR(INDEX($D$13:$D$1000,MATCH(0,COUNTIF($Q$13:Q645,$D$13:$D$1000&amp;"")+IF($D$13:$D$1000="",1,0),0)),"")</f>
        <v/>
      </c>
      <c r="R646" s="356" t="str">
        <f t="shared" si="38"/>
        <v/>
      </c>
      <c r="S646" s="383" t="str">
        <f t="shared" si="40"/>
        <v/>
      </c>
      <c r="T646" s="384" t="str">
        <f t="shared" si="39"/>
        <v/>
      </c>
      <c r="U646" s="349"/>
      <c r="V646" s="385"/>
      <c r="W646" s="385"/>
      <c r="X646" s="386"/>
    </row>
    <row r="647" spans="2:24">
      <c r="B647" s="395"/>
      <c r="C647" s="371"/>
      <c r="D647" s="372" t="str">
        <f>IFERROR(INDEX('[11]Equipment List'!$B$2:$B$2038,MATCH(E647,'[11]Equipment List'!$A$2:$A$2038,0)),"")</f>
        <v/>
      </c>
      <c r="E647" s="388"/>
      <c r="F647" s="374"/>
      <c r="G647" s="375"/>
      <c r="H647" s="397"/>
      <c r="I647" s="377"/>
      <c r="J647" s="378"/>
      <c r="K647" s="379"/>
      <c r="L647" s="387"/>
      <c r="M647" s="380" t="str">
        <f t="array" ref="M647">IF(L647="","",(MAX(IF(AN$15:AN$144=B647,AO$15:AO$144))/60))</f>
        <v/>
      </c>
      <c r="N647" s="387"/>
      <c r="O647" s="387"/>
      <c r="P647" s="381" t="str">
        <f t="shared" si="37"/>
        <v/>
      </c>
      <c r="Q647" s="382" t="str">
        <f t="array" ref="Q647">IFERROR(INDEX($D$13:$D$1000,MATCH(0,COUNTIF($Q$13:Q646,$D$13:$D$1000&amp;"")+IF($D$13:$D$1000="",1,0),0)),"")</f>
        <v/>
      </c>
      <c r="R647" s="356" t="str">
        <f t="shared" si="38"/>
        <v/>
      </c>
      <c r="S647" s="383" t="str">
        <f t="shared" si="40"/>
        <v/>
      </c>
      <c r="T647" s="384" t="str">
        <f t="shared" si="39"/>
        <v/>
      </c>
      <c r="U647" s="349"/>
      <c r="V647" s="385"/>
      <c r="W647" s="385"/>
      <c r="X647" s="386"/>
    </row>
    <row r="648" spans="2:24">
      <c r="B648" s="395"/>
      <c r="C648" s="371"/>
      <c r="D648" s="372" t="str">
        <f>IFERROR(INDEX('[11]Equipment List'!$B$2:$B$2038,MATCH(E648,'[11]Equipment List'!$A$2:$A$2038,0)),"")</f>
        <v/>
      </c>
      <c r="E648" s="388"/>
      <c r="F648" s="374"/>
      <c r="G648" s="375"/>
      <c r="H648" s="397"/>
      <c r="I648" s="377"/>
      <c r="J648" s="378"/>
      <c r="K648" s="379"/>
      <c r="L648" s="387"/>
      <c r="M648" s="380" t="str">
        <f t="array" ref="M648">IF(L648="","",(MAX(IF(AN$15:AN$144=B648,AO$15:AO$144))/60))</f>
        <v/>
      </c>
      <c r="N648" s="387"/>
      <c r="O648" s="387"/>
      <c r="P648" s="381" t="str">
        <f t="shared" si="37"/>
        <v/>
      </c>
      <c r="Q648" s="382" t="str">
        <f t="array" ref="Q648">IFERROR(INDEX($D$13:$D$1000,MATCH(0,COUNTIF($Q$13:Q647,$D$13:$D$1000&amp;"")+IF($D$13:$D$1000="",1,0),0)),"")</f>
        <v/>
      </c>
      <c r="R648" s="356" t="str">
        <f t="shared" si="38"/>
        <v/>
      </c>
      <c r="S648" s="383" t="str">
        <f t="shared" si="40"/>
        <v/>
      </c>
      <c r="T648" s="384" t="str">
        <f t="shared" si="39"/>
        <v/>
      </c>
      <c r="U648" s="349"/>
      <c r="V648" s="385"/>
      <c r="W648" s="385"/>
      <c r="X648" s="386"/>
    </row>
    <row r="649" spans="2:24">
      <c r="B649" s="395"/>
      <c r="C649" s="371"/>
      <c r="D649" s="372" t="str">
        <f>IFERROR(INDEX('[11]Equipment List'!$B$2:$B$2038,MATCH(E649,'[11]Equipment List'!$A$2:$A$2038,0)),"")</f>
        <v/>
      </c>
      <c r="E649" s="388"/>
      <c r="F649" s="374"/>
      <c r="G649" s="375"/>
      <c r="H649" s="397"/>
      <c r="I649" s="377"/>
      <c r="J649" s="378"/>
      <c r="K649" s="379"/>
      <c r="L649" s="387"/>
      <c r="M649" s="380" t="str">
        <f t="array" ref="M649">IF(L649="","",(MAX(IF(AN$15:AN$144=B649,AO$15:AO$144))/60))</f>
        <v/>
      </c>
      <c r="N649" s="387"/>
      <c r="O649" s="387"/>
      <c r="P649" s="381" t="str">
        <f t="shared" si="37"/>
        <v/>
      </c>
      <c r="Q649" s="382" t="str">
        <f t="array" ref="Q649">IFERROR(INDEX($D$13:$D$1000,MATCH(0,COUNTIF($Q$13:Q648,$D$13:$D$1000&amp;"")+IF($D$13:$D$1000="",1,0),0)),"")</f>
        <v/>
      </c>
      <c r="R649" s="356" t="str">
        <f t="shared" si="38"/>
        <v/>
      </c>
      <c r="S649" s="383" t="str">
        <f t="shared" si="40"/>
        <v/>
      </c>
      <c r="T649" s="384" t="str">
        <f t="shared" si="39"/>
        <v/>
      </c>
      <c r="U649" s="349"/>
      <c r="V649" s="385"/>
      <c r="W649" s="385"/>
      <c r="X649" s="386"/>
    </row>
    <row r="650" spans="2:24">
      <c r="B650" s="395"/>
      <c r="C650" s="371"/>
      <c r="D650" s="372" t="str">
        <f>IFERROR(INDEX('[11]Equipment List'!$B$2:$B$2038,MATCH(E650,'[11]Equipment List'!$A$2:$A$2038,0)),"")</f>
        <v/>
      </c>
      <c r="E650" s="388"/>
      <c r="F650" s="374"/>
      <c r="G650" s="375"/>
      <c r="H650" s="397"/>
      <c r="I650" s="377"/>
      <c r="J650" s="378"/>
      <c r="K650" s="379"/>
      <c r="L650" s="387"/>
      <c r="M650" s="380" t="str">
        <f t="array" ref="M650">IF(L650="","",(MAX(IF(AN$15:AN$144=B650,AO$15:AO$144))/60))</f>
        <v/>
      </c>
      <c r="N650" s="387"/>
      <c r="O650" s="387"/>
      <c r="P650" s="381" t="str">
        <f t="shared" si="37"/>
        <v/>
      </c>
      <c r="Q650" s="382" t="str">
        <f t="array" ref="Q650">IFERROR(INDEX($D$13:$D$1000,MATCH(0,COUNTIF($Q$13:Q649,$D$13:$D$1000&amp;"")+IF($D$13:$D$1000="",1,0),0)),"")</f>
        <v/>
      </c>
      <c r="R650" s="356" t="str">
        <f t="shared" si="38"/>
        <v/>
      </c>
      <c r="S650" s="383" t="str">
        <f t="shared" si="40"/>
        <v/>
      </c>
      <c r="T650" s="384" t="str">
        <f t="shared" si="39"/>
        <v/>
      </c>
      <c r="U650" s="349"/>
      <c r="V650" s="385"/>
      <c r="W650" s="385"/>
      <c r="X650" s="386"/>
    </row>
    <row r="651" spans="2:24">
      <c r="B651" s="395"/>
      <c r="C651" s="371"/>
      <c r="D651" s="372" t="str">
        <f>IFERROR(INDEX('[11]Equipment List'!$B$2:$B$2038,MATCH(E651,'[11]Equipment List'!$A$2:$A$2038,0)),"")</f>
        <v/>
      </c>
      <c r="E651" s="388"/>
      <c r="F651" s="374"/>
      <c r="G651" s="375"/>
      <c r="H651" s="397"/>
      <c r="I651" s="377"/>
      <c r="J651" s="378"/>
      <c r="K651" s="379"/>
      <c r="L651" s="387"/>
      <c r="M651" s="380" t="str">
        <f t="array" ref="M651">IF(L651="","",(MAX(IF(AN$15:AN$144=B651,AO$15:AO$144))/60))</f>
        <v/>
      </c>
      <c r="N651" s="387"/>
      <c r="O651" s="387"/>
      <c r="P651" s="381" t="str">
        <f t="shared" si="37"/>
        <v/>
      </c>
      <c r="Q651" s="382" t="str">
        <f t="array" ref="Q651">IFERROR(INDEX($D$13:$D$1000,MATCH(0,COUNTIF($Q$13:Q650,$D$13:$D$1000&amp;"")+IF($D$13:$D$1000="",1,0),0)),"")</f>
        <v/>
      </c>
      <c r="R651" s="356" t="str">
        <f t="shared" si="38"/>
        <v/>
      </c>
      <c r="S651" s="383" t="str">
        <f t="shared" si="40"/>
        <v/>
      </c>
      <c r="T651" s="384" t="str">
        <f t="shared" si="39"/>
        <v/>
      </c>
      <c r="U651" s="349"/>
      <c r="V651" s="385"/>
      <c r="W651" s="385"/>
      <c r="X651" s="386"/>
    </row>
    <row r="652" spans="2:24">
      <c r="B652" s="395"/>
      <c r="C652" s="371"/>
      <c r="D652" s="372" t="str">
        <f>IFERROR(INDEX('[11]Equipment List'!$B$2:$B$2038,MATCH(E652,'[11]Equipment List'!$A$2:$A$2038,0)),"")</f>
        <v/>
      </c>
      <c r="E652" s="388"/>
      <c r="F652" s="374"/>
      <c r="G652" s="375"/>
      <c r="H652" s="397"/>
      <c r="I652" s="377"/>
      <c r="J652" s="378"/>
      <c r="K652" s="379"/>
      <c r="L652" s="387"/>
      <c r="M652" s="380" t="str">
        <f t="array" ref="M652">IF(L652="","",(MAX(IF(AN$15:AN$144=B652,AO$15:AO$144))/60))</f>
        <v/>
      </c>
      <c r="N652" s="387"/>
      <c r="O652" s="387"/>
      <c r="P652" s="381" t="str">
        <f t="shared" ref="P652:P715" si="41">IFERROR((((K652/5/250/$F$8)+(N652*$F$9))/$S$4)*(M652/60),"")</f>
        <v/>
      </c>
      <c r="Q652" s="382" t="str">
        <f t="array" ref="Q652">IFERROR(INDEX($D$13:$D$1000,MATCH(0,COUNTIF($Q$13:Q651,$D$13:$D$1000&amp;"")+IF($D$13:$D$1000="",1,0),0)),"")</f>
        <v/>
      </c>
      <c r="R652" s="356" t="str">
        <f t="shared" si="38"/>
        <v/>
      </c>
      <c r="S652" s="383" t="str">
        <f t="shared" si="40"/>
        <v/>
      </c>
      <c r="T652" s="384" t="str">
        <f t="shared" si="39"/>
        <v/>
      </c>
      <c r="U652" s="349"/>
      <c r="V652" s="385"/>
      <c r="W652" s="385"/>
      <c r="X652" s="386"/>
    </row>
    <row r="653" spans="2:24">
      <c r="B653" s="395"/>
      <c r="C653" s="371"/>
      <c r="D653" s="372" t="str">
        <f>IFERROR(INDEX('[11]Equipment List'!$B$2:$B$2038,MATCH(E653,'[11]Equipment List'!$A$2:$A$2038,0)),"")</f>
        <v/>
      </c>
      <c r="E653" s="388"/>
      <c r="F653" s="374"/>
      <c r="G653" s="375"/>
      <c r="H653" s="397"/>
      <c r="I653" s="377"/>
      <c r="J653" s="378"/>
      <c r="K653" s="379"/>
      <c r="L653" s="387"/>
      <c r="M653" s="380" t="str">
        <f t="array" ref="M653">IF(L653="","",(MAX(IF(AN$15:AN$144=B653,AO$15:AO$144))/60))</f>
        <v/>
      </c>
      <c r="N653" s="387"/>
      <c r="O653" s="387"/>
      <c r="P653" s="381" t="str">
        <f t="shared" si="41"/>
        <v/>
      </c>
      <c r="Q653" s="382" t="str">
        <f t="array" ref="Q653">IFERROR(INDEX($D$13:$D$1000,MATCH(0,COUNTIF($Q$13:Q652,$D$13:$D$1000&amp;"")+IF($D$13:$D$1000="",1,0),0)),"")</f>
        <v/>
      </c>
      <c r="R653" s="356" t="str">
        <f t="shared" ref="R653:R716" si="42">IF(Q653="","",COUNTIF($D$13:$D$1000,$Q653))</f>
        <v/>
      </c>
      <c r="S653" s="383" t="str">
        <f t="shared" si="40"/>
        <v/>
      </c>
      <c r="T653" s="384" t="str">
        <f t="shared" ref="T653:T716" si="43">IF($Q653="","",SUMIF($D$13:$D$1000,$Q653,N$13:N$1000))</f>
        <v/>
      </c>
      <c r="U653" s="349"/>
      <c r="V653" s="385"/>
      <c r="W653" s="385"/>
      <c r="X653" s="386"/>
    </row>
    <row r="654" spans="2:24">
      <c r="B654" s="395"/>
      <c r="C654" s="371"/>
      <c r="D654" s="372" t="str">
        <f>IFERROR(INDEX('[11]Equipment List'!$B$2:$B$2038,MATCH(E654,'[11]Equipment List'!$A$2:$A$2038,0)),"")</f>
        <v/>
      </c>
      <c r="E654" s="388"/>
      <c r="F654" s="374"/>
      <c r="G654" s="375"/>
      <c r="H654" s="397"/>
      <c r="I654" s="377"/>
      <c r="J654" s="378"/>
      <c r="K654" s="379"/>
      <c r="L654" s="387"/>
      <c r="M654" s="380" t="str">
        <f t="array" ref="M654">IF(L654="","",(MAX(IF(AN$15:AN$144=B654,AO$15:AO$144))/60))</f>
        <v/>
      </c>
      <c r="N654" s="387"/>
      <c r="O654" s="387"/>
      <c r="P654" s="381" t="str">
        <f t="shared" si="41"/>
        <v/>
      </c>
      <c r="Q654" s="382" t="str">
        <f t="array" ref="Q654">IFERROR(INDEX($D$13:$D$1000,MATCH(0,COUNTIF($Q$13:Q653,$D$13:$D$1000&amp;"")+IF($D$13:$D$1000="",1,0),0)),"")</f>
        <v/>
      </c>
      <c r="R654" s="356" t="str">
        <f t="shared" si="42"/>
        <v/>
      </c>
      <c r="S654" s="383" t="str">
        <f t="shared" si="40"/>
        <v/>
      </c>
      <c r="T654" s="384" t="str">
        <f t="shared" si="43"/>
        <v/>
      </c>
      <c r="U654" s="349"/>
      <c r="V654" s="385"/>
      <c r="W654" s="385"/>
      <c r="X654" s="386"/>
    </row>
    <row r="655" spans="2:24">
      <c r="B655" s="395"/>
      <c r="C655" s="371"/>
      <c r="D655" s="372" t="str">
        <f>IFERROR(INDEX('[11]Equipment List'!$B$2:$B$2038,MATCH(E655,'[11]Equipment List'!$A$2:$A$2038,0)),"")</f>
        <v/>
      </c>
      <c r="E655" s="388"/>
      <c r="F655" s="374"/>
      <c r="G655" s="375"/>
      <c r="H655" s="397"/>
      <c r="I655" s="377"/>
      <c r="J655" s="378"/>
      <c r="K655" s="379"/>
      <c r="L655" s="387"/>
      <c r="M655" s="380" t="str">
        <f t="array" ref="M655">IF(L655="","",(MAX(IF(AN$15:AN$144=B655,AO$15:AO$144))/60))</f>
        <v/>
      </c>
      <c r="N655" s="387"/>
      <c r="O655" s="387"/>
      <c r="P655" s="381" t="str">
        <f t="shared" si="41"/>
        <v/>
      </c>
      <c r="Q655" s="382" t="str">
        <f t="array" ref="Q655">IFERROR(INDEX($D$13:$D$1000,MATCH(0,COUNTIF($Q$13:Q654,$D$13:$D$1000&amp;"")+IF($D$13:$D$1000="",1,0),0)),"")</f>
        <v/>
      </c>
      <c r="R655" s="356" t="str">
        <f t="shared" si="42"/>
        <v/>
      </c>
      <c r="S655" s="383" t="str">
        <f t="shared" si="40"/>
        <v/>
      </c>
      <c r="T655" s="384" t="str">
        <f t="shared" si="43"/>
        <v/>
      </c>
      <c r="U655" s="349"/>
      <c r="V655" s="385"/>
      <c r="W655" s="385"/>
      <c r="X655" s="386"/>
    </row>
    <row r="656" spans="2:24">
      <c r="B656" s="395"/>
      <c r="C656" s="371"/>
      <c r="D656" s="372" t="str">
        <f>IFERROR(INDEX('[11]Equipment List'!$B$2:$B$2038,MATCH(E656,'[11]Equipment List'!$A$2:$A$2038,0)),"")</f>
        <v/>
      </c>
      <c r="E656" s="388"/>
      <c r="F656" s="374"/>
      <c r="G656" s="375"/>
      <c r="H656" s="397"/>
      <c r="I656" s="377"/>
      <c r="J656" s="378"/>
      <c r="K656" s="379"/>
      <c r="L656" s="387"/>
      <c r="M656" s="380" t="str">
        <f t="array" ref="M656">IF(L656="","",(MAX(IF(AN$15:AN$144=B656,AO$15:AO$144))/60))</f>
        <v/>
      </c>
      <c r="N656" s="387"/>
      <c r="O656" s="387"/>
      <c r="P656" s="381" t="str">
        <f t="shared" si="41"/>
        <v/>
      </c>
      <c r="Q656" s="382" t="str">
        <f t="array" ref="Q656">IFERROR(INDEX($D$13:$D$1000,MATCH(0,COUNTIF($Q$13:Q655,$D$13:$D$1000&amp;"")+IF($D$13:$D$1000="",1,0),0)),"")</f>
        <v/>
      </c>
      <c r="R656" s="356" t="str">
        <f t="shared" si="42"/>
        <v/>
      </c>
      <c r="S656" s="383" t="str">
        <f t="shared" si="40"/>
        <v/>
      </c>
      <c r="T656" s="384" t="str">
        <f t="shared" si="43"/>
        <v/>
      </c>
      <c r="U656" s="349"/>
      <c r="V656" s="385"/>
      <c r="W656" s="385"/>
      <c r="X656" s="386"/>
    </row>
    <row r="657" spans="2:24">
      <c r="B657" s="395"/>
      <c r="C657" s="371"/>
      <c r="D657" s="372" t="str">
        <f>IFERROR(INDEX('[11]Equipment List'!$B$2:$B$2038,MATCH(E657,'[11]Equipment List'!$A$2:$A$2038,0)),"")</f>
        <v/>
      </c>
      <c r="E657" s="388"/>
      <c r="F657" s="374"/>
      <c r="G657" s="375"/>
      <c r="H657" s="397"/>
      <c r="I657" s="377"/>
      <c r="J657" s="378"/>
      <c r="K657" s="379"/>
      <c r="L657" s="387"/>
      <c r="M657" s="380" t="str">
        <f t="array" ref="M657">IF(L657="","",(MAX(IF(AN$15:AN$144=B657,AO$15:AO$144))/60))</f>
        <v/>
      </c>
      <c r="N657" s="387"/>
      <c r="O657" s="387"/>
      <c r="P657" s="381" t="str">
        <f t="shared" si="41"/>
        <v/>
      </c>
      <c r="Q657" s="382" t="str">
        <f t="array" ref="Q657">IFERROR(INDEX($D$13:$D$1000,MATCH(0,COUNTIF($Q$13:Q656,$D$13:$D$1000&amp;"")+IF($D$13:$D$1000="",1,0),0)),"")</f>
        <v/>
      </c>
      <c r="R657" s="356" t="str">
        <f t="shared" si="42"/>
        <v/>
      </c>
      <c r="S657" s="383" t="str">
        <f t="shared" si="40"/>
        <v/>
      </c>
      <c r="T657" s="384" t="str">
        <f t="shared" si="43"/>
        <v/>
      </c>
      <c r="U657" s="349"/>
      <c r="V657" s="385"/>
      <c r="W657" s="385"/>
      <c r="X657" s="386"/>
    </row>
    <row r="658" spans="2:24">
      <c r="B658" s="395"/>
      <c r="C658" s="371"/>
      <c r="D658" s="372" t="str">
        <f>IFERROR(INDEX('[11]Equipment List'!$B$2:$B$2038,MATCH(E658,'[11]Equipment List'!$A$2:$A$2038,0)),"")</f>
        <v/>
      </c>
      <c r="E658" s="388"/>
      <c r="F658" s="374"/>
      <c r="G658" s="375"/>
      <c r="H658" s="397"/>
      <c r="I658" s="377"/>
      <c r="J658" s="378"/>
      <c r="K658" s="379"/>
      <c r="L658" s="387"/>
      <c r="M658" s="380" t="str">
        <f t="array" ref="M658">IF(L658="","",(MAX(IF(AN$15:AN$144=B658,AO$15:AO$144))/60))</f>
        <v/>
      </c>
      <c r="N658" s="387"/>
      <c r="O658" s="387"/>
      <c r="P658" s="381" t="str">
        <f t="shared" si="41"/>
        <v/>
      </c>
      <c r="Q658" s="382" t="str">
        <f t="array" ref="Q658">IFERROR(INDEX($D$13:$D$1000,MATCH(0,COUNTIF($Q$13:Q657,$D$13:$D$1000&amp;"")+IF($D$13:$D$1000="",1,0),0)),"")</f>
        <v/>
      </c>
      <c r="R658" s="356" t="str">
        <f t="shared" si="42"/>
        <v/>
      </c>
      <c r="S658" s="383" t="str">
        <f t="shared" si="40"/>
        <v/>
      </c>
      <c r="T658" s="384" t="str">
        <f t="shared" si="43"/>
        <v/>
      </c>
      <c r="U658" s="349"/>
      <c r="V658" s="385"/>
      <c r="W658" s="385"/>
      <c r="X658" s="386"/>
    </row>
    <row r="659" spans="2:24">
      <c r="B659" s="395"/>
      <c r="C659" s="371"/>
      <c r="D659" s="372" t="str">
        <f>IFERROR(INDEX('[11]Equipment List'!$B$2:$B$2038,MATCH(E659,'[11]Equipment List'!$A$2:$A$2038,0)),"")</f>
        <v/>
      </c>
      <c r="E659" s="388"/>
      <c r="F659" s="374"/>
      <c r="G659" s="375"/>
      <c r="H659" s="397"/>
      <c r="I659" s="377"/>
      <c r="J659" s="378"/>
      <c r="K659" s="379"/>
      <c r="L659" s="387"/>
      <c r="M659" s="380" t="str">
        <f t="array" ref="M659">IF(L659="","",(MAX(IF(AN$15:AN$144=B659,AO$15:AO$144))/60))</f>
        <v/>
      </c>
      <c r="N659" s="387"/>
      <c r="O659" s="387"/>
      <c r="P659" s="381" t="str">
        <f t="shared" si="41"/>
        <v/>
      </c>
      <c r="Q659" s="382" t="str">
        <f t="array" ref="Q659">IFERROR(INDEX($D$13:$D$1000,MATCH(0,COUNTIF($Q$13:Q658,$D$13:$D$1000&amp;"")+IF($D$13:$D$1000="",1,0),0)),"")</f>
        <v/>
      </c>
      <c r="R659" s="356" t="str">
        <f t="shared" si="42"/>
        <v/>
      </c>
      <c r="S659" s="383" t="str">
        <f t="shared" si="40"/>
        <v/>
      </c>
      <c r="T659" s="384" t="str">
        <f t="shared" si="43"/>
        <v/>
      </c>
      <c r="U659" s="349"/>
      <c r="V659" s="385"/>
      <c r="W659" s="385"/>
      <c r="X659" s="386"/>
    </row>
    <row r="660" spans="2:24">
      <c r="B660" s="395"/>
      <c r="C660" s="371"/>
      <c r="D660" s="372" t="str">
        <f>IFERROR(INDEX('[11]Equipment List'!$B$2:$B$2038,MATCH(E660,'[11]Equipment List'!$A$2:$A$2038,0)),"")</f>
        <v/>
      </c>
      <c r="E660" s="388"/>
      <c r="F660" s="374"/>
      <c r="G660" s="375"/>
      <c r="H660" s="397"/>
      <c r="I660" s="377"/>
      <c r="J660" s="378"/>
      <c r="K660" s="379"/>
      <c r="L660" s="387"/>
      <c r="M660" s="380" t="str">
        <f t="array" ref="M660">IF(L660="","",(MAX(IF(AN$15:AN$144=B660,AO$15:AO$144))/60))</f>
        <v/>
      </c>
      <c r="N660" s="387"/>
      <c r="O660" s="387"/>
      <c r="P660" s="381" t="str">
        <f t="shared" si="41"/>
        <v/>
      </c>
      <c r="Q660" s="382" t="str">
        <f t="array" ref="Q660">IFERROR(INDEX($D$13:$D$1000,MATCH(0,COUNTIF($Q$13:Q659,$D$13:$D$1000&amp;"")+IF($D$13:$D$1000="",1,0),0)),"")</f>
        <v/>
      </c>
      <c r="R660" s="356" t="str">
        <f t="shared" si="42"/>
        <v/>
      </c>
      <c r="S660" s="383" t="str">
        <f t="shared" si="40"/>
        <v/>
      </c>
      <c r="T660" s="384" t="str">
        <f t="shared" si="43"/>
        <v/>
      </c>
      <c r="U660" s="349"/>
      <c r="V660" s="385"/>
      <c r="W660" s="385"/>
      <c r="X660" s="386"/>
    </row>
    <row r="661" spans="2:24">
      <c r="B661" s="395"/>
      <c r="C661" s="371"/>
      <c r="D661" s="372" t="str">
        <f>IFERROR(INDEX('[11]Equipment List'!$B$2:$B$2038,MATCH(E661,'[11]Equipment List'!$A$2:$A$2038,0)),"")</f>
        <v/>
      </c>
      <c r="E661" s="388"/>
      <c r="F661" s="374"/>
      <c r="G661" s="375"/>
      <c r="H661" s="397"/>
      <c r="I661" s="377"/>
      <c r="J661" s="378"/>
      <c r="K661" s="379"/>
      <c r="L661" s="387"/>
      <c r="M661" s="380" t="str">
        <f t="array" ref="M661">IF(L661="","",(MAX(IF(AN$15:AN$144=B661,AO$15:AO$144))/60))</f>
        <v/>
      </c>
      <c r="N661" s="387"/>
      <c r="O661" s="387"/>
      <c r="P661" s="381" t="str">
        <f t="shared" si="41"/>
        <v/>
      </c>
      <c r="Q661" s="382" t="str">
        <f t="array" ref="Q661">IFERROR(INDEX($D$13:$D$1000,MATCH(0,COUNTIF($Q$13:Q660,$D$13:$D$1000&amp;"")+IF($D$13:$D$1000="",1,0),0)),"")</f>
        <v/>
      </c>
      <c r="R661" s="356" t="str">
        <f t="shared" si="42"/>
        <v/>
      </c>
      <c r="S661" s="383" t="str">
        <f t="shared" si="40"/>
        <v/>
      </c>
      <c r="T661" s="384" t="str">
        <f t="shared" si="43"/>
        <v/>
      </c>
      <c r="U661" s="349"/>
      <c r="V661" s="385"/>
      <c r="W661" s="385"/>
      <c r="X661" s="386"/>
    </row>
    <row r="662" spans="2:24">
      <c r="B662" s="395"/>
      <c r="C662" s="371"/>
      <c r="D662" s="372" t="str">
        <f>IFERROR(INDEX('[11]Equipment List'!$B$2:$B$2038,MATCH(E662,'[11]Equipment List'!$A$2:$A$2038,0)),"")</f>
        <v/>
      </c>
      <c r="E662" s="388"/>
      <c r="F662" s="374"/>
      <c r="G662" s="375"/>
      <c r="H662" s="397"/>
      <c r="I662" s="377"/>
      <c r="J662" s="378"/>
      <c r="K662" s="379"/>
      <c r="L662" s="387"/>
      <c r="M662" s="380" t="str">
        <f t="array" ref="M662">IF(L662="","",(MAX(IF(AN$15:AN$144=B662,AO$15:AO$144))/60))</f>
        <v/>
      </c>
      <c r="N662" s="387"/>
      <c r="O662" s="387"/>
      <c r="P662" s="381" t="str">
        <f t="shared" si="41"/>
        <v/>
      </c>
      <c r="Q662" s="382" t="str">
        <f t="array" ref="Q662">IFERROR(INDEX($D$13:$D$1000,MATCH(0,COUNTIF($Q$13:Q661,$D$13:$D$1000&amp;"")+IF($D$13:$D$1000="",1,0),0)),"")</f>
        <v/>
      </c>
      <c r="R662" s="356" t="str">
        <f t="shared" si="42"/>
        <v/>
      </c>
      <c r="S662" s="383" t="str">
        <f t="shared" si="40"/>
        <v/>
      </c>
      <c r="T662" s="384" t="str">
        <f t="shared" si="43"/>
        <v/>
      </c>
      <c r="U662" s="349"/>
      <c r="V662" s="385"/>
      <c r="W662" s="385"/>
      <c r="X662" s="386"/>
    </row>
    <row r="663" spans="2:24">
      <c r="B663" s="395"/>
      <c r="C663" s="371"/>
      <c r="D663" s="372" t="str">
        <f>IFERROR(INDEX('[11]Equipment List'!$B$2:$B$2038,MATCH(E663,'[11]Equipment List'!$A$2:$A$2038,0)),"")</f>
        <v/>
      </c>
      <c r="E663" s="388"/>
      <c r="F663" s="374"/>
      <c r="G663" s="375"/>
      <c r="H663" s="397"/>
      <c r="I663" s="377"/>
      <c r="J663" s="378"/>
      <c r="K663" s="379"/>
      <c r="L663" s="387"/>
      <c r="M663" s="380" t="str">
        <f t="array" ref="M663">IF(L663="","",(MAX(IF(AN$15:AN$144=B663,AO$15:AO$144))/60))</f>
        <v/>
      </c>
      <c r="N663" s="387"/>
      <c r="O663" s="387"/>
      <c r="P663" s="381" t="str">
        <f t="shared" si="41"/>
        <v/>
      </c>
      <c r="Q663" s="382" t="str">
        <f t="array" ref="Q663">IFERROR(INDEX($D$13:$D$1000,MATCH(0,COUNTIF($Q$13:Q662,$D$13:$D$1000&amp;"")+IF($D$13:$D$1000="",1,0),0)),"")</f>
        <v/>
      </c>
      <c r="R663" s="356" t="str">
        <f t="shared" si="42"/>
        <v/>
      </c>
      <c r="S663" s="383" t="str">
        <f t="shared" si="40"/>
        <v/>
      </c>
      <c r="T663" s="384" t="str">
        <f t="shared" si="43"/>
        <v/>
      </c>
      <c r="U663" s="349"/>
      <c r="V663" s="385"/>
      <c r="W663" s="385"/>
      <c r="X663" s="386"/>
    </row>
    <row r="664" spans="2:24">
      <c r="B664" s="395"/>
      <c r="C664" s="371"/>
      <c r="D664" s="372" t="str">
        <f>IFERROR(INDEX('[11]Equipment List'!$B$2:$B$2038,MATCH(E664,'[11]Equipment List'!$A$2:$A$2038,0)),"")</f>
        <v/>
      </c>
      <c r="E664" s="388"/>
      <c r="F664" s="374"/>
      <c r="G664" s="375"/>
      <c r="H664" s="397"/>
      <c r="I664" s="377"/>
      <c r="J664" s="378"/>
      <c r="K664" s="379"/>
      <c r="L664" s="387"/>
      <c r="M664" s="380" t="str">
        <f t="array" ref="M664">IF(L664="","",(MAX(IF(AN$15:AN$144=B664,AO$15:AO$144))/60))</f>
        <v/>
      </c>
      <c r="N664" s="387"/>
      <c r="O664" s="387"/>
      <c r="P664" s="381" t="str">
        <f t="shared" si="41"/>
        <v/>
      </c>
      <c r="Q664" s="382" t="str">
        <f t="array" ref="Q664">IFERROR(INDEX($D$13:$D$1000,MATCH(0,COUNTIF($Q$13:Q663,$D$13:$D$1000&amp;"")+IF($D$13:$D$1000="",1,0),0)),"")</f>
        <v/>
      </c>
      <c r="R664" s="356" t="str">
        <f t="shared" si="42"/>
        <v/>
      </c>
      <c r="S664" s="383" t="str">
        <f t="shared" si="40"/>
        <v/>
      </c>
      <c r="T664" s="384" t="str">
        <f t="shared" si="43"/>
        <v/>
      </c>
      <c r="U664" s="349"/>
      <c r="V664" s="385"/>
      <c r="W664" s="385"/>
      <c r="X664" s="386"/>
    </row>
    <row r="665" spans="2:24">
      <c r="B665" s="395"/>
      <c r="C665" s="371"/>
      <c r="D665" s="372" t="str">
        <f>IFERROR(INDEX('[11]Equipment List'!$B$2:$B$2038,MATCH(E665,'[11]Equipment List'!$A$2:$A$2038,0)),"")</f>
        <v/>
      </c>
      <c r="E665" s="388"/>
      <c r="F665" s="374"/>
      <c r="G665" s="375"/>
      <c r="H665" s="397"/>
      <c r="I665" s="377"/>
      <c r="J665" s="378"/>
      <c r="K665" s="379"/>
      <c r="L665" s="387"/>
      <c r="M665" s="380" t="str">
        <f t="array" ref="M665">IF(L665="","",(MAX(IF(AN$15:AN$144=B665,AO$15:AO$144))/60))</f>
        <v/>
      </c>
      <c r="N665" s="387"/>
      <c r="O665" s="387"/>
      <c r="P665" s="381" t="str">
        <f t="shared" si="41"/>
        <v/>
      </c>
      <c r="Q665" s="382" t="str">
        <f t="array" ref="Q665">IFERROR(INDEX($D$13:$D$1000,MATCH(0,COUNTIF($Q$13:Q664,$D$13:$D$1000&amp;"")+IF($D$13:$D$1000="",1,0),0)),"")</f>
        <v/>
      </c>
      <c r="R665" s="356" t="str">
        <f t="shared" si="42"/>
        <v/>
      </c>
      <c r="S665" s="383" t="str">
        <f t="shared" si="40"/>
        <v/>
      </c>
      <c r="T665" s="384" t="str">
        <f t="shared" si="43"/>
        <v/>
      </c>
      <c r="U665" s="349"/>
      <c r="V665" s="385"/>
      <c r="W665" s="385"/>
      <c r="X665" s="386"/>
    </row>
    <row r="666" spans="2:24">
      <c r="B666" s="395"/>
      <c r="C666" s="371"/>
      <c r="D666" s="372" t="str">
        <f>IFERROR(INDEX('[11]Equipment List'!$B$2:$B$2038,MATCH(E666,'[11]Equipment List'!$A$2:$A$2038,0)),"")</f>
        <v/>
      </c>
      <c r="E666" s="388"/>
      <c r="F666" s="374"/>
      <c r="G666" s="375"/>
      <c r="H666" s="397"/>
      <c r="I666" s="377"/>
      <c r="J666" s="378"/>
      <c r="K666" s="379"/>
      <c r="L666" s="387"/>
      <c r="M666" s="380" t="str">
        <f t="array" ref="M666">IF(L666="","",(MAX(IF(AN$15:AN$144=B666,AO$15:AO$144))/60))</f>
        <v/>
      </c>
      <c r="N666" s="387"/>
      <c r="O666" s="387"/>
      <c r="P666" s="381" t="str">
        <f t="shared" si="41"/>
        <v/>
      </c>
      <c r="Q666" s="382" t="str">
        <f t="array" ref="Q666">IFERROR(INDEX($D$13:$D$1000,MATCH(0,COUNTIF($Q$13:Q665,$D$13:$D$1000&amp;"")+IF($D$13:$D$1000="",1,0),0)),"")</f>
        <v/>
      </c>
      <c r="R666" s="356" t="str">
        <f t="shared" si="42"/>
        <v/>
      </c>
      <c r="S666" s="383" t="str">
        <f t="shared" si="40"/>
        <v/>
      </c>
      <c r="T666" s="384" t="str">
        <f t="shared" si="43"/>
        <v/>
      </c>
      <c r="U666" s="349"/>
      <c r="V666" s="385"/>
      <c r="W666" s="385"/>
      <c r="X666" s="386"/>
    </row>
    <row r="667" spans="2:24">
      <c r="B667" s="395"/>
      <c r="C667" s="371"/>
      <c r="D667" s="372" t="str">
        <f>IFERROR(INDEX('[11]Equipment List'!$B$2:$B$2038,MATCH(E667,'[11]Equipment List'!$A$2:$A$2038,0)),"")</f>
        <v/>
      </c>
      <c r="E667" s="388"/>
      <c r="F667" s="374"/>
      <c r="G667" s="375"/>
      <c r="H667" s="397"/>
      <c r="I667" s="377"/>
      <c r="J667" s="378"/>
      <c r="K667" s="379"/>
      <c r="L667" s="387"/>
      <c r="M667" s="380" t="str">
        <f t="array" ref="M667">IF(L667="","",(MAX(IF(AN$15:AN$144=B667,AO$15:AO$144))/60))</f>
        <v/>
      </c>
      <c r="N667" s="387"/>
      <c r="O667" s="387"/>
      <c r="P667" s="381" t="str">
        <f t="shared" si="41"/>
        <v/>
      </c>
      <c r="Q667" s="382" t="str">
        <f t="array" ref="Q667">IFERROR(INDEX($D$13:$D$1000,MATCH(0,COUNTIF($Q$13:Q666,$D$13:$D$1000&amp;"")+IF($D$13:$D$1000="",1,0),0)),"")</f>
        <v/>
      </c>
      <c r="R667" s="356" t="str">
        <f t="shared" si="42"/>
        <v/>
      </c>
      <c r="S667" s="383" t="str">
        <f t="shared" si="40"/>
        <v/>
      </c>
      <c r="T667" s="384" t="str">
        <f t="shared" si="43"/>
        <v/>
      </c>
      <c r="U667" s="349"/>
      <c r="V667" s="385"/>
      <c r="W667" s="385"/>
      <c r="X667" s="386"/>
    </row>
    <row r="668" spans="2:24">
      <c r="B668" s="395"/>
      <c r="C668" s="371"/>
      <c r="D668" s="372" t="str">
        <f>IFERROR(INDEX('[11]Equipment List'!$B$2:$B$2038,MATCH(E668,'[11]Equipment List'!$A$2:$A$2038,0)),"")</f>
        <v/>
      </c>
      <c r="E668" s="388"/>
      <c r="F668" s="374"/>
      <c r="G668" s="375"/>
      <c r="H668" s="397"/>
      <c r="I668" s="377"/>
      <c r="J668" s="378"/>
      <c r="K668" s="379"/>
      <c r="L668" s="387"/>
      <c r="M668" s="380" t="str">
        <f t="array" ref="M668">IF(L668="","",(MAX(IF(AN$15:AN$144=B668,AO$15:AO$144))/60))</f>
        <v/>
      </c>
      <c r="N668" s="387"/>
      <c r="O668" s="387"/>
      <c r="P668" s="381" t="str">
        <f t="shared" si="41"/>
        <v/>
      </c>
      <c r="Q668" s="382" t="str">
        <f t="array" ref="Q668">IFERROR(INDEX($D$13:$D$1000,MATCH(0,COUNTIF($Q$13:Q667,$D$13:$D$1000&amp;"")+IF($D$13:$D$1000="",1,0),0)),"")</f>
        <v/>
      </c>
      <c r="R668" s="356" t="str">
        <f t="shared" si="42"/>
        <v/>
      </c>
      <c r="S668" s="383" t="str">
        <f t="shared" si="40"/>
        <v/>
      </c>
      <c r="T668" s="384" t="str">
        <f t="shared" si="43"/>
        <v/>
      </c>
      <c r="U668" s="349"/>
      <c r="V668" s="385"/>
      <c r="W668" s="385"/>
      <c r="X668" s="386"/>
    </row>
    <row r="669" spans="2:24">
      <c r="B669" s="395"/>
      <c r="C669" s="371"/>
      <c r="D669" s="372" t="str">
        <f>IFERROR(INDEX('[11]Equipment List'!$B$2:$B$2038,MATCH(E669,'[11]Equipment List'!$A$2:$A$2038,0)),"")</f>
        <v/>
      </c>
      <c r="E669" s="388"/>
      <c r="F669" s="374"/>
      <c r="G669" s="375"/>
      <c r="H669" s="397"/>
      <c r="I669" s="377"/>
      <c r="J669" s="378"/>
      <c r="K669" s="379"/>
      <c r="L669" s="387"/>
      <c r="M669" s="380" t="str">
        <f t="array" ref="M669">IF(L669="","",(MAX(IF(AN$15:AN$144=B669,AO$15:AO$144))/60))</f>
        <v/>
      </c>
      <c r="N669" s="387"/>
      <c r="O669" s="387"/>
      <c r="P669" s="381" t="str">
        <f t="shared" si="41"/>
        <v/>
      </c>
      <c r="Q669" s="382" t="str">
        <f t="array" ref="Q669">IFERROR(INDEX($D$13:$D$1000,MATCH(0,COUNTIF($Q$13:Q668,$D$13:$D$1000&amp;"")+IF($D$13:$D$1000="",1,0),0)),"")</f>
        <v/>
      </c>
      <c r="R669" s="356" t="str">
        <f t="shared" si="42"/>
        <v/>
      </c>
      <c r="S669" s="383" t="str">
        <f t="shared" si="40"/>
        <v/>
      </c>
      <c r="T669" s="384" t="str">
        <f t="shared" si="43"/>
        <v/>
      </c>
      <c r="U669" s="349"/>
      <c r="V669" s="385"/>
      <c r="W669" s="385"/>
      <c r="X669" s="386"/>
    </row>
    <row r="670" spans="2:24">
      <c r="B670" s="395"/>
      <c r="C670" s="371"/>
      <c r="D670" s="372" t="str">
        <f>IFERROR(INDEX('[11]Equipment List'!$B$2:$B$2038,MATCH(E670,'[11]Equipment List'!$A$2:$A$2038,0)),"")</f>
        <v/>
      </c>
      <c r="E670" s="388"/>
      <c r="F670" s="374"/>
      <c r="G670" s="375"/>
      <c r="H670" s="397"/>
      <c r="I670" s="377"/>
      <c r="J670" s="378"/>
      <c r="K670" s="379"/>
      <c r="L670" s="387"/>
      <c r="M670" s="380" t="str">
        <f t="array" ref="M670">IF(L670="","",(MAX(IF(AN$15:AN$144=B670,AO$15:AO$144))/60))</f>
        <v/>
      </c>
      <c r="N670" s="387"/>
      <c r="O670" s="387"/>
      <c r="P670" s="381" t="str">
        <f t="shared" si="41"/>
        <v/>
      </c>
      <c r="Q670" s="382" t="str">
        <f t="array" ref="Q670">IFERROR(INDEX($D$13:$D$1000,MATCH(0,COUNTIF($Q$13:Q669,$D$13:$D$1000&amp;"")+IF($D$13:$D$1000="",1,0),0)),"")</f>
        <v/>
      </c>
      <c r="R670" s="356" t="str">
        <f t="shared" si="42"/>
        <v/>
      </c>
      <c r="S670" s="383" t="str">
        <f t="shared" si="40"/>
        <v/>
      </c>
      <c r="T670" s="384" t="str">
        <f t="shared" si="43"/>
        <v/>
      </c>
      <c r="U670" s="349"/>
      <c r="V670" s="385"/>
      <c r="W670" s="385"/>
      <c r="X670" s="386"/>
    </row>
    <row r="671" spans="2:24">
      <c r="B671" s="395"/>
      <c r="C671" s="371"/>
      <c r="D671" s="372" t="str">
        <f>IFERROR(INDEX('[11]Equipment List'!$B$2:$B$2038,MATCH(E671,'[11]Equipment List'!$A$2:$A$2038,0)),"")</f>
        <v/>
      </c>
      <c r="E671" s="388"/>
      <c r="F671" s="374"/>
      <c r="G671" s="375"/>
      <c r="H671" s="397"/>
      <c r="I671" s="377"/>
      <c r="J671" s="378"/>
      <c r="K671" s="379"/>
      <c r="L671" s="387"/>
      <c r="M671" s="380" t="str">
        <f t="array" ref="M671">IF(L671="","",(MAX(IF(AN$15:AN$144=B671,AO$15:AO$144))/60))</f>
        <v/>
      </c>
      <c r="N671" s="387"/>
      <c r="O671" s="387"/>
      <c r="P671" s="381" t="str">
        <f t="shared" si="41"/>
        <v/>
      </c>
      <c r="Q671" s="382" t="str">
        <f t="array" ref="Q671">IFERROR(INDEX($D$13:$D$1000,MATCH(0,COUNTIF($Q$13:Q670,$D$13:$D$1000&amp;"")+IF($D$13:$D$1000="",1,0),0)),"")</f>
        <v/>
      </c>
      <c r="R671" s="356" t="str">
        <f t="shared" si="42"/>
        <v/>
      </c>
      <c r="S671" s="383" t="str">
        <f t="shared" si="40"/>
        <v/>
      </c>
      <c r="T671" s="384" t="str">
        <f t="shared" si="43"/>
        <v/>
      </c>
      <c r="U671" s="349"/>
      <c r="V671" s="385"/>
      <c r="W671" s="385"/>
      <c r="X671" s="386"/>
    </row>
    <row r="672" spans="2:24">
      <c r="B672" s="395"/>
      <c r="C672" s="371"/>
      <c r="D672" s="372" t="str">
        <f>IFERROR(INDEX('[11]Equipment List'!$B$2:$B$2038,MATCH(E672,'[11]Equipment List'!$A$2:$A$2038,0)),"")</f>
        <v/>
      </c>
      <c r="E672" s="388"/>
      <c r="F672" s="374"/>
      <c r="G672" s="375"/>
      <c r="H672" s="397"/>
      <c r="I672" s="377"/>
      <c r="J672" s="378"/>
      <c r="K672" s="379"/>
      <c r="L672" s="387"/>
      <c r="M672" s="380" t="str">
        <f t="array" ref="M672">IF(L672="","",(MAX(IF(AN$15:AN$144=B672,AO$15:AO$144))/60))</f>
        <v/>
      </c>
      <c r="N672" s="387"/>
      <c r="O672" s="387"/>
      <c r="P672" s="381" t="str">
        <f t="shared" si="41"/>
        <v/>
      </c>
      <c r="Q672" s="382" t="str">
        <f t="array" ref="Q672">IFERROR(INDEX($D$13:$D$1000,MATCH(0,COUNTIF($Q$13:Q671,$D$13:$D$1000&amp;"")+IF($D$13:$D$1000="",1,0),0)),"")</f>
        <v/>
      </c>
      <c r="R672" s="356" t="str">
        <f t="shared" si="42"/>
        <v/>
      </c>
      <c r="S672" s="383" t="str">
        <f t="shared" si="40"/>
        <v/>
      </c>
      <c r="T672" s="384" t="str">
        <f t="shared" si="43"/>
        <v/>
      </c>
      <c r="U672" s="349"/>
      <c r="V672" s="385"/>
      <c r="W672" s="385"/>
      <c r="X672" s="386"/>
    </row>
    <row r="673" spans="2:24">
      <c r="B673" s="395"/>
      <c r="C673" s="371"/>
      <c r="D673" s="372" t="str">
        <f>IFERROR(INDEX('[11]Equipment List'!$B$2:$B$2038,MATCH(E673,'[11]Equipment List'!$A$2:$A$2038,0)),"")</f>
        <v/>
      </c>
      <c r="E673" s="388"/>
      <c r="F673" s="374"/>
      <c r="G673" s="375"/>
      <c r="H673" s="397"/>
      <c r="I673" s="377"/>
      <c r="J673" s="378"/>
      <c r="K673" s="379"/>
      <c r="L673" s="387"/>
      <c r="M673" s="380" t="str">
        <f t="array" ref="M673">IF(L673="","",(MAX(IF(AN$15:AN$144=B673,AO$15:AO$144))/60))</f>
        <v/>
      </c>
      <c r="N673" s="387"/>
      <c r="O673" s="387"/>
      <c r="P673" s="381" t="str">
        <f t="shared" si="41"/>
        <v/>
      </c>
      <c r="Q673" s="382" t="str">
        <f t="array" ref="Q673">IFERROR(INDEX($D$13:$D$1000,MATCH(0,COUNTIF($Q$13:Q672,$D$13:$D$1000&amp;"")+IF($D$13:$D$1000="",1,0),0)),"")</f>
        <v/>
      </c>
      <c r="R673" s="356" t="str">
        <f t="shared" si="42"/>
        <v/>
      </c>
      <c r="S673" s="383" t="str">
        <f t="shared" si="40"/>
        <v/>
      </c>
      <c r="T673" s="384" t="str">
        <f t="shared" si="43"/>
        <v/>
      </c>
      <c r="U673" s="349"/>
      <c r="V673" s="385"/>
      <c r="W673" s="385"/>
      <c r="X673" s="386"/>
    </row>
    <row r="674" spans="2:24">
      <c r="B674" s="395"/>
      <c r="C674" s="371"/>
      <c r="D674" s="372" t="str">
        <f>IFERROR(INDEX('[11]Equipment List'!$B$2:$B$2038,MATCH(E674,'[11]Equipment List'!$A$2:$A$2038,0)),"")</f>
        <v/>
      </c>
      <c r="E674" s="388"/>
      <c r="F674" s="374"/>
      <c r="G674" s="375"/>
      <c r="H674" s="397"/>
      <c r="I674" s="377"/>
      <c r="J674" s="378"/>
      <c r="K674" s="379"/>
      <c r="L674" s="387"/>
      <c r="M674" s="380" t="str">
        <f t="array" ref="M674">IF(L674="","",(MAX(IF(AN$15:AN$144=B674,AO$15:AO$144))/60))</f>
        <v/>
      </c>
      <c r="N674" s="387"/>
      <c r="O674" s="387"/>
      <c r="P674" s="381" t="str">
        <f t="shared" si="41"/>
        <v/>
      </c>
      <c r="Q674" s="382" t="str">
        <f t="array" ref="Q674">IFERROR(INDEX($D$13:$D$1000,MATCH(0,COUNTIF($Q$13:Q673,$D$13:$D$1000&amp;"")+IF($D$13:$D$1000="",1,0),0)),"")</f>
        <v/>
      </c>
      <c r="R674" s="356" t="str">
        <f t="shared" si="42"/>
        <v/>
      </c>
      <c r="S674" s="383" t="str">
        <f t="shared" si="40"/>
        <v/>
      </c>
      <c r="T674" s="384" t="str">
        <f t="shared" si="43"/>
        <v/>
      </c>
      <c r="U674" s="349"/>
      <c r="V674" s="385"/>
      <c r="W674" s="385"/>
      <c r="X674" s="386"/>
    </row>
    <row r="675" spans="2:24">
      <c r="B675" s="395"/>
      <c r="C675" s="371"/>
      <c r="D675" s="372" t="str">
        <f>IFERROR(INDEX('[11]Equipment List'!$B$2:$B$2038,MATCH(E675,'[11]Equipment List'!$A$2:$A$2038,0)),"")</f>
        <v/>
      </c>
      <c r="E675" s="388"/>
      <c r="F675" s="374"/>
      <c r="G675" s="375"/>
      <c r="H675" s="397"/>
      <c r="I675" s="377"/>
      <c r="J675" s="378"/>
      <c r="K675" s="379"/>
      <c r="L675" s="387"/>
      <c r="M675" s="380" t="str">
        <f t="array" ref="M675">IF(L675="","",(MAX(IF(AN$15:AN$144=B675,AO$15:AO$144))/60))</f>
        <v/>
      </c>
      <c r="N675" s="387"/>
      <c r="O675" s="387"/>
      <c r="P675" s="381" t="str">
        <f t="shared" si="41"/>
        <v/>
      </c>
      <c r="Q675" s="382" t="str">
        <f t="array" ref="Q675">IFERROR(INDEX($D$13:$D$1000,MATCH(0,COUNTIF($Q$13:Q674,$D$13:$D$1000&amp;"")+IF($D$13:$D$1000="",1,0),0)),"")</f>
        <v/>
      </c>
      <c r="R675" s="356" t="str">
        <f t="shared" si="42"/>
        <v/>
      </c>
      <c r="S675" s="383" t="str">
        <f t="shared" si="40"/>
        <v/>
      </c>
      <c r="T675" s="384" t="str">
        <f t="shared" si="43"/>
        <v/>
      </c>
      <c r="U675" s="349"/>
      <c r="V675" s="385"/>
      <c r="W675" s="385"/>
      <c r="X675" s="386"/>
    </row>
    <row r="676" spans="2:24">
      <c r="B676" s="395"/>
      <c r="C676" s="371"/>
      <c r="D676" s="372" t="str">
        <f>IFERROR(INDEX('[11]Equipment List'!$B$2:$B$2038,MATCH(E676,'[11]Equipment List'!$A$2:$A$2038,0)),"")</f>
        <v/>
      </c>
      <c r="E676" s="388"/>
      <c r="F676" s="374"/>
      <c r="G676" s="375"/>
      <c r="H676" s="397"/>
      <c r="I676" s="377"/>
      <c r="J676" s="378"/>
      <c r="K676" s="379"/>
      <c r="L676" s="387"/>
      <c r="M676" s="380" t="str">
        <f t="array" ref="M676">IF(L676="","",(MAX(IF(AN$15:AN$144=B676,AO$15:AO$144))/60))</f>
        <v/>
      </c>
      <c r="N676" s="387"/>
      <c r="O676" s="387"/>
      <c r="P676" s="381" t="str">
        <f t="shared" si="41"/>
        <v/>
      </c>
      <c r="Q676" s="382" t="str">
        <f t="array" ref="Q676">IFERROR(INDEX($D$13:$D$1000,MATCH(0,COUNTIF($Q$13:Q675,$D$13:$D$1000&amp;"")+IF($D$13:$D$1000="",1,0),0)),"")</f>
        <v/>
      </c>
      <c r="R676" s="356" t="str">
        <f t="shared" si="42"/>
        <v/>
      </c>
      <c r="S676" s="383" t="str">
        <f t="shared" si="40"/>
        <v/>
      </c>
      <c r="T676" s="384" t="str">
        <f t="shared" si="43"/>
        <v/>
      </c>
      <c r="U676" s="349"/>
      <c r="V676" s="385"/>
      <c r="W676" s="385"/>
      <c r="X676" s="386"/>
    </row>
    <row r="677" spans="2:24">
      <c r="B677" s="395"/>
      <c r="C677" s="371"/>
      <c r="D677" s="372" t="str">
        <f>IFERROR(INDEX('[11]Equipment List'!$B$2:$B$2038,MATCH(E677,'[11]Equipment List'!$A$2:$A$2038,0)),"")</f>
        <v/>
      </c>
      <c r="E677" s="388"/>
      <c r="F677" s="374"/>
      <c r="G677" s="375"/>
      <c r="H677" s="397"/>
      <c r="I677" s="377"/>
      <c r="J677" s="378"/>
      <c r="K677" s="379"/>
      <c r="L677" s="387"/>
      <c r="M677" s="380" t="str">
        <f t="array" ref="M677">IF(L677="","",(MAX(IF(AN$15:AN$144=B677,AO$15:AO$144))/60))</f>
        <v/>
      </c>
      <c r="N677" s="387"/>
      <c r="O677" s="387"/>
      <c r="P677" s="381" t="str">
        <f t="shared" si="41"/>
        <v/>
      </c>
      <c r="Q677" s="382" t="str">
        <f t="array" ref="Q677">IFERROR(INDEX($D$13:$D$1000,MATCH(0,COUNTIF($Q$13:Q676,$D$13:$D$1000&amp;"")+IF($D$13:$D$1000="",1,0),0)),"")</f>
        <v/>
      </c>
      <c r="R677" s="356" t="str">
        <f t="shared" si="42"/>
        <v/>
      </c>
      <c r="S677" s="383" t="str">
        <f t="shared" si="40"/>
        <v/>
      </c>
      <c r="T677" s="384" t="str">
        <f t="shared" si="43"/>
        <v/>
      </c>
      <c r="U677" s="349"/>
      <c r="V677" s="385"/>
      <c r="W677" s="385"/>
      <c r="X677" s="386"/>
    </row>
    <row r="678" spans="2:24">
      <c r="B678" s="395"/>
      <c r="C678" s="371"/>
      <c r="D678" s="372" t="str">
        <f>IFERROR(INDEX('[11]Equipment List'!$B$2:$B$2038,MATCH(E678,'[11]Equipment List'!$A$2:$A$2038,0)),"")</f>
        <v/>
      </c>
      <c r="E678" s="388"/>
      <c r="F678" s="374"/>
      <c r="G678" s="375"/>
      <c r="H678" s="397"/>
      <c r="I678" s="377"/>
      <c r="J678" s="378"/>
      <c r="K678" s="379"/>
      <c r="L678" s="387"/>
      <c r="M678" s="380" t="str">
        <f t="array" ref="M678">IF(L678="","",(MAX(IF(AN$15:AN$144=B678,AO$15:AO$144))/60))</f>
        <v/>
      </c>
      <c r="N678" s="387"/>
      <c r="O678" s="387"/>
      <c r="P678" s="381" t="str">
        <f t="shared" si="41"/>
        <v/>
      </c>
      <c r="Q678" s="382" t="str">
        <f t="array" ref="Q678">IFERROR(INDEX($D$13:$D$1000,MATCH(0,COUNTIF($Q$13:Q677,$D$13:$D$1000&amp;"")+IF($D$13:$D$1000="",1,0),0)),"")</f>
        <v/>
      </c>
      <c r="R678" s="356" t="str">
        <f t="shared" si="42"/>
        <v/>
      </c>
      <c r="S678" s="383" t="str">
        <f t="shared" si="40"/>
        <v/>
      </c>
      <c r="T678" s="384" t="str">
        <f t="shared" si="43"/>
        <v/>
      </c>
      <c r="U678" s="349"/>
      <c r="V678" s="385"/>
      <c r="W678" s="385"/>
      <c r="X678" s="386"/>
    </row>
    <row r="679" spans="2:24">
      <c r="B679" s="395"/>
      <c r="C679" s="371"/>
      <c r="D679" s="372" t="str">
        <f>IFERROR(INDEX('[11]Equipment List'!$B$2:$B$2038,MATCH(E679,'[11]Equipment List'!$A$2:$A$2038,0)),"")</f>
        <v/>
      </c>
      <c r="E679" s="388"/>
      <c r="F679" s="374"/>
      <c r="G679" s="375"/>
      <c r="H679" s="397"/>
      <c r="I679" s="377"/>
      <c r="J679" s="378"/>
      <c r="K679" s="379"/>
      <c r="L679" s="387"/>
      <c r="M679" s="380" t="str">
        <f t="array" ref="M679">IF(L679="","",(MAX(IF(AN$15:AN$144=B679,AO$15:AO$144))/60))</f>
        <v/>
      </c>
      <c r="N679" s="387"/>
      <c r="O679" s="387"/>
      <c r="P679" s="381" t="str">
        <f t="shared" si="41"/>
        <v/>
      </c>
      <c r="Q679" s="382" t="str">
        <f t="array" ref="Q679">IFERROR(INDEX($D$13:$D$1000,MATCH(0,COUNTIF($Q$13:Q678,$D$13:$D$1000&amp;"")+IF($D$13:$D$1000="",1,0),0)),"")</f>
        <v/>
      </c>
      <c r="R679" s="356" t="str">
        <f t="shared" si="42"/>
        <v/>
      </c>
      <c r="S679" s="383" t="str">
        <f t="shared" si="40"/>
        <v/>
      </c>
      <c r="T679" s="384" t="str">
        <f t="shared" si="43"/>
        <v/>
      </c>
      <c r="U679" s="349"/>
      <c r="V679" s="385"/>
      <c r="W679" s="385"/>
      <c r="X679" s="386"/>
    </row>
    <row r="680" spans="2:24">
      <c r="B680" s="395"/>
      <c r="C680" s="371"/>
      <c r="D680" s="372" t="str">
        <f>IFERROR(INDEX('[11]Equipment List'!$B$2:$B$2038,MATCH(E680,'[11]Equipment List'!$A$2:$A$2038,0)),"")</f>
        <v/>
      </c>
      <c r="E680" s="388"/>
      <c r="F680" s="374"/>
      <c r="G680" s="375"/>
      <c r="H680" s="397"/>
      <c r="I680" s="377"/>
      <c r="J680" s="378"/>
      <c r="K680" s="379"/>
      <c r="L680" s="387"/>
      <c r="M680" s="380" t="str">
        <f t="array" ref="M680">IF(L680="","",(MAX(IF(AN$15:AN$144=B680,AO$15:AO$144))/60))</f>
        <v/>
      </c>
      <c r="N680" s="387"/>
      <c r="O680" s="387"/>
      <c r="P680" s="381" t="str">
        <f t="shared" si="41"/>
        <v/>
      </c>
      <c r="Q680" s="382" t="str">
        <f t="array" ref="Q680">IFERROR(INDEX($D$13:$D$1000,MATCH(0,COUNTIF($Q$13:Q679,$D$13:$D$1000&amp;"")+IF($D$13:$D$1000="",1,0),0)),"")</f>
        <v/>
      </c>
      <c r="R680" s="356" t="str">
        <f t="shared" si="42"/>
        <v/>
      </c>
      <c r="S680" s="383" t="str">
        <f t="shared" si="40"/>
        <v/>
      </c>
      <c r="T680" s="384" t="str">
        <f t="shared" si="43"/>
        <v/>
      </c>
      <c r="U680" s="349"/>
      <c r="V680" s="385"/>
      <c r="W680" s="385"/>
      <c r="X680" s="386"/>
    </row>
    <row r="681" spans="2:24">
      <c r="B681" s="395"/>
      <c r="C681" s="371"/>
      <c r="D681" s="372" t="str">
        <f>IFERROR(INDEX('[11]Equipment List'!$B$2:$B$2038,MATCH(E681,'[11]Equipment List'!$A$2:$A$2038,0)),"")</f>
        <v/>
      </c>
      <c r="E681" s="388"/>
      <c r="F681" s="374"/>
      <c r="G681" s="375"/>
      <c r="H681" s="397"/>
      <c r="I681" s="377"/>
      <c r="J681" s="378"/>
      <c r="K681" s="379"/>
      <c r="L681" s="387"/>
      <c r="M681" s="380" t="str">
        <f t="array" ref="M681">IF(L681="","",(MAX(IF(AN$15:AN$144=B681,AO$15:AO$144))/60))</f>
        <v/>
      </c>
      <c r="N681" s="387"/>
      <c r="O681" s="387"/>
      <c r="P681" s="381" t="str">
        <f t="shared" si="41"/>
        <v/>
      </c>
      <c r="Q681" s="382" t="str">
        <f t="array" ref="Q681">IFERROR(INDEX($D$13:$D$1000,MATCH(0,COUNTIF($Q$13:Q680,$D$13:$D$1000&amp;"")+IF($D$13:$D$1000="",1,0),0)),"")</f>
        <v/>
      </c>
      <c r="R681" s="356" t="str">
        <f t="shared" si="42"/>
        <v/>
      </c>
      <c r="S681" s="383" t="str">
        <f t="shared" si="40"/>
        <v/>
      </c>
      <c r="T681" s="384" t="str">
        <f t="shared" si="43"/>
        <v/>
      </c>
      <c r="U681" s="349"/>
      <c r="V681" s="385"/>
      <c r="W681" s="385"/>
      <c r="X681" s="386"/>
    </row>
    <row r="682" spans="2:24">
      <c r="B682" s="395"/>
      <c r="C682" s="371"/>
      <c r="D682" s="372" t="str">
        <f>IFERROR(INDEX('[11]Equipment List'!$B$2:$B$2038,MATCH(E682,'[11]Equipment List'!$A$2:$A$2038,0)),"")</f>
        <v/>
      </c>
      <c r="E682" s="388"/>
      <c r="F682" s="374"/>
      <c r="G682" s="375"/>
      <c r="H682" s="397"/>
      <c r="I682" s="377"/>
      <c r="J682" s="378"/>
      <c r="K682" s="379"/>
      <c r="L682" s="387"/>
      <c r="M682" s="380" t="str">
        <f t="array" ref="M682">IF(L682="","",(MAX(IF(AN$15:AN$144=B682,AO$15:AO$144))/60))</f>
        <v/>
      </c>
      <c r="N682" s="387"/>
      <c r="O682" s="387"/>
      <c r="P682" s="381" t="str">
        <f t="shared" si="41"/>
        <v/>
      </c>
      <c r="Q682" s="382" t="str">
        <f t="array" ref="Q682">IFERROR(INDEX($D$13:$D$1000,MATCH(0,COUNTIF($Q$13:Q681,$D$13:$D$1000&amp;"")+IF($D$13:$D$1000="",1,0),0)),"")</f>
        <v/>
      </c>
      <c r="R682" s="356" t="str">
        <f t="shared" si="42"/>
        <v/>
      </c>
      <c r="S682" s="383" t="str">
        <f t="shared" si="40"/>
        <v/>
      </c>
      <c r="T682" s="384" t="str">
        <f t="shared" si="43"/>
        <v/>
      </c>
      <c r="U682" s="349"/>
      <c r="V682" s="385"/>
      <c r="W682" s="385"/>
      <c r="X682" s="386"/>
    </row>
    <row r="683" spans="2:24">
      <c r="B683" s="395"/>
      <c r="C683" s="371"/>
      <c r="D683" s="372" t="str">
        <f>IFERROR(INDEX('[11]Equipment List'!$B$2:$B$2038,MATCH(E683,'[11]Equipment List'!$A$2:$A$2038,0)),"")</f>
        <v/>
      </c>
      <c r="E683" s="388"/>
      <c r="F683" s="374"/>
      <c r="G683" s="375"/>
      <c r="H683" s="397"/>
      <c r="I683" s="377"/>
      <c r="J683" s="378"/>
      <c r="K683" s="379"/>
      <c r="L683" s="387"/>
      <c r="M683" s="380" t="str">
        <f t="array" ref="M683">IF(L683="","",(MAX(IF(AN$15:AN$144=B683,AO$15:AO$144))/60))</f>
        <v/>
      </c>
      <c r="N683" s="387"/>
      <c r="O683" s="387"/>
      <c r="P683" s="381" t="str">
        <f t="shared" si="41"/>
        <v/>
      </c>
      <c r="Q683" s="382" t="str">
        <f t="array" ref="Q683">IFERROR(INDEX($D$13:$D$1000,MATCH(0,COUNTIF($Q$13:Q682,$D$13:$D$1000&amp;"")+IF($D$13:$D$1000="",1,0),0)),"")</f>
        <v/>
      </c>
      <c r="R683" s="356" t="str">
        <f t="shared" si="42"/>
        <v/>
      </c>
      <c r="S683" s="383" t="str">
        <f t="shared" ref="S683:S746" si="44">IF($Q683="","",SUMIF($D$13:$D$1000,$Q683,I$13:I$1000))</f>
        <v/>
      </c>
      <c r="T683" s="384" t="str">
        <f t="shared" si="43"/>
        <v/>
      </c>
      <c r="U683" s="349"/>
      <c r="V683" s="385"/>
      <c r="W683" s="385"/>
      <c r="X683" s="386"/>
    </row>
    <row r="684" spans="2:24">
      <c r="B684" s="395"/>
      <c r="C684" s="371"/>
      <c r="D684" s="372" t="str">
        <f>IFERROR(INDEX('[11]Equipment List'!$B$2:$B$2038,MATCH(E684,'[11]Equipment List'!$A$2:$A$2038,0)),"")</f>
        <v/>
      </c>
      <c r="E684" s="388"/>
      <c r="F684" s="374"/>
      <c r="G684" s="375"/>
      <c r="H684" s="397"/>
      <c r="I684" s="377"/>
      <c r="J684" s="378"/>
      <c r="K684" s="379"/>
      <c r="L684" s="387"/>
      <c r="M684" s="380" t="str">
        <f t="array" ref="M684">IF(L684="","",(MAX(IF(AN$15:AN$144=B684,AO$15:AO$144))/60))</f>
        <v/>
      </c>
      <c r="N684" s="387"/>
      <c r="O684" s="387"/>
      <c r="P684" s="381" t="str">
        <f t="shared" si="41"/>
        <v/>
      </c>
      <c r="Q684" s="382" t="str">
        <f t="array" ref="Q684">IFERROR(INDEX($D$13:$D$1000,MATCH(0,COUNTIF($Q$13:Q683,$D$13:$D$1000&amp;"")+IF($D$13:$D$1000="",1,0),0)),"")</f>
        <v/>
      </c>
      <c r="R684" s="356" t="str">
        <f t="shared" si="42"/>
        <v/>
      </c>
      <c r="S684" s="383" t="str">
        <f t="shared" si="44"/>
        <v/>
      </c>
      <c r="T684" s="384" t="str">
        <f t="shared" si="43"/>
        <v/>
      </c>
      <c r="U684" s="349"/>
      <c r="V684" s="385"/>
      <c r="W684" s="385"/>
      <c r="X684" s="386"/>
    </row>
    <row r="685" spans="2:24">
      <c r="B685" s="395"/>
      <c r="C685" s="371"/>
      <c r="D685" s="372" t="str">
        <f>IFERROR(INDEX('[11]Equipment List'!$B$2:$B$2038,MATCH(E685,'[11]Equipment List'!$A$2:$A$2038,0)),"")</f>
        <v/>
      </c>
      <c r="E685" s="388"/>
      <c r="F685" s="374"/>
      <c r="G685" s="375"/>
      <c r="H685" s="397"/>
      <c r="I685" s="377"/>
      <c r="J685" s="378"/>
      <c r="K685" s="379"/>
      <c r="L685" s="387"/>
      <c r="M685" s="380" t="str">
        <f t="array" ref="M685">IF(L685="","",(MAX(IF(AN$15:AN$144=B685,AO$15:AO$144))/60))</f>
        <v/>
      </c>
      <c r="N685" s="387"/>
      <c r="O685" s="387"/>
      <c r="P685" s="381" t="str">
        <f t="shared" si="41"/>
        <v/>
      </c>
      <c r="Q685" s="382" t="str">
        <f t="array" ref="Q685">IFERROR(INDEX($D$13:$D$1000,MATCH(0,COUNTIF($Q$13:Q684,$D$13:$D$1000&amp;"")+IF($D$13:$D$1000="",1,0),0)),"")</f>
        <v/>
      </c>
      <c r="R685" s="356" t="str">
        <f t="shared" si="42"/>
        <v/>
      </c>
      <c r="S685" s="383" t="str">
        <f t="shared" si="44"/>
        <v/>
      </c>
      <c r="T685" s="384" t="str">
        <f t="shared" si="43"/>
        <v/>
      </c>
      <c r="U685" s="349"/>
      <c r="V685" s="385"/>
      <c r="W685" s="385"/>
      <c r="X685" s="386"/>
    </row>
    <row r="686" spans="2:24">
      <c r="B686" s="395"/>
      <c r="C686" s="371"/>
      <c r="D686" s="372" t="str">
        <f>IFERROR(INDEX('[11]Equipment List'!$B$2:$B$2038,MATCH(E686,'[11]Equipment List'!$A$2:$A$2038,0)),"")</f>
        <v/>
      </c>
      <c r="E686" s="388"/>
      <c r="F686" s="374"/>
      <c r="G686" s="375"/>
      <c r="H686" s="397"/>
      <c r="I686" s="377"/>
      <c r="J686" s="378"/>
      <c r="K686" s="379"/>
      <c r="L686" s="387"/>
      <c r="M686" s="380" t="str">
        <f t="array" ref="M686">IF(L686="","",(MAX(IF(AN$15:AN$144=B686,AO$15:AO$144))/60))</f>
        <v/>
      </c>
      <c r="N686" s="387"/>
      <c r="O686" s="387"/>
      <c r="P686" s="381" t="str">
        <f t="shared" si="41"/>
        <v/>
      </c>
      <c r="Q686" s="382" t="str">
        <f t="array" ref="Q686">IFERROR(INDEX($D$13:$D$1000,MATCH(0,COUNTIF($Q$13:Q685,$D$13:$D$1000&amp;"")+IF($D$13:$D$1000="",1,0),0)),"")</f>
        <v/>
      </c>
      <c r="R686" s="356" t="str">
        <f t="shared" si="42"/>
        <v/>
      </c>
      <c r="S686" s="383" t="str">
        <f t="shared" si="44"/>
        <v/>
      </c>
      <c r="T686" s="384" t="str">
        <f t="shared" si="43"/>
        <v/>
      </c>
      <c r="U686" s="349"/>
      <c r="V686" s="385"/>
      <c r="W686" s="385"/>
      <c r="X686" s="386"/>
    </row>
    <row r="687" spans="2:24">
      <c r="B687" s="395"/>
      <c r="C687" s="371"/>
      <c r="D687" s="372" t="str">
        <f>IFERROR(INDEX('[11]Equipment List'!$B$2:$B$2038,MATCH(E687,'[11]Equipment List'!$A$2:$A$2038,0)),"")</f>
        <v/>
      </c>
      <c r="E687" s="388"/>
      <c r="F687" s="374"/>
      <c r="G687" s="375"/>
      <c r="H687" s="397"/>
      <c r="I687" s="377"/>
      <c r="J687" s="378"/>
      <c r="K687" s="379"/>
      <c r="L687" s="387"/>
      <c r="M687" s="380" t="str">
        <f t="array" ref="M687">IF(L687="","",(MAX(IF(AN$15:AN$144=B687,AO$15:AO$144))/60))</f>
        <v/>
      </c>
      <c r="N687" s="387"/>
      <c r="O687" s="387"/>
      <c r="P687" s="381" t="str">
        <f t="shared" si="41"/>
        <v/>
      </c>
      <c r="Q687" s="382" t="str">
        <f t="array" ref="Q687">IFERROR(INDEX($D$13:$D$1000,MATCH(0,COUNTIF($Q$13:Q686,$D$13:$D$1000&amp;"")+IF($D$13:$D$1000="",1,0),0)),"")</f>
        <v/>
      </c>
      <c r="R687" s="356" t="str">
        <f t="shared" si="42"/>
        <v/>
      </c>
      <c r="S687" s="383" t="str">
        <f t="shared" si="44"/>
        <v/>
      </c>
      <c r="T687" s="384" t="str">
        <f t="shared" si="43"/>
        <v/>
      </c>
      <c r="U687" s="349"/>
      <c r="V687" s="385"/>
      <c r="W687" s="385"/>
      <c r="X687" s="386"/>
    </row>
    <row r="688" spans="2:24">
      <c r="B688" s="395"/>
      <c r="C688" s="371"/>
      <c r="D688" s="372" t="str">
        <f>IFERROR(INDEX('[11]Equipment List'!$B$2:$B$2038,MATCH(E688,'[11]Equipment List'!$A$2:$A$2038,0)),"")</f>
        <v/>
      </c>
      <c r="E688" s="388"/>
      <c r="F688" s="374"/>
      <c r="G688" s="375"/>
      <c r="H688" s="397"/>
      <c r="I688" s="377"/>
      <c r="J688" s="378"/>
      <c r="K688" s="379"/>
      <c r="L688" s="387"/>
      <c r="M688" s="380" t="str">
        <f t="array" ref="M688">IF(L688="","",(MAX(IF(AN$15:AN$144=B688,AO$15:AO$144))/60))</f>
        <v/>
      </c>
      <c r="N688" s="387"/>
      <c r="O688" s="387"/>
      <c r="P688" s="381" t="str">
        <f t="shared" si="41"/>
        <v/>
      </c>
      <c r="Q688" s="382" t="str">
        <f t="array" ref="Q688">IFERROR(INDEX($D$13:$D$1000,MATCH(0,COUNTIF($Q$13:Q687,$D$13:$D$1000&amp;"")+IF($D$13:$D$1000="",1,0),0)),"")</f>
        <v/>
      </c>
      <c r="R688" s="356" t="str">
        <f t="shared" si="42"/>
        <v/>
      </c>
      <c r="S688" s="383" t="str">
        <f t="shared" si="44"/>
        <v/>
      </c>
      <c r="T688" s="384" t="str">
        <f t="shared" si="43"/>
        <v/>
      </c>
      <c r="U688" s="349"/>
      <c r="V688" s="385"/>
      <c r="W688" s="385"/>
      <c r="X688" s="386"/>
    </row>
    <row r="689" spans="2:24">
      <c r="B689" s="395"/>
      <c r="C689" s="371"/>
      <c r="D689" s="372" t="str">
        <f>IFERROR(INDEX('[11]Equipment List'!$B$2:$B$2038,MATCH(E689,'[11]Equipment List'!$A$2:$A$2038,0)),"")</f>
        <v/>
      </c>
      <c r="E689" s="388"/>
      <c r="F689" s="374"/>
      <c r="G689" s="375"/>
      <c r="H689" s="397"/>
      <c r="I689" s="377"/>
      <c r="J689" s="378"/>
      <c r="K689" s="379"/>
      <c r="L689" s="387"/>
      <c r="M689" s="380" t="str">
        <f t="array" ref="M689">IF(L689="","",(MAX(IF(AN$15:AN$144=B689,AO$15:AO$144))/60))</f>
        <v/>
      </c>
      <c r="N689" s="387"/>
      <c r="O689" s="387"/>
      <c r="P689" s="381" t="str">
        <f t="shared" si="41"/>
        <v/>
      </c>
      <c r="Q689" s="382" t="str">
        <f t="array" ref="Q689">IFERROR(INDEX($D$13:$D$1000,MATCH(0,COUNTIF($Q$13:Q688,$D$13:$D$1000&amp;"")+IF($D$13:$D$1000="",1,0),0)),"")</f>
        <v/>
      </c>
      <c r="R689" s="356" t="str">
        <f t="shared" si="42"/>
        <v/>
      </c>
      <c r="S689" s="383" t="str">
        <f t="shared" si="44"/>
        <v/>
      </c>
      <c r="T689" s="384" t="str">
        <f t="shared" si="43"/>
        <v/>
      </c>
      <c r="U689" s="349"/>
      <c r="V689" s="385"/>
      <c r="W689" s="385"/>
      <c r="X689" s="386"/>
    </row>
    <row r="690" spans="2:24">
      <c r="B690" s="395"/>
      <c r="C690" s="371"/>
      <c r="D690" s="372" t="str">
        <f>IFERROR(INDEX('[11]Equipment List'!$B$2:$B$2038,MATCH(E690,'[11]Equipment List'!$A$2:$A$2038,0)),"")</f>
        <v/>
      </c>
      <c r="E690" s="388"/>
      <c r="F690" s="374"/>
      <c r="G690" s="375"/>
      <c r="H690" s="397"/>
      <c r="I690" s="377"/>
      <c r="J690" s="378"/>
      <c r="K690" s="379"/>
      <c r="L690" s="387"/>
      <c r="M690" s="380" t="str">
        <f t="array" ref="M690">IF(L690="","",(MAX(IF(AN$15:AN$144=B690,AO$15:AO$144))/60))</f>
        <v/>
      </c>
      <c r="N690" s="387"/>
      <c r="O690" s="387"/>
      <c r="P690" s="381" t="str">
        <f t="shared" si="41"/>
        <v/>
      </c>
      <c r="Q690" s="382" t="str">
        <f t="array" ref="Q690">IFERROR(INDEX($D$13:$D$1000,MATCH(0,COUNTIF($Q$13:Q689,$D$13:$D$1000&amp;"")+IF($D$13:$D$1000="",1,0),0)),"")</f>
        <v/>
      </c>
      <c r="R690" s="356" t="str">
        <f t="shared" si="42"/>
        <v/>
      </c>
      <c r="S690" s="383" t="str">
        <f t="shared" si="44"/>
        <v/>
      </c>
      <c r="T690" s="384" t="str">
        <f t="shared" si="43"/>
        <v/>
      </c>
      <c r="U690" s="349"/>
      <c r="V690" s="385"/>
      <c r="W690" s="385"/>
      <c r="X690" s="386"/>
    </row>
    <row r="691" spans="2:24">
      <c r="B691" s="395"/>
      <c r="C691" s="371"/>
      <c r="D691" s="372" t="str">
        <f>IFERROR(INDEX('[11]Equipment List'!$B$2:$B$2038,MATCH(E691,'[11]Equipment List'!$A$2:$A$2038,0)),"")</f>
        <v/>
      </c>
      <c r="E691" s="388"/>
      <c r="F691" s="374"/>
      <c r="G691" s="375"/>
      <c r="H691" s="397"/>
      <c r="I691" s="377"/>
      <c r="J691" s="378"/>
      <c r="K691" s="379"/>
      <c r="L691" s="387"/>
      <c r="M691" s="380" t="str">
        <f t="array" ref="M691">IF(L691="","",(MAX(IF(AN$15:AN$144=B691,AO$15:AO$144))/60))</f>
        <v/>
      </c>
      <c r="N691" s="387"/>
      <c r="O691" s="387"/>
      <c r="P691" s="381" t="str">
        <f t="shared" si="41"/>
        <v/>
      </c>
      <c r="Q691" s="382" t="str">
        <f t="array" ref="Q691">IFERROR(INDEX($D$13:$D$1000,MATCH(0,COUNTIF($Q$13:Q690,$D$13:$D$1000&amp;"")+IF($D$13:$D$1000="",1,0),0)),"")</f>
        <v/>
      </c>
      <c r="R691" s="356" t="str">
        <f t="shared" si="42"/>
        <v/>
      </c>
      <c r="S691" s="383" t="str">
        <f t="shared" si="44"/>
        <v/>
      </c>
      <c r="T691" s="384" t="str">
        <f t="shared" si="43"/>
        <v/>
      </c>
      <c r="U691" s="349"/>
      <c r="V691" s="385"/>
      <c r="W691" s="385"/>
      <c r="X691" s="386"/>
    </row>
    <row r="692" spans="2:24">
      <c r="B692" s="395"/>
      <c r="C692" s="371"/>
      <c r="D692" s="372" t="str">
        <f>IFERROR(INDEX('[11]Equipment List'!$B$2:$B$2038,MATCH(E692,'[11]Equipment List'!$A$2:$A$2038,0)),"")</f>
        <v/>
      </c>
      <c r="E692" s="388"/>
      <c r="F692" s="374"/>
      <c r="G692" s="375"/>
      <c r="H692" s="397"/>
      <c r="I692" s="377"/>
      <c r="J692" s="378"/>
      <c r="K692" s="379"/>
      <c r="L692" s="387"/>
      <c r="M692" s="380" t="str">
        <f t="array" ref="M692">IF(L692="","",(MAX(IF(AN$15:AN$144=B692,AO$15:AO$144))/60))</f>
        <v/>
      </c>
      <c r="N692" s="387"/>
      <c r="O692" s="387"/>
      <c r="P692" s="381" t="str">
        <f t="shared" si="41"/>
        <v/>
      </c>
      <c r="Q692" s="382" t="str">
        <f t="array" ref="Q692">IFERROR(INDEX($D$13:$D$1000,MATCH(0,COUNTIF($Q$13:Q691,$D$13:$D$1000&amp;"")+IF($D$13:$D$1000="",1,0),0)),"")</f>
        <v/>
      </c>
      <c r="R692" s="356" t="str">
        <f t="shared" si="42"/>
        <v/>
      </c>
      <c r="S692" s="383" t="str">
        <f t="shared" si="44"/>
        <v/>
      </c>
      <c r="T692" s="384" t="str">
        <f t="shared" si="43"/>
        <v/>
      </c>
      <c r="U692" s="349"/>
      <c r="V692" s="385"/>
      <c r="W692" s="385"/>
      <c r="X692" s="386"/>
    </row>
    <row r="693" spans="2:24">
      <c r="B693" s="395"/>
      <c r="C693" s="371"/>
      <c r="D693" s="372" t="str">
        <f>IFERROR(INDEX('[11]Equipment List'!$B$2:$B$2038,MATCH(E693,'[11]Equipment List'!$A$2:$A$2038,0)),"")</f>
        <v/>
      </c>
      <c r="E693" s="388"/>
      <c r="F693" s="374"/>
      <c r="G693" s="375"/>
      <c r="H693" s="397"/>
      <c r="I693" s="377"/>
      <c r="J693" s="378"/>
      <c r="K693" s="379"/>
      <c r="L693" s="387"/>
      <c r="M693" s="380" t="str">
        <f t="array" ref="M693">IF(L693="","",(MAX(IF(AN$15:AN$144=B693,AO$15:AO$144))/60))</f>
        <v/>
      </c>
      <c r="N693" s="387"/>
      <c r="O693" s="387"/>
      <c r="P693" s="381" t="str">
        <f t="shared" si="41"/>
        <v/>
      </c>
      <c r="Q693" s="382" t="str">
        <f t="array" ref="Q693">IFERROR(INDEX($D$13:$D$1000,MATCH(0,COUNTIF($Q$13:Q692,$D$13:$D$1000&amp;"")+IF($D$13:$D$1000="",1,0),0)),"")</f>
        <v/>
      </c>
      <c r="R693" s="356" t="str">
        <f t="shared" si="42"/>
        <v/>
      </c>
      <c r="S693" s="383" t="str">
        <f t="shared" si="44"/>
        <v/>
      </c>
      <c r="T693" s="384" t="str">
        <f t="shared" si="43"/>
        <v/>
      </c>
      <c r="U693" s="349"/>
      <c r="V693" s="385"/>
      <c r="W693" s="385"/>
      <c r="X693" s="386"/>
    </row>
    <row r="694" spans="2:24">
      <c r="B694" s="395"/>
      <c r="C694" s="371"/>
      <c r="D694" s="372" t="str">
        <f>IFERROR(INDEX('[11]Equipment List'!$B$2:$B$2038,MATCH(E694,'[11]Equipment List'!$A$2:$A$2038,0)),"")</f>
        <v/>
      </c>
      <c r="E694" s="388"/>
      <c r="F694" s="374"/>
      <c r="G694" s="375"/>
      <c r="H694" s="397"/>
      <c r="I694" s="377"/>
      <c r="J694" s="378"/>
      <c r="K694" s="379"/>
      <c r="L694" s="387"/>
      <c r="M694" s="380" t="str">
        <f t="array" ref="M694">IF(L694="","",(MAX(IF(AN$15:AN$144=B694,AO$15:AO$144))/60))</f>
        <v/>
      </c>
      <c r="N694" s="387"/>
      <c r="O694" s="387"/>
      <c r="P694" s="381" t="str">
        <f t="shared" si="41"/>
        <v/>
      </c>
      <c r="Q694" s="382" t="str">
        <f t="array" ref="Q694">IFERROR(INDEX($D$13:$D$1000,MATCH(0,COUNTIF($Q$13:Q693,$D$13:$D$1000&amp;"")+IF($D$13:$D$1000="",1,0),0)),"")</f>
        <v/>
      </c>
      <c r="R694" s="356" t="str">
        <f t="shared" si="42"/>
        <v/>
      </c>
      <c r="S694" s="383" t="str">
        <f t="shared" si="44"/>
        <v/>
      </c>
      <c r="T694" s="384" t="str">
        <f t="shared" si="43"/>
        <v/>
      </c>
      <c r="U694" s="349"/>
      <c r="V694" s="385"/>
      <c r="W694" s="385"/>
      <c r="X694" s="386"/>
    </row>
    <row r="695" spans="2:24">
      <c r="B695" s="395"/>
      <c r="C695" s="371"/>
      <c r="D695" s="372" t="str">
        <f>IFERROR(INDEX('[11]Equipment List'!$B$2:$B$2038,MATCH(E695,'[11]Equipment List'!$A$2:$A$2038,0)),"")</f>
        <v/>
      </c>
      <c r="E695" s="388"/>
      <c r="F695" s="374"/>
      <c r="G695" s="375"/>
      <c r="H695" s="397"/>
      <c r="I695" s="377"/>
      <c r="J695" s="378"/>
      <c r="K695" s="379"/>
      <c r="L695" s="387"/>
      <c r="M695" s="380" t="str">
        <f t="array" ref="M695">IF(L695="","",(MAX(IF(AN$15:AN$144=B695,AO$15:AO$144))/60))</f>
        <v/>
      </c>
      <c r="N695" s="387"/>
      <c r="O695" s="387"/>
      <c r="P695" s="381" t="str">
        <f t="shared" si="41"/>
        <v/>
      </c>
      <c r="Q695" s="382" t="str">
        <f t="array" ref="Q695">IFERROR(INDEX($D$13:$D$1000,MATCH(0,COUNTIF($Q$13:Q694,$D$13:$D$1000&amp;"")+IF($D$13:$D$1000="",1,0),0)),"")</f>
        <v/>
      </c>
      <c r="R695" s="356" t="str">
        <f t="shared" si="42"/>
        <v/>
      </c>
      <c r="S695" s="383" t="str">
        <f t="shared" si="44"/>
        <v/>
      </c>
      <c r="T695" s="384" t="str">
        <f t="shared" si="43"/>
        <v/>
      </c>
      <c r="U695" s="349"/>
      <c r="V695" s="385"/>
      <c r="W695" s="385"/>
      <c r="X695" s="386"/>
    </row>
    <row r="696" spans="2:24">
      <c r="B696" s="395"/>
      <c r="C696" s="371"/>
      <c r="D696" s="372" t="str">
        <f>IFERROR(INDEX('[11]Equipment List'!$B$2:$B$2038,MATCH(E696,'[11]Equipment List'!$A$2:$A$2038,0)),"")</f>
        <v/>
      </c>
      <c r="E696" s="388"/>
      <c r="F696" s="374"/>
      <c r="G696" s="375"/>
      <c r="H696" s="397"/>
      <c r="I696" s="377"/>
      <c r="J696" s="378"/>
      <c r="K696" s="379"/>
      <c r="L696" s="387"/>
      <c r="M696" s="380" t="str">
        <f t="array" ref="M696">IF(L696="","",(MAX(IF(AN$15:AN$144=B696,AO$15:AO$144))/60))</f>
        <v/>
      </c>
      <c r="N696" s="387"/>
      <c r="O696" s="387"/>
      <c r="P696" s="381" t="str">
        <f t="shared" si="41"/>
        <v/>
      </c>
      <c r="Q696" s="382" t="str">
        <f t="array" ref="Q696">IFERROR(INDEX($D$13:$D$1000,MATCH(0,COUNTIF($Q$13:Q695,$D$13:$D$1000&amp;"")+IF($D$13:$D$1000="",1,0),0)),"")</f>
        <v/>
      </c>
      <c r="R696" s="356" t="str">
        <f t="shared" si="42"/>
        <v/>
      </c>
      <c r="S696" s="383" t="str">
        <f t="shared" si="44"/>
        <v/>
      </c>
      <c r="T696" s="384" t="str">
        <f t="shared" si="43"/>
        <v/>
      </c>
      <c r="U696" s="349"/>
      <c r="V696" s="385"/>
      <c r="W696" s="385"/>
      <c r="X696" s="386"/>
    </row>
    <row r="697" spans="2:24">
      <c r="B697" s="395"/>
      <c r="C697" s="371"/>
      <c r="D697" s="372" t="str">
        <f>IFERROR(INDEX('[11]Equipment List'!$B$2:$B$2038,MATCH(E697,'[11]Equipment List'!$A$2:$A$2038,0)),"")</f>
        <v/>
      </c>
      <c r="E697" s="388"/>
      <c r="F697" s="374"/>
      <c r="G697" s="375"/>
      <c r="H697" s="397"/>
      <c r="I697" s="377"/>
      <c r="J697" s="378"/>
      <c r="K697" s="379"/>
      <c r="L697" s="387"/>
      <c r="M697" s="380" t="str">
        <f t="array" ref="M697">IF(L697="","",(MAX(IF(AN$15:AN$144=B697,AO$15:AO$144))/60))</f>
        <v/>
      </c>
      <c r="N697" s="387"/>
      <c r="O697" s="387"/>
      <c r="P697" s="381" t="str">
        <f t="shared" si="41"/>
        <v/>
      </c>
      <c r="Q697" s="382" t="str">
        <f t="array" ref="Q697">IFERROR(INDEX($D$13:$D$1000,MATCH(0,COUNTIF($Q$13:Q696,$D$13:$D$1000&amp;"")+IF($D$13:$D$1000="",1,0),0)),"")</f>
        <v/>
      </c>
      <c r="R697" s="356" t="str">
        <f t="shared" si="42"/>
        <v/>
      </c>
      <c r="S697" s="383" t="str">
        <f t="shared" si="44"/>
        <v/>
      </c>
      <c r="T697" s="384" t="str">
        <f t="shared" si="43"/>
        <v/>
      </c>
      <c r="U697" s="349"/>
      <c r="V697" s="385"/>
      <c r="W697" s="385"/>
      <c r="X697" s="386"/>
    </row>
    <row r="698" spans="2:24">
      <c r="B698" s="395"/>
      <c r="C698" s="371"/>
      <c r="D698" s="372" t="str">
        <f>IFERROR(INDEX('[11]Equipment List'!$B$2:$B$2038,MATCH(E698,'[11]Equipment List'!$A$2:$A$2038,0)),"")</f>
        <v/>
      </c>
      <c r="E698" s="388"/>
      <c r="F698" s="374"/>
      <c r="G698" s="375"/>
      <c r="H698" s="397"/>
      <c r="I698" s="377"/>
      <c r="J698" s="378"/>
      <c r="K698" s="379"/>
      <c r="L698" s="387"/>
      <c r="M698" s="380" t="str">
        <f t="array" ref="M698">IF(L698="","",(MAX(IF(AN$15:AN$144=B698,AO$15:AO$144))/60))</f>
        <v/>
      </c>
      <c r="N698" s="387"/>
      <c r="O698" s="387"/>
      <c r="P698" s="381" t="str">
        <f t="shared" si="41"/>
        <v/>
      </c>
      <c r="Q698" s="382" t="str">
        <f t="array" ref="Q698">IFERROR(INDEX($D$13:$D$1000,MATCH(0,COUNTIF($Q$13:Q697,$D$13:$D$1000&amp;"")+IF($D$13:$D$1000="",1,0),0)),"")</f>
        <v/>
      </c>
      <c r="R698" s="356" t="str">
        <f t="shared" si="42"/>
        <v/>
      </c>
      <c r="S698" s="383" t="str">
        <f t="shared" si="44"/>
        <v/>
      </c>
      <c r="T698" s="384" t="str">
        <f t="shared" si="43"/>
        <v/>
      </c>
      <c r="U698" s="349"/>
      <c r="V698" s="385"/>
      <c r="W698" s="385"/>
      <c r="X698" s="386"/>
    </row>
    <row r="699" spans="2:24">
      <c r="B699" s="395"/>
      <c r="C699" s="371"/>
      <c r="D699" s="372" t="str">
        <f>IFERROR(INDEX('[11]Equipment List'!$B$2:$B$2038,MATCH(E699,'[11]Equipment List'!$A$2:$A$2038,0)),"")</f>
        <v/>
      </c>
      <c r="E699" s="388"/>
      <c r="F699" s="374"/>
      <c r="G699" s="375"/>
      <c r="H699" s="397"/>
      <c r="I699" s="377"/>
      <c r="J699" s="378"/>
      <c r="K699" s="379"/>
      <c r="L699" s="387"/>
      <c r="M699" s="380" t="str">
        <f t="array" ref="M699">IF(L699="","",(MAX(IF(AN$15:AN$144=B699,AO$15:AO$144))/60))</f>
        <v/>
      </c>
      <c r="N699" s="387"/>
      <c r="O699" s="387"/>
      <c r="P699" s="381" t="str">
        <f t="shared" si="41"/>
        <v/>
      </c>
      <c r="Q699" s="382" t="str">
        <f t="array" ref="Q699">IFERROR(INDEX($D$13:$D$1000,MATCH(0,COUNTIF($Q$13:Q698,$D$13:$D$1000&amp;"")+IF($D$13:$D$1000="",1,0),0)),"")</f>
        <v/>
      </c>
      <c r="R699" s="356" t="str">
        <f t="shared" si="42"/>
        <v/>
      </c>
      <c r="S699" s="383" t="str">
        <f t="shared" si="44"/>
        <v/>
      </c>
      <c r="T699" s="384" t="str">
        <f t="shared" si="43"/>
        <v/>
      </c>
      <c r="U699" s="349"/>
      <c r="V699" s="385"/>
      <c r="W699" s="385"/>
      <c r="X699" s="386"/>
    </row>
    <row r="700" spans="2:24">
      <c r="B700" s="395"/>
      <c r="C700" s="371"/>
      <c r="D700" s="372" t="str">
        <f>IFERROR(INDEX('[11]Equipment List'!$B$2:$B$2038,MATCH(E700,'[11]Equipment List'!$A$2:$A$2038,0)),"")</f>
        <v/>
      </c>
      <c r="E700" s="388"/>
      <c r="F700" s="374"/>
      <c r="G700" s="375"/>
      <c r="H700" s="397"/>
      <c r="I700" s="377"/>
      <c r="J700" s="378"/>
      <c r="K700" s="379"/>
      <c r="L700" s="387"/>
      <c r="M700" s="380" t="str">
        <f t="array" ref="M700">IF(L700="","",(MAX(IF(AN$15:AN$144=B700,AO$15:AO$144))/60))</f>
        <v/>
      </c>
      <c r="N700" s="387"/>
      <c r="O700" s="387"/>
      <c r="P700" s="381" t="str">
        <f t="shared" si="41"/>
        <v/>
      </c>
      <c r="Q700" s="382" t="str">
        <f t="array" ref="Q700">IFERROR(INDEX($D$13:$D$1000,MATCH(0,COUNTIF($Q$13:Q699,$D$13:$D$1000&amp;"")+IF($D$13:$D$1000="",1,0),0)),"")</f>
        <v/>
      </c>
      <c r="R700" s="356" t="str">
        <f t="shared" si="42"/>
        <v/>
      </c>
      <c r="S700" s="383" t="str">
        <f t="shared" si="44"/>
        <v/>
      </c>
      <c r="T700" s="384" t="str">
        <f t="shared" si="43"/>
        <v/>
      </c>
      <c r="U700" s="349"/>
      <c r="V700" s="385"/>
      <c r="W700" s="385"/>
      <c r="X700" s="386"/>
    </row>
    <row r="701" spans="2:24">
      <c r="B701" s="395"/>
      <c r="C701" s="371"/>
      <c r="D701" s="372" t="str">
        <f>IFERROR(INDEX('[11]Equipment List'!$B$2:$B$2038,MATCH(E701,'[11]Equipment List'!$A$2:$A$2038,0)),"")</f>
        <v/>
      </c>
      <c r="E701" s="388"/>
      <c r="F701" s="374"/>
      <c r="G701" s="375"/>
      <c r="H701" s="397"/>
      <c r="I701" s="377"/>
      <c r="J701" s="378"/>
      <c r="K701" s="379"/>
      <c r="L701" s="387"/>
      <c r="M701" s="380" t="str">
        <f t="array" ref="M701">IF(L701="","",(MAX(IF(AN$15:AN$144=B701,AO$15:AO$144))/60))</f>
        <v/>
      </c>
      <c r="N701" s="387"/>
      <c r="O701" s="387"/>
      <c r="P701" s="381" t="str">
        <f t="shared" si="41"/>
        <v/>
      </c>
      <c r="Q701" s="382" t="str">
        <f t="array" ref="Q701">IFERROR(INDEX($D$13:$D$1000,MATCH(0,COUNTIF($Q$13:Q700,$D$13:$D$1000&amp;"")+IF($D$13:$D$1000="",1,0),0)),"")</f>
        <v/>
      </c>
      <c r="R701" s="356" t="str">
        <f t="shared" si="42"/>
        <v/>
      </c>
      <c r="S701" s="383" t="str">
        <f t="shared" si="44"/>
        <v/>
      </c>
      <c r="T701" s="384" t="str">
        <f t="shared" si="43"/>
        <v/>
      </c>
      <c r="U701" s="349"/>
      <c r="V701" s="385"/>
      <c r="W701" s="385"/>
      <c r="X701" s="386"/>
    </row>
    <row r="702" spans="2:24">
      <c r="B702" s="395"/>
      <c r="C702" s="371"/>
      <c r="D702" s="372" t="str">
        <f>IFERROR(INDEX('[11]Equipment List'!$B$2:$B$2038,MATCH(E702,'[11]Equipment List'!$A$2:$A$2038,0)),"")</f>
        <v/>
      </c>
      <c r="E702" s="388"/>
      <c r="F702" s="374"/>
      <c r="G702" s="375"/>
      <c r="H702" s="397"/>
      <c r="I702" s="377"/>
      <c r="J702" s="378"/>
      <c r="K702" s="379"/>
      <c r="L702" s="387"/>
      <c r="M702" s="380" t="str">
        <f t="array" ref="M702">IF(L702="","",(MAX(IF(AN$15:AN$144=B702,AO$15:AO$144))/60))</f>
        <v/>
      </c>
      <c r="N702" s="387"/>
      <c r="O702" s="387"/>
      <c r="P702" s="381" t="str">
        <f t="shared" si="41"/>
        <v/>
      </c>
      <c r="Q702" s="382" t="str">
        <f t="array" ref="Q702">IFERROR(INDEX($D$13:$D$1000,MATCH(0,COUNTIF($Q$13:Q701,$D$13:$D$1000&amp;"")+IF($D$13:$D$1000="",1,0),0)),"")</f>
        <v/>
      </c>
      <c r="R702" s="356" t="str">
        <f t="shared" si="42"/>
        <v/>
      </c>
      <c r="S702" s="383" t="str">
        <f t="shared" si="44"/>
        <v/>
      </c>
      <c r="T702" s="384" t="str">
        <f t="shared" si="43"/>
        <v/>
      </c>
      <c r="U702" s="349"/>
      <c r="V702" s="385"/>
      <c r="W702" s="385"/>
      <c r="X702" s="386"/>
    </row>
    <row r="703" spans="2:24">
      <c r="B703" s="395"/>
      <c r="C703" s="371"/>
      <c r="D703" s="372" t="str">
        <f>IFERROR(INDEX('[11]Equipment List'!$B$2:$B$2038,MATCH(E703,'[11]Equipment List'!$A$2:$A$2038,0)),"")</f>
        <v/>
      </c>
      <c r="E703" s="388"/>
      <c r="F703" s="374"/>
      <c r="G703" s="375"/>
      <c r="H703" s="397"/>
      <c r="I703" s="377"/>
      <c r="J703" s="378"/>
      <c r="K703" s="379"/>
      <c r="L703" s="387"/>
      <c r="M703" s="380" t="str">
        <f t="array" ref="M703">IF(L703="","",(MAX(IF(AN$15:AN$144=B703,AO$15:AO$144))/60))</f>
        <v/>
      </c>
      <c r="N703" s="387"/>
      <c r="O703" s="387"/>
      <c r="P703" s="381" t="str">
        <f t="shared" si="41"/>
        <v/>
      </c>
      <c r="Q703" s="382" t="str">
        <f t="array" ref="Q703">IFERROR(INDEX($D$13:$D$1000,MATCH(0,COUNTIF($Q$13:Q702,$D$13:$D$1000&amp;"")+IF($D$13:$D$1000="",1,0),0)),"")</f>
        <v/>
      </c>
      <c r="R703" s="356" t="str">
        <f t="shared" si="42"/>
        <v/>
      </c>
      <c r="S703" s="383" t="str">
        <f t="shared" si="44"/>
        <v/>
      </c>
      <c r="T703" s="384" t="str">
        <f t="shared" si="43"/>
        <v/>
      </c>
      <c r="U703" s="349"/>
      <c r="V703" s="385"/>
      <c r="W703" s="385"/>
      <c r="X703" s="386"/>
    </row>
    <row r="704" spans="2:24">
      <c r="B704" s="395"/>
      <c r="C704" s="371"/>
      <c r="D704" s="372" t="str">
        <f>IFERROR(INDEX('[11]Equipment List'!$B$2:$B$2038,MATCH(E704,'[11]Equipment List'!$A$2:$A$2038,0)),"")</f>
        <v/>
      </c>
      <c r="E704" s="388"/>
      <c r="F704" s="374"/>
      <c r="G704" s="375"/>
      <c r="H704" s="397"/>
      <c r="I704" s="377"/>
      <c r="J704" s="378"/>
      <c r="K704" s="379"/>
      <c r="L704" s="387"/>
      <c r="M704" s="380" t="str">
        <f t="array" ref="M704">IF(L704="","",(MAX(IF(AN$15:AN$144=B704,AO$15:AO$144))/60))</f>
        <v/>
      </c>
      <c r="N704" s="387"/>
      <c r="O704" s="387"/>
      <c r="P704" s="381" t="str">
        <f t="shared" si="41"/>
        <v/>
      </c>
      <c r="Q704" s="382" t="str">
        <f t="array" ref="Q704">IFERROR(INDEX($D$13:$D$1000,MATCH(0,COUNTIF($Q$13:Q703,$D$13:$D$1000&amp;"")+IF($D$13:$D$1000="",1,0),0)),"")</f>
        <v/>
      </c>
      <c r="R704" s="356" t="str">
        <f t="shared" si="42"/>
        <v/>
      </c>
      <c r="S704" s="383" t="str">
        <f t="shared" si="44"/>
        <v/>
      </c>
      <c r="T704" s="384" t="str">
        <f t="shared" si="43"/>
        <v/>
      </c>
      <c r="U704" s="349"/>
      <c r="V704" s="385"/>
      <c r="W704" s="385"/>
      <c r="X704" s="386"/>
    </row>
    <row r="705" spans="2:24">
      <c r="B705" s="395"/>
      <c r="C705" s="371"/>
      <c r="D705" s="372" t="str">
        <f>IFERROR(INDEX('[11]Equipment List'!$B$2:$B$2038,MATCH(E705,'[11]Equipment List'!$A$2:$A$2038,0)),"")</f>
        <v/>
      </c>
      <c r="E705" s="388"/>
      <c r="F705" s="374"/>
      <c r="G705" s="375"/>
      <c r="H705" s="397"/>
      <c r="I705" s="377"/>
      <c r="J705" s="378"/>
      <c r="K705" s="379"/>
      <c r="L705" s="387"/>
      <c r="M705" s="380" t="str">
        <f t="array" ref="M705">IF(L705="","",(MAX(IF(AN$15:AN$144=B705,AO$15:AO$144))/60))</f>
        <v/>
      </c>
      <c r="N705" s="387"/>
      <c r="O705" s="387"/>
      <c r="P705" s="381" t="str">
        <f t="shared" si="41"/>
        <v/>
      </c>
      <c r="Q705" s="382" t="str">
        <f t="array" ref="Q705">IFERROR(INDEX($D$13:$D$1000,MATCH(0,COUNTIF($Q$13:Q704,$D$13:$D$1000&amp;"")+IF($D$13:$D$1000="",1,0),0)),"")</f>
        <v/>
      </c>
      <c r="R705" s="356" t="str">
        <f t="shared" si="42"/>
        <v/>
      </c>
      <c r="S705" s="383" t="str">
        <f t="shared" si="44"/>
        <v/>
      </c>
      <c r="T705" s="384" t="str">
        <f t="shared" si="43"/>
        <v/>
      </c>
      <c r="U705" s="349"/>
      <c r="V705" s="385"/>
      <c r="W705" s="385"/>
      <c r="X705" s="386"/>
    </row>
    <row r="706" spans="2:24">
      <c r="B706" s="395"/>
      <c r="C706" s="371"/>
      <c r="D706" s="372" t="str">
        <f>IFERROR(INDEX('[11]Equipment List'!$B$2:$B$2038,MATCH(E706,'[11]Equipment List'!$A$2:$A$2038,0)),"")</f>
        <v/>
      </c>
      <c r="E706" s="388"/>
      <c r="F706" s="374"/>
      <c r="G706" s="375"/>
      <c r="H706" s="397"/>
      <c r="I706" s="377"/>
      <c r="J706" s="378"/>
      <c r="K706" s="379"/>
      <c r="L706" s="387"/>
      <c r="M706" s="380" t="str">
        <f t="array" ref="M706">IF(L706="","",(MAX(IF(AN$15:AN$144=B706,AO$15:AO$144))/60))</f>
        <v/>
      </c>
      <c r="N706" s="387"/>
      <c r="O706" s="387"/>
      <c r="P706" s="381" t="str">
        <f t="shared" si="41"/>
        <v/>
      </c>
      <c r="Q706" s="382" t="str">
        <f t="array" ref="Q706">IFERROR(INDEX($D$13:$D$1000,MATCH(0,COUNTIF($Q$13:Q705,$D$13:$D$1000&amp;"")+IF($D$13:$D$1000="",1,0),0)),"")</f>
        <v/>
      </c>
      <c r="R706" s="356" t="str">
        <f t="shared" si="42"/>
        <v/>
      </c>
      <c r="S706" s="383" t="str">
        <f t="shared" si="44"/>
        <v/>
      </c>
      <c r="T706" s="384" t="str">
        <f t="shared" si="43"/>
        <v/>
      </c>
      <c r="U706" s="349"/>
      <c r="V706" s="385"/>
      <c r="W706" s="385"/>
      <c r="X706" s="386"/>
    </row>
    <row r="707" spans="2:24">
      <c r="B707" s="395"/>
      <c r="C707" s="371"/>
      <c r="D707" s="372" t="str">
        <f>IFERROR(INDEX('[11]Equipment List'!$B$2:$B$2038,MATCH(E707,'[11]Equipment List'!$A$2:$A$2038,0)),"")</f>
        <v/>
      </c>
      <c r="E707" s="388"/>
      <c r="F707" s="374"/>
      <c r="G707" s="375"/>
      <c r="H707" s="397"/>
      <c r="I707" s="377"/>
      <c r="J707" s="378"/>
      <c r="K707" s="379"/>
      <c r="L707" s="387"/>
      <c r="M707" s="380" t="str">
        <f t="array" ref="M707">IF(L707="","",(MAX(IF(AN$15:AN$144=B707,AO$15:AO$144))/60))</f>
        <v/>
      </c>
      <c r="N707" s="387"/>
      <c r="O707" s="387"/>
      <c r="P707" s="381" t="str">
        <f t="shared" si="41"/>
        <v/>
      </c>
      <c r="Q707" s="382" t="str">
        <f t="array" ref="Q707">IFERROR(INDEX($D$13:$D$1000,MATCH(0,COUNTIF($Q$13:Q706,$D$13:$D$1000&amp;"")+IF($D$13:$D$1000="",1,0),0)),"")</f>
        <v/>
      </c>
      <c r="R707" s="356" t="str">
        <f t="shared" si="42"/>
        <v/>
      </c>
      <c r="S707" s="383" t="str">
        <f t="shared" si="44"/>
        <v/>
      </c>
      <c r="T707" s="384" t="str">
        <f t="shared" si="43"/>
        <v/>
      </c>
      <c r="U707" s="349"/>
      <c r="V707" s="385"/>
      <c r="W707" s="385"/>
      <c r="X707" s="386"/>
    </row>
    <row r="708" spans="2:24">
      <c r="B708" s="395"/>
      <c r="C708" s="371"/>
      <c r="D708" s="372" t="str">
        <f>IFERROR(INDEX('[11]Equipment List'!$B$2:$B$2038,MATCH(E708,'[11]Equipment List'!$A$2:$A$2038,0)),"")</f>
        <v/>
      </c>
      <c r="E708" s="388"/>
      <c r="F708" s="374"/>
      <c r="G708" s="375"/>
      <c r="H708" s="397"/>
      <c r="I708" s="377"/>
      <c r="J708" s="378"/>
      <c r="K708" s="379"/>
      <c r="L708" s="387"/>
      <c r="M708" s="380" t="str">
        <f t="array" ref="M708">IF(L708="","",(MAX(IF(AN$15:AN$144=B708,AO$15:AO$144))/60))</f>
        <v/>
      </c>
      <c r="N708" s="387"/>
      <c r="O708" s="387"/>
      <c r="P708" s="381" t="str">
        <f t="shared" si="41"/>
        <v/>
      </c>
      <c r="Q708" s="382" t="str">
        <f t="array" ref="Q708">IFERROR(INDEX($D$13:$D$1000,MATCH(0,COUNTIF($Q$13:Q707,$D$13:$D$1000&amp;"")+IF($D$13:$D$1000="",1,0),0)),"")</f>
        <v/>
      </c>
      <c r="R708" s="356" t="str">
        <f t="shared" si="42"/>
        <v/>
      </c>
      <c r="S708" s="383" t="str">
        <f t="shared" si="44"/>
        <v/>
      </c>
      <c r="T708" s="384" t="str">
        <f t="shared" si="43"/>
        <v/>
      </c>
      <c r="U708" s="349"/>
      <c r="V708" s="385"/>
      <c r="W708" s="385"/>
      <c r="X708" s="386"/>
    </row>
    <row r="709" spans="2:24">
      <c r="B709" s="395"/>
      <c r="C709" s="371"/>
      <c r="D709" s="372" t="str">
        <f>IFERROR(INDEX('[11]Equipment List'!$B$2:$B$2038,MATCH(E709,'[11]Equipment List'!$A$2:$A$2038,0)),"")</f>
        <v/>
      </c>
      <c r="E709" s="388"/>
      <c r="F709" s="374"/>
      <c r="G709" s="375"/>
      <c r="H709" s="397"/>
      <c r="I709" s="377"/>
      <c r="J709" s="378"/>
      <c r="K709" s="379"/>
      <c r="L709" s="387"/>
      <c r="M709" s="380" t="str">
        <f t="array" ref="M709">IF(L709="","",(MAX(IF(AN$15:AN$144=B709,AO$15:AO$144))/60))</f>
        <v/>
      </c>
      <c r="N709" s="387"/>
      <c r="O709" s="387"/>
      <c r="P709" s="381" t="str">
        <f t="shared" si="41"/>
        <v/>
      </c>
      <c r="Q709" s="382" t="str">
        <f t="array" ref="Q709">IFERROR(INDEX($D$13:$D$1000,MATCH(0,COUNTIF($Q$13:Q708,$D$13:$D$1000&amp;"")+IF($D$13:$D$1000="",1,0),0)),"")</f>
        <v/>
      </c>
      <c r="R709" s="356" t="str">
        <f t="shared" si="42"/>
        <v/>
      </c>
      <c r="S709" s="383" t="str">
        <f t="shared" si="44"/>
        <v/>
      </c>
      <c r="T709" s="384" t="str">
        <f t="shared" si="43"/>
        <v/>
      </c>
      <c r="U709" s="349"/>
      <c r="V709" s="385"/>
      <c r="W709" s="385"/>
      <c r="X709" s="386"/>
    </row>
    <row r="710" spans="2:24">
      <c r="B710" s="395"/>
      <c r="C710" s="371"/>
      <c r="D710" s="372" t="str">
        <f>IFERROR(INDEX('[11]Equipment List'!$B$2:$B$2038,MATCH(E710,'[11]Equipment List'!$A$2:$A$2038,0)),"")</f>
        <v/>
      </c>
      <c r="E710" s="388"/>
      <c r="F710" s="374"/>
      <c r="G710" s="375"/>
      <c r="H710" s="397"/>
      <c r="I710" s="377"/>
      <c r="J710" s="378"/>
      <c r="K710" s="379"/>
      <c r="L710" s="387"/>
      <c r="M710" s="380" t="str">
        <f t="array" ref="M710">IF(L710="","",(MAX(IF(AN$15:AN$144=B710,AO$15:AO$144))/60))</f>
        <v/>
      </c>
      <c r="N710" s="387"/>
      <c r="O710" s="387"/>
      <c r="P710" s="381" t="str">
        <f t="shared" si="41"/>
        <v/>
      </c>
      <c r="Q710" s="382" t="str">
        <f t="array" ref="Q710">IFERROR(INDEX($D$13:$D$1000,MATCH(0,COUNTIF($Q$13:Q709,$D$13:$D$1000&amp;"")+IF($D$13:$D$1000="",1,0),0)),"")</f>
        <v/>
      </c>
      <c r="R710" s="356" t="str">
        <f t="shared" si="42"/>
        <v/>
      </c>
      <c r="S710" s="383" t="str">
        <f t="shared" si="44"/>
        <v/>
      </c>
      <c r="T710" s="384" t="str">
        <f t="shared" si="43"/>
        <v/>
      </c>
      <c r="U710" s="349"/>
      <c r="V710" s="385"/>
      <c r="W710" s="385"/>
      <c r="X710" s="386"/>
    </row>
    <row r="711" spans="2:24">
      <c r="B711" s="395"/>
      <c r="C711" s="371"/>
      <c r="D711" s="372" t="str">
        <f>IFERROR(INDEX('[11]Equipment List'!$B$2:$B$2038,MATCH(E711,'[11]Equipment List'!$A$2:$A$2038,0)),"")</f>
        <v/>
      </c>
      <c r="E711" s="388"/>
      <c r="F711" s="374"/>
      <c r="G711" s="375"/>
      <c r="H711" s="397"/>
      <c r="I711" s="377"/>
      <c r="J711" s="378"/>
      <c r="K711" s="379"/>
      <c r="L711" s="387"/>
      <c r="M711" s="380" t="str">
        <f t="array" ref="M711">IF(L711="","",(MAX(IF(AN$15:AN$144=B711,AO$15:AO$144))/60))</f>
        <v/>
      </c>
      <c r="N711" s="387"/>
      <c r="O711" s="387"/>
      <c r="P711" s="381" t="str">
        <f t="shared" si="41"/>
        <v/>
      </c>
      <c r="Q711" s="382" t="str">
        <f t="array" ref="Q711">IFERROR(INDEX($D$13:$D$1000,MATCH(0,COUNTIF($Q$13:Q710,$D$13:$D$1000&amp;"")+IF($D$13:$D$1000="",1,0),0)),"")</f>
        <v/>
      </c>
      <c r="R711" s="356" t="str">
        <f t="shared" si="42"/>
        <v/>
      </c>
      <c r="S711" s="383" t="str">
        <f t="shared" si="44"/>
        <v/>
      </c>
      <c r="T711" s="384" t="str">
        <f t="shared" si="43"/>
        <v/>
      </c>
      <c r="U711" s="349"/>
      <c r="V711" s="385"/>
      <c r="W711" s="385"/>
      <c r="X711" s="386"/>
    </row>
    <row r="712" spans="2:24">
      <c r="B712" s="395"/>
      <c r="C712" s="371"/>
      <c r="D712" s="372" t="str">
        <f>IFERROR(INDEX('[11]Equipment List'!$B$2:$B$2038,MATCH(E712,'[11]Equipment List'!$A$2:$A$2038,0)),"")</f>
        <v/>
      </c>
      <c r="E712" s="388"/>
      <c r="F712" s="374"/>
      <c r="G712" s="375"/>
      <c r="H712" s="397"/>
      <c r="I712" s="377"/>
      <c r="J712" s="378"/>
      <c r="K712" s="379"/>
      <c r="L712" s="387"/>
      <c r="M712" s="380" t="str">
        <f t="array" ref="M712">IF(L712="","",(MAX(IF(AN$15:AN$144=B712,AO$15:AO$144))/60))</f>
        <v/>
      </c>
      <c r="N712" s="387"/>
      <c r="O712" s="387"/>
      <c r="P712" s="381" t="str">
        <f t="shared" si="41"/>
        <v/>
      </c>
      <c r="Q712" s="382" t="str">
        <f t="array" ref="Q712">IFERROR(INDEX($D$13:$D$1000,MATCH(0,COUNTIF($Q$13:Q711,$D$13:$D$1000&amp;"")+IF($D$13:$D$1000="",1,0),0)),"")</f>
        <v/>
      </c>
      <c r="R712" s="356" t="str">
        <f t="shared" si="42"/>
        <v/>
      </c>
      <c r="S712" s="383" t="str">
        <f t="shared" si="44"/>
        <v/>
      </c>
      <c r="T712" s="384" t="str">
        <f t="shared" si="43"/>
        <v/>
      </c>
      <c r="U712" s="349"/>
      <c r="V712" s="385"/>
      <c r="W712" s="385"/>
      <c r="X712" s="386"/>
    </row>
    <row r="713" spans="2:24">
      <c r="B713" s="395"/>
      <c r="C713" s="371"/>
      <c r="D713" s="372" t="str">
        <f>IFERROR(INDEX('[11]Equipment List'!$B$2:$B$2038,MATCH(E713,'[11]Equipment List'!$A$2:$A$2038,0)),"")</f>
        <v/>
      </c>
      <c r="E713" s="388"/>
      <c r="F713" s="374"/>
      <c r="G713" s="375"/>
      <c r="H713" s="397"/>
      <c r="I713" s="377"/>
      <c r="J713" s="378"/>
      <c r="K713" s="379"/>
      <c r="L713" s="387"/>
      <c r="M713" s="380" t="str">
        <f t="array" ref="M713">IF(L713="","",(MAX(IF(AN$15:AN$144=B713,AO$15:AO$144))/60))</f>
        <v/>
      </c>
      <c r="N713" s="387"/>
      <c r="O713" s="387"/>
      <c r="P713" s="381" t="str">
        <f t="shared" si="41"/>
        <v/>
      </c>
      <c r="Q713" s="382" t="str">
        <f t="array" ref="Q713">IFERROR(INDEX($D$13:$D$1000,MATCH(0,COUNTIF($Q$13:Q712,$D$13:$D$1000&amp;"")+IF($D$13:$D$1000="",1,0),0)),"")</f>
        <v/>
      </c>
      <c r="R713" s="356" t="str">
        <f t="shared" si="42"/>
        <v/>
      </c>
      <c r="S713" s="383" t="str">
        <f t="shared" si="44"/>
        <v/>
      </c>
      <c r="T713" s="384" t="str">
        <f t="shared" si="43"/>
        <v/>
      </c>
      <c r="V713" s="385"/>
      <c r="W713" s="385"/>
      <c r="X713" s="386"/>
    </row>
    <row r="714" spans="2:24">
      <c r="B714" s="395"/>
      <c r="C714" s="371"/>
      <c r="D714" s="372" t="str">
        <f>IFERROR(INDEX('[11]Equipment List'!$B$2:$B$2038,MATCH(E714,'[11]Equipment List'!$A$2:$A$2038,0)),"")</f>
        <v/>
      </c>
      <c r="E714" s="388"/>
      <c r="F714" s="374"/>
      <c r="G714" s="375"/>
      <c r="H714" s="397"/>
      <c r="I714" s="377"/>
      <c r="J714" s="378"/>
      <c r="K714" s="379"/>
      <c r="L714" s="387"/>
      <c r="M714" s="380" t="str">
        <f t="array" ref="M714">IF(L714="","",(MAX(IF(AN$15:AN$144=B714,AO$15:AO$144))/60))</f>
        <v/>
      </c>
      <c r="N714" s="387"/>
      <c r="O714" s="387"/>
      <c r="P714" s="381" t="str">
        <f t="shared" si="41"/>
        <v/>
      </c>
      <c r="Q714" s="382" t="str">
        <f t="array" ref="Q714">IFERROR(INDEX($D$13:$D$1000,MATCH(0,COUNTIF($Q$13:Q713,$D$13:$D$1000&amp;"")+IF($D$13:$D$1000="",1,0),0)),"")</f>
        <v/>
      </c>
      <c r="R714" s="356" t="str">
        <f t="shared" si="42"/>
        <v/>
      </c>
      <c r="S714" s="383" t="str">
        <f t="shared" si="44"/>
        <v/>
      </c>
      <c r="T714" s="384" t="str">
        <f t="shared" si="43"/>
        <v/>
      </c>
      <c r="V714" s="385"/>
      <c r="W714" s="385"/>
      <c r="X714" s="386"/>
    </row>
    <row r="715" spans="2:24">
      <c r="B715" s="395"/>
      <c r="C715" s="371"/>
      <c r="D715" s="372" t="str">
        <f>IFERROR(INDEX('[11]Equipment List'!$B$2:$B$2038,MATCH(E715,'[11]Equipment List'!$A$2:$A$2038,0)),"")</f>
        <v/>
      </c>
      <c r="E715" s="388"/>
      <c r="F715" s="374"/>
      <c r="G715" s="375"/>
      <c r="H715" s="397"/>
      <c r="I715" s="377"/>
      <c r="J715" s="378"/>
      <c r="K715" s="379"/>
      <c r="L715" s="387"/>
      <c r="M715" s="380" t="str">
        <f t="array" ref="M715">IF(L715="","",(MAX(IF(AN$15:AN$144=B715,AO$15:AO$144))/60))</f>
        <v/>
      </c>
      <c r="N715" s="387"/>
      <c r="O715" s="387"/>
      <c r="P715" s="381" t="str">
        <f t="shared" si="41"/>
        <v/>
      </c>
      <c r="Q715" s="382" t="str">
        <f t="array" ref="Q715">IFERROR(INDEX($D$13:$D$1000,MATCH(0,COUNTIF($Q$13:Q714,$D$13:$D$1000&amp;"")+IF($D$13:$D$1000="",1,0),0)),"")</f>
        <v/>
      </c>
      <c r="R715" s="356" t="str">
        <f t="shared" si="42"/>
        <v/>
      </c>
      <c r="S715" s="383" t="str">
        <f t="shared" si="44"/>
        <v/>
      </c>
      <c r="T715" s="384" t="str">
        <f t="shared" si="43"/>
        <v/>
      </c>
      <c r="V715" s="385"/>
      <c r="W715" s="385"/>
      <c r="X715" s="386"/>
    </row>
    <row r="716" spans="2:24">
      <c r="B716" s="395"/>
      <c r="C716" s="371"/>
      <c r="D716" s="372" t="str">
        <f>IFERROR(INDEX('[11]Equipment List'!$B$2:$B$2038,MATCH(E716,'[11]Equipment List'!$A$2:$A$2038,0)),"")</f>
        <v/>
      </c>
      <c r="E716" s="388"/>
      <c r="F716" s="374"/>
      <c r="G716" s="375"/>
      <c r="H716" s="397"/>
      <c r="I716" s="377"/>
      <c r="J716" s="378"/>
      <c r="K716" s="379"/>
      <c r="L716" s="387"/>
      <c r="M716" s="380" t="str">
        <f t="array" ref="M716">IF(L716="","",(MAX(IF(AN$15:AN$144=B716,AO$15:AO$144))/60))</f>
        <v/>
      </c>
      <c r="N716" s="387"/>
      <c r="O716" s="387"/>
      <c r="P716" s="381" t="str">
        <f t="shared" ref="P716:P779" si="45">IFERROR((((K716/5/250/$F$8)+(N716*$F$9))/$S$4)*(M716/60),"")</f>
        <v/>
      </c>
      <c r="Q716" s="382" t="str">
        <f t="array" ref="Q716">IFERROR(INDEX($D$13:$D$1000,MATCH(0,COUNTIF($Q$13:Q715,$D$13:$D$1000&amp;"")+IF($D$13:$D$1000="",1,0),0)),"")</f>
        <v/>
      </c>
      <c r="R716" s="356" t="str">
        <f t="shared" si="42"/>
        <v/>
      </c>
      <c r="S716" s="383" t="str">
        <f t="shared" si="44"/>
        <v/>
      </c>
      <c r="T716" s="384" t="str">
        <f t="shared" si="43"/>
        <v/>
      </c>
      <c r="V716" s="385"/>
      <c r="W716" s="385"/>
      <c r="X716" s="386"/>
    </row>
    <row r="717" spans="2:24">
      <c r="B717" s="395"/>
      <c r="C717" s="371"/>
      <c r="D717" s="372" t="str">
        <f>IFERROR(INDEX('[11]Equipment List'!$B$2:$B$2038,MATCH(E717,'[11]Equipment List'!$A$2:$A$2038,0)),"")</f>
        <v/>
      </c>
      <c r="E717" s="388"/>
      <c r="F717" s="374"/>
      <c r="G717" s="375"/>
      <c r="H717" s="397"/>
      <c r="I717" s="377"/>
      <c r="J717" s="378"/>
      <c r="K717" s="379"/>
      <c r="L717" s="387"/>
      <c r="M717" s="380" t="str">
        <f t="array" ref="M717">IF(L717="","",(MAX(IF(AN$15:AN$144=B717,AO$15:AO$144))/60))</f>
        <v/>
      </c>
      <c r="N717" s="387"/>
      <c r="O717" s="387"/>
      <c r="P717" s="381" t="str">
        <f t="shared" si="45"/>
        <v/>
      </c>
      <c r="Q717" s="382" t="str">
        <f t="array" ref="Q717">IFERROR(INDEX($D$13:$D$1000,MATCH(0,COUNTIF($Q$13:Q716,$D$13:$D$1000&amp;"")+IF($D$13:$D$1000="",1,0),0)),"")</f>
        <v/>
      </c>
      <c r="R717" s="356" t="str">
        <f t="shared" ref="R717:R780" si="46">IF(Q717="","",COUNTIF($D$13:$D$1000,$Q717))</f>
        <v/>
      </c>
      <c r="S717" s="383" t="str">
        <f t="shared" si="44"/>
        <v/>
      </c>
      <c r="T717" s="384" t="str">
        <f t="shared" ref="T717:T780" si="47">IF($Q717="","",SUMIF($D$13:$D$1000,$Q717,N$13:N$1000))</f>
        <v/>
      </c>
      <c r="V717" s="385"/>
      <c r="W717" s="385"/>
      <c r="X717" s="386"/>
    </row>
    <row r="718" spans="2:24">
      <c r="B718" s="395"/>
      <c r="C718" s="371"/>
      <c r="D718" s="372" t="str">
        <f>IFERROR(INDEX('[11]Equipment List'!$B$2:$B$2038,MATCH(E718,'[11]Equipment List'!$A$2:$A$2038,0)),"")</f>
        <v/>
      </c>
      <c r="E718" s="388"/>
      <c r="F718" s="374"/>
      <c r="G718" s="375"/>
      <c r="H718" s="397"/>
      <c r="I718" s="377"/>
      <c r="J718" s="378"/>
      <c r="K718" s="379"/>
      <c r="L718" s="387"/>
      <c r="M718" s="380" t="str">
        <f t="array" ref="M718">IF(L718="","",(MAX(IF(AN$15:AN$144=B718,AO$15:AO$144))/60))</f>
        <v/>
      </c>
      <c r="N718" s="387"/>
      <c r="O718" s="387"/>
      <c r="P718" s="381" t="str">
        <f t="shared" si="45"/>
        <v/>
      </c>
      <c r="Q718" s="382" t="str">
        <f t="array" ref="Q718">IFERROR(INDEX($D$13:$D$1000,MATCH(0,COUNTIF($Q$13:Q717,$D$13:$D$1000&amp;"")+IF($D$13:$D$1000="",1,0),0)),"")</f>
        <v/>
      </c>
      <c r="R718" s="356" t="str">
        <f t="shared" si="46"/>
        <v/>
      </c>
      <c r="S718" s="383" t="str">
        <f t="shared" si="44"/>
        <v/>
      </c>
      <c r="T718" s="384" t="str">
        <f t="shared" si="47"/>
        <v/>
      </c>
      <c r="V718" s="385"/>
      <c r="W718" s="385"/>
      <c r="X718" s="386"/>
    </row>
    <row r="719" spans="2:24">
      <c r="B719" s="395"/>
      <c r="C719" s="371"/>
      <c r="D719" s="372" t="str">
        <f>IFERROR(INDEX('[11]Equipment List'!$B$2:$B$2038,MATCH(E719,'[11]Equipment List'!$A$2:$A$2038,0)),"")</f>
        <v/>
      </c>
      <c r="E719" s="388"/>
      <c r="F719" s="374"/>
      <c r="G719" s="375"/>
      <c r="H719" s="397"/>
      <c r="I719" s="377"/>
      <c r="J719" s="378"/>
      <c r="K719" s="379"/>
      <c r="L719" s="387"/>
      <c r="M719" s="380" t="str">
        <f t="array" ref="M719">IF(L719="","",(MAX(IF(AN$15:AN$144=B719,AO$15:AO$144))/60))</f>
        <v/>
      </c>
      <c r="N719" s="387"/>
      <c r="O719" s="387"/>
      <c r="P719" s="381" t="str">
        <f t="shared" si="45"/>
        <v/>
      </c>
      <c r="Q719" s="382" t="str">
        <f t="array" ref="Q719">IFERROR(INDEX($D$13:$D$1000,MATCH(0,COUNTIF($Q$13:Q718,$D$13:$D$1000&amp;"")+IF($D$13:$D$1000="",1,0),0)),"")</f>
        <v/>
      </c>
      <c r="R719" s="356" t="str">
        <f t="shared" si="46"/>
        <v/>
      </c>
      <c r="S719" s="383" t="str">
        <f t="shared" si="44"/>
        <v/>
      </c>
      <c r="T719" s="384" t="str">
        <f t="shared" si="47"/>
        <v/>
      </c>
      <c r="V719" s="385"/>
      <c r="W719" s="385"/>
      <c r="X719" s="386"/>
    </row>
    <row r="720" spans="2:24">
      <c r="B720" s="395"/>
      <c r="C720" s="371"/>
      <c r="D720" s="372" t="str">
        <f>IFERROR(INDEX('[11]Equipment List'!$B$2:$B$2038,MATCH(E720,'[11]Equipment List'!$A$2:$A$2038,0)),"")</f>
        <v/>
      </c>
      <c r="E720" s="388"/>
      <c r="F720" s="374"/>
      <c r="G720" s="375"/>
      <c r="H720" s="397"/>
      <c r="I720" s="377"/>
      <c r="J720" s="378"/>
      <c r="K720" s="379"/>
      <c r="L720" s="387"/>
      <c r="M720" s="380" t="str">
        <f t="array" ref="M720">IF(L720="","",(MAX(IF(AN$15:AN$144=B720,AO$15:AO$144))/60))</f>
        <v/>
      </c>
      <c r="N720" s="387"/>
      <c r="O720" s="387"/>
      <c r="P720" s="381" t="str">
        <f t="shared" si="45"/>
        <v/>
      </c>
      <c r="Q720" s="382" t="str">
        <f t="array" ref="Q720">IFERROR(INDEX($D$13:$D$1000,MATCH(0,COUNTIF($Q$13:Q719,$D$13:$D$1000&amp;"")+IF($D$13:$D$1000="",1,0),0)),"")</f>
        <v/>
      </c>
      <c r="R720" s="356" t="str">
        <f t="shared" si="46"/>
        <v/>
      </c>
      <c r="S720" s="383" t="str">
        <f t="shared" si="44"/>
        <v/>
      </c>
      <c r="T720" s="384" t="str">
        <f t="shared" si="47"/>
        <v/>
      </c>
      <c r="V720" s="385"/>
      <c r="W720" s="385"/>
      <c r="X720" s="386"/>
    </row>
    <row r="721" spans="2:24">
      <c r="B721" s="395"/>
      <c r="C721" s="371"/>
      <c r="D721" s="372" t="str">
        <f>IFERROR(INDEX('[11]Equipment List'!$B$2:$B$2038,MATCH(E721,'[11]Equipment List'!$A$2:$A$2038,0)),"")</f>
        <v/>
      </c>
      <c r="E721" s="388"/>
      <c r="F721" s="374"/>
      <c r="G721" s="375"/>
      <c r="H721" s="397"/>
      <c r="I721" s="377"/>
      <c r="J721" s="378"/>
      <c r="K721" s="379"/>
      <c r="L721" s="387"/>
      <c r="M721" s="380" t="str">
        <f t="array" ref="M721">IF(L721="","",(MAX(IF(AN$15:AN$144=B721,AO$15:AO$144))/60))</f>
        <v/>
      </c>
      <c r="N721" s="387"/>
      <c r="O721" s="387"/>
      <c r="P721" s="381" t="str">
        <f t="shared" si="45"/>
        <v/>
      </c>
      <c r="Q721" s="382" t="str">
        <f t="array" ref="Q721">IFERROR(INDEX($D$13:$D$1000,MATCH(0,COUNTIF($Q$13:Q720,$D$13:$D$1000&amp;"")+IF($D$13:$D$1000="",1,0),0)),"")</f>
        <v/>
      </c>
      <c r="R721" s="356" t="str">
        <f t="shared" si="46"/>
        <v/>
      </c>
      <c r="S721" s="383" t="str">
        <f t="shared" si="44"/>
        <v/>
      </c>
      <c r="T721" s="384" t="str">
        <f t="shared" si="47"/>
        <v/>
      </c>
      <c r="V721" s="385"/>
      <c r="W721" s="385"/>
      <c r="X721" s="386"/>
    </row>
    <row r="722" spans="2:24">
      <c r="B722" s="395"/>
      <c r="C722" s="371"/>
      <c r="D722" s="372" t="str">
        <f>IFERROR(INDEX('[11]Equipment List'!$B$2:$B$2038,MATCH(E722,'[11]Equipment List'!$A$2:$A$2038,0)),"")</f>
        <v/>
      </c>
      <c r="E722" s="388"/>
      <c r="F722" s="374"/>
      <c r="G722" s="375"/>
      <c r="H722" s="397"/>
      <c r="I722" s="377"/>
      <c r="J722" s="378"/>
      <c r="K722" s="379"/>
      <c r="L722" s="387"/>
      <c r="M722" s="380" t="str">
        <f t="array" ref="M722">IF(L722="","",(MAX(IF(AN$15:AN$144=B722,AO$15:AO$144))/60))</f>
        <v/>
      </c>
      <c r="N722" s="387"/>
      <c r="O722" s="387"/>
      <c r="P722" s="381" t="str">
        <f t="shared" si="45"/>
        <v/>
      </c>
      <c r="Q722" s="382" t="str">
        <f t="array" ref="Q722">IFERROR(INDEX($D$13:$D$1000,MATCH(0,COUNTIF($Q$13:Q721,$D$13:$D$1000&amp;"")+IF($D$13:$D$1000="",1,0),0)),"")</f>
        <v/>
      </c>
      <c r="R722" s="356" t="str">
        <f t="shared" si="46"/>
        <v/>
      </c>
      <c r="S722" s="383" t="str">
        <f t="shared" si="44"/>
        <v/>
      </c>
      <c r="T722" s="384" t="str">
        <f t="shared" si="47"/>
        <v/>
      </c>
      <c r="V722" s="385"/>
      <c r="W722" s="385"/>
      <c r="X722" s="386"/>
    </row>
    <row r="723" spans="2:24">
      <c r="B723" s="395"/>
      <c r="C723" s="371"/>
      <c r="D723" s="372" t="str">
        <f>IFERROR(INDEX('[11]Equipment List'!$B$2:$B$2038,MATCH(E723,'[11]Equipment List'!$A$2:$A$2038,0)),"")</f>
        <v/>
      </c>
      <c r="E723" s="388"/>
      <c r="F723" s="374"/>
      <c r="G723" s="375"/>
      <c r="H723" s="397"/>
      <c r="I723" s="377"/>
      <c r="J723" s="378"/>
      <c r="K723" s="379"/>
      <c r="L723" s="387"/>
      <c r="M723" s="380" t="str">
        <f t="array" ref="M723">IF(L723="","",(MAX(IF(AN$15:AN$144=B723,AO$15:AO$144))/60))</f>
        <v/>
      </c>
      <c r="N723" s="387"/>
      <c r="O723" s="387"/>
      <c r="P723" s="381" t="str">
        <f t="shared" si="45"/>
        <v/>
      </c>
      <c r="Q723" s="382" t="str">
        <f t="array" ref="Q723">IFERROR(INDEX($D$13:$D$1000,MATCH(0,COUNTIF($Q$13:Q722,$D$13:$D$1000&amp;"")+IF($D$13:$D$1000="",1,0),0)),"")</f>
        <v/>
      </c>
      <c r="R723" s="356" t="str">
        <f t="shared" si="46"/>
        <v/>
      </c>
      <c r="S723" s="383" t="str">
        <f t="shared" si="44"/>
        <v/>
      </c>
      <c r="T723" s="384" t="str">
        <f t="shared" si="47"/>
        <v/>
      </c>
      <c r="V723" s="385"/>
      <c r="W723" s="385"/>
      <c r="X723" s="386"/>
    </row>
    <row r="724" spans="2:24">
      <c r="B724" s="395"/>
      <c r="C724" s="371"/>
      <c r="D724" s="372" t="str">
        <f>IFERROR(INDEX('[11]Equipment List'!$B$2:$B$2038,MATCH(E724,'[11]Equipment List'!$A$2:$A$2038,0)),"")</f>
        <v/>
      </c>
      <c r="E724" s="388"/>
      <c r="F724" s="374"/>
      <c r="G724" s="375"/>
      <c r="H724" s="397"/>
      <c r="I724" s="377"/>
      <c r="J724" s="378"/>
      <c r="K724" s="379"/>
      <c r="L724" s="387"/>
      <c r="M724" s="380" t="str">
        <f t="array" ref="M724">IF(L724="","",(MAX(IF(AN$15:AN$144=B724,AO$15:AO$144))/60))</f>
        <v/>
      </c>
      <c r="N724" s="387"/>
      <c r="O724" s="387"/>
      <c r="P724" s="381" t="str">
        <f t="shared" si="45"/>
        <v/>
      </c>
      <c r="Q724" s="382" t="str">
        <f t="array" ref="Q724">IFERROR(INDEX($D$13:$D$1000,MATCH(0,COUNTIF($Q$13:Q723,$D$13:$D$1000&amp;"")+IF($D$13:$D$1000="",1,0),0)),"")</f>
        <v/>
      </c>
      <c r="R724" s="356" t="str">
        <f t="shared" si="46"/>
        <v/>
      </c>
      <c r="S724" s="383" t="str">
        <f t="shared" si="44"/>
        <v/>
      </c>
      <c r="T724" s="384" t="str">
        <f t="shared" si="47"/>
        <v/>
      </c>
      <c r="V724" s="385"/>
      <c r="W724" s="385"/>
      <c r="X724" s="386"/>
    </row>
    <row r="725" spans="2:24">
      <c r="B725" s="395"/>
      <c r="C725" s="371"/>
      <c r="D725" s="372" t="str">
        <f>IFERROR(INDEX('[11]Equipment List'!$B$2:$B$2038,MATCH(E725,'[11]Equipment List'!$A$2:$A$2038,0)),"")</f>
        <v/>
      </c>
      <c r="E725" s="388"/>
      <c r="F725" s="374"/>
      <c r="G725" s="375"/>
      <c r="H725" s="397"/>
      <c r="I725" s="377"/>
      <c r="J725" s="378"/>
      <c r="K725" s="379"/>
      <c r="L725" s="387"/>
      <c r="M725" s="380" t="str">
        <f t="array" ref="M725">IF(L725="","",(MAX(IF(AN$15:AN$144=B725,AO$15:AO$144))/60))</f>
        <v/>
      </c>
      <c r="N725" s="387"/>
      <c r="O725" s="387"/>
      <c r="P725" s="381" t="str">
        <f t="shared" si="45"/>
        <v/>
      </c>
      <c r="Q725" s="382" t="str">
        <f t="array" ref="Q725">IFERROR(INDEX($D$13:$D$1000,MATCH(0,COUNTIF($Q$13:Q724,$D$13:$D$1000&amp;"")+IF($D$13:$D$1000="",1,0),0)),"")</f>
        <v/>
      </c>
      <c r="R725" s="356" t="str">
        <f t="shared" si="46"/>
        <v/>
      </c>
      <c r="S725" s="383" t="str">
        <f t="shared" si="44"/>
        <v/>
      </c>
      <c r="T725" s="384" t="str">
        <f t="shared" si="47"/>
        <v/>
      </c>
      <c r="V725" s="385"/>
      <c r="W725" s="385"/>
      <c r="X725" s="386"/>
    </row>
    <row r="726" spans="2:24">
      <c r="B726" s="395"/>
      <c r="C726" s="371"/>
      <c r="D726" s="372" t="str">
        <f>IFERROR(INDEX('[11]Equipment List'!$B$2:$B$2038,MATCH(E726,'[11]Equipment List'!$A$2:$A$2038,0)),"")</f>
        <v/>
      </c>
      <c r="E726" s="388"/>
      <c r="F726" s="374"/>
      <c r="G726" s="375"/>
      <c r="H726" s="397"/>
      <c r="I726" s="377"/>
      <c r="J726" s="378"/>
      <c r="K726" s="379"/>
      <c r="L726" s="387"/>
      <c r="M726" s="380" t="str">
        <f t="array" ref="M726">IF(L726="","",(MAX(IF(AN$15:AN$144=B726,AO$15:AO$144))/60))</f>
        <v/>
      </c>
      <c r="N726" s="387"/>
      <c r="O726" s="387"/>
      <c r="P726" s="381" t="str">
        <f t="shared" si="45"/>
        <v/>
      </c>
      <c r="Q726" s="382" t="str">
        <f t="array" ref="Q726">IFERROR(INDEX($D$13:$D$1000,MATCH(0,COUNTIF($Q$13:Q725,$D$13:$D$1000&amp;"")+IF($D$13:$D$1000="",1,0),0)),"")</f>
        <v/>
      </c>
      <c r="R726" s="356" t="str">
        <f t="shared" si="46"/>
        <v/>
      </c>
      <c r="S726" s="383" t="str">
        <f t="shared" si="44"/>
        <v/>
      </c>
      <c r="T726" s="384" t="str">
        <f t="shared" si="47"/>
        <v/>
      </c>
      <c r="V726" s="385"/>
      <c r="W726" s="385"/>
      <c r="X726" s="386"/>
    </row>
    <row r="727" spans="2:24">
      <c r="B727" s="395"/>
      <c r="C727" s="371"/>
      <c r="D727" s="372" t="str">
        <f>IFERROR(INDEX('[11]Equipment List'!$B$2:$B$2038,MATCH(E727,'[11]Equipment List'!$A$2:$A$2038,0)),"")</f>
        <v/>
      </c>
      <c r="E727" s="388"/>
      <c r="F727" s="374"/>
      <c r="G727" s="375"/>
      <c r="H727" s="397"/>
      <c r="I727" s="377"/>
      <c r="J727" s="378"/>
      <c r="K727" s="379"/>
      <c r="L727" s="387"/>
      <c r="M727" s="380" t="str">
        <f t="array" ref="M727">IF(L727="","",(MAX(IF(AN$15:AN$144=B727,AO$15:AO$144))/60))</f>
        <v/>
      </c>
      <c r="N727" s="387"/>
      <c r="O727" s="387"/>
      <c r="P727" s="381" t="str">
        <f t="shared" si="45"/>
        <v/>
      </c>
      <c r="Q727" s="382" t="str">
        <f t="array" ref="Q727">IFERROR(INDEX($D$13:$D$1000,MATCH(0,COUNTIF($Q$13:Q726,$D$13:$D$1000&amp;"")+IF($D$13:$D$1000="",1,0),0)),"")</f>
        <v/>
      </c>
      <c r="R727" s="356" t="str">
        <f t="shared" si="46"/>
        <v/>
      </c>
      <c r="S727" s="383" t="str">
        <f t="shared" si="44"/>
        <v/>
      </c>
      <c r="T727" s="384" t="str">
        <f t="shared" si="47"/>
        <v/>
      </c>
      <c r="V727" s="385"/>
      <c r="W727" s="385"/>
      <c r="X727" s="386"/>
    </row>
    <row r="728" spans="2:24">
      <c r="B728" s="395"/>
      <c r="C728" s="371"/>
      <c r="D728" s="372" t="str">
        <f>IFERROR(INDEX('[11]Equipment List'!$B$2:$B$2038,MATCH(E728,'[11]Equipment List'!$A$2:$A$2038,0)),"")</f>
        <v/>
      </c>
      <c r="E728" s="388"/>
      <c r="F728" s="374"/>
      <c r="G728" s="375"/>
      <c r="H728" s="397"/>
      <c r="I728" s="377"/>
      <c r="J728" s="378"/>
      <c r="K728" s="379"/>
      <c r="L728" s="387"/>
      <c r="M728" s="380" t="str">
        <f t="array" ref="M728">IF(L728="","",(MAX(IF(AN$15:AN$144=B728,AO$15:AO$144))/60))</f>
        <v/>
      </c>
      <c r="N728" s="387"/>
      <c r="O728" s="387"/>
      <c r="P728" s="381" t="str">
        <f t="shared" si="45"/>
        <v/>
      </c>
      <c r="Q728" s="382" t="str">
        <f t="array" ref="Q728">IFERROR(INDEX($D$13:$D$1000,MATCH(0,COUNTIF($Q$13:Q727,$D$13:$D$1000&amp;"")+IF($D$13:$D$1000="",1,0),0)),"")</f>
        <v/>
      </c>
      <c r="R728" s="356" t="str">
        <f t="shared" si="46"/>
        <v/>
      </c>
      <c r="S728" s="383" t="str">
        <f t="shared" si="44"/>
        <v/>
      </c>
      <c r="T728" s="384" t="str">
        <f t="shared" si="47"/>
        <v/>
      </c>
      <c r="V728" s="385"/>
      <c r="W728" s="385"/>
      <c r="X728" s="386"/>
    </row>
    <row r="729" spans="2:24">
      <c r="B729" s="395"/>
      <c r="C729" s="371"/>
      <c r="D729" s="372" t="str">
        <f>IFERROR(INDEX('[11]Equipment List'!$B$2:$B$2038,MATCH(E729,'[11]Equipment List'!$A$2:$A$2038,0)),"")</f>
        <v/>
      </c>
      <c r="E729" s="388"/>
      <c r="F729" s="374"/>
      <c r="G729" s="375"/>
      <c r="H729" s="397"/>
      <c r="I729" s="377"/>
      <c r="J729" s="378"/>
      <c r="K729" s="379"/>
      <c r="L729" s="387"/>
      <c r="M729" s="380" t="str">
        <f t="array" ref="M729">IF(L729="","",(MAX(IF(AN$15:AN$144=B729,AO$15:AO$144))/60))</f>
        <v/>
      </c>
      <c r="N729" s="387"/>
      <c r="O729" s="387"/>
      <c r="P729" s="381" t="str">
        <f t="shared" si="45"/>
        <v/>
      </c>
      <c r="Q729" s="382" t="str">
        <f t="array" ref="Q729">IFERROR(INDEX($D$13:$D$1000,MATCH(0,COUNTIF($Q$13:Q728,$D$13:$D$1000&amp;"")+IF($D$13:$D$1000="",1,0),0)),"")</f>
        <v/>
      </c>
      <c r="R729" s="356" t="str">
        <f t="shared" si="46"/>
        <v/>
      </c>
      <c r="S729" s="383" t="str">
        <f t="shared" si="44"/>
        <v/>
      </c>
      <c r="T729" s="384" t="str">
        <f t="shared" si="47"/>
        <v/>
      </c>
      <c r="V729" s="385"/>
      <c r="W729" s="385"/>
      <c r="X729" s="386"/>
    </row>
    <row r="730" spans="2:24">
      <c r="B730" s="395"/>
      <c r="C730" s="371"/>
      <c r="D730" s="372" t="str">
        <f>IFERROR(INDEX('[11]Equipment List'!$B$2:$B$2038,MATCH(E730,'[11]Equipment List'!$A$2:$A$2038,0)),"")</f>
        <v/>
      </c>
      <c r="E730" s="388"/>
      <c r="F730" s="374"/>
      <c r="G730" s="375"/>
      <c r="H730" s="397"/>
      <c r="I730" s="377"/>
      <c r="J730" s="378"/>
      <c r="K730" s="379"/>
      <c r="L730" s="387"/>
      <c r="M730" s="380" t="str">
        <f t="array" ref="M730">IF(L730="","",(MAX(IF(AN$15:AN$144=B730,AO$15:AO$144))/60))</f>
        <v/>
      </c>
      <c r="N730" s="387"/>
      <c r="O730" s="387"/>
      <c r="P730" s="381" t="str">
        <f t="shared" si="45"/>
        <v/>
      </c>
      <c r="Q730" s="382" t="str">
        <f t="array" ref="Q730">IFERROR(INDEX($D$13:$D$1000,MATCH(0,COUNTIF($Q$13:Q729,$D$13:$D$1000&amp;"")+IF($D$13:$D$1000="",1,0),0)),"")</f>
        <v/>
      </c>
      <c r="R730" s="356" t="str">
        <f t="shared" si="46"/>
        <v/>
      </c>
      <c r="S730" s="383" t="str">
        <f t="shared" si="44"/>
        <v/>
      </c>
      <c r="T730" s="384" t="str">
        <f t="shared" si="47"/>
        <v/>
      </c>
      <c r="V730" s="385"/>
      <c r="W730" s="385"/>
      <c r="X730" s="386"/>
    </row>
    <row r="731" spans="2:24">
      <c r="B731" s="395"/>
      <c r="C731" s="371"/>
      <c r="D731" s="372" t="str">
        <f>IFERROR(INDEX('[11]Equipment List'!$B$2:$B$2038,MATCH(E731,'[11]Equipment List'!$A$2:$A$2038,0)),"")</f>
        <v/>
      </c>
      <c r="E731" s="388"/>
      <c r="F731" s="374"/>
      <c r="G731" s="375"/>
      <c r="H731" s="397"/>
      <c r="I731" s="377"/>
      <c r="J731" s="378"/>
      <c r="K731" s="379"/>
      <c r="L731" s="387"/>
      <c r="M731" s="380" t="str">
        <f t="array" ref="M731">IF(L731="","",(MAX(IF(AN$15:AN$144=B731,AO$15:AO$144))/60))</f>
        <v/>
      </c>
      <c r="N731" s="387"/>
      <c r="O731" s="387"/>
      <c r="P731" s="381" t="str">
        <f t="shared" si="45"/>
        <v/>
      </c>
      <c r="Q731" s="382" t="str">
        <f t="array" ref="Q731">IFERROR(INDEX($D$13:$D$1000,MATCH(0,COUNTIF($Q$13:Q730,$D$13:$D$1000&amp;"")+IF($D$13:$D$1000="",1,0),0)),"")</f>
        <v/>
      </c>
      <c r="R731" s="356" t="str">
        <f t="shared" si="46"/>
        <v/>
      </c>
      <c r="S731" s="383" t="str">
        <f t="shared" si="44"/>
        <v/>
      </c>
      <c r="T731" s="384" t="str">
        <f t="shared" si="47"/>
        <v/>
      </c>
      <c r="V731" s="385"/>
      <c r="W731" s="385"/>
      <c r="X731" s="386"/>
    </row>
    <row r="732" spans="2:24">
      <c r="B732" s="395"/>
      <c r="C732" s="371"/>
      <c r="D732" s="372" t="str">
        <f>IFERROR(INDEX('[11]Equipment List'!$B$2:$B$2038,MATCH(E732,'[11]Equipment List'!$A$2:$A$2038,0)),"")</f>
        <v/>
      </c>
      <c r="E732" s="388"/>
      <c r="F732" s="374"/>
      <c r="G732" s="375"/>
      <c r="H732" s="397"/>
      <c r="I732" s="377"/>
      <c r="J732" s="378"/>
      <c r="K732" s="379"/>
      <c r="L732" s="387"/>
      <c r="M732" s="380" t="str">
        <f t="array" ref="M732">IF(L732="","",(MAX(IF(AN$15:AN$144=B732,AO$15:AO$144))/60))</f>
        <v/>
      </c>
      <c r="N732" s="387"/>
      <c r="O732" s="387"/>
      <c r="P732" s="381" t="str">
        <f t="shared" si="45"/>
        <v/>
      </c>
      <c r="Q732" s="382" t="str">
        <f t="array" ref="Q732">IFERROR(INDEX($D$13:$D$1000,MATCH(0,COUNTIF($Q$13:Q731,$D$13:$D$1000&amp;"")+IF($D$13:$D$1000="",1,0),0)),"")</f>
        <v/>
      </c>
      <c r="R732" s="356" t="str">
        <f t="shared" si="46"/>
        <v/>
      </c>
      <c r="S732" s="383" t="str">
        <f t="shared" si="44"/>
        <v/>
      </c>
      <c r="T732" s="384" t="str">
        <f t="shared" si="47"/>
        <v/>
      </c>
      <c r="V732" s="385"/>
      <c r="W732" s="385"/>
      <c r="X732" s="386"/>
    </row>
    <row r="733" spans="2:24">
      <c r="B733" s="395"/>
      <c r="C733" s="371"/>
      <c r="D733" s="372" t="str">
        <f>IFERROR(INDEX('[11]Equipment List'!$B$2:$B$2038,MATCH(E733,'[11]Equipment List'!$A$2:$A$2038,0)),"")</f>
        <v/>
      </c>
      <c r="E733" s="388"/>
      <c r="F733" s="374"/>
      <c r="G733" s="375"/>
      <c r="H733" s="397"/>
      <c r="I733" s="377"/>
      <c r="J733" s="378"/>
      <c r="K733" s="379"/>
      <c r="L733" s="387"/>
      <c r="M733" s="380" t="str">
        <f t="array" ref="M733">IF(L733="","",(MAX(IF(AN$15:AN$144=B733,AO$15:AO$144))/60))</f>
        <v/>
      </c>
      <c r="N733" s="387"/>
      <c r="O733" s="387"/>
      <c r="P733" s="381" t="str">
        <f t="shared" si="45"/>
        <v/>
      </c>
      <c r="Q733" s="382" t="str">
        <f t="array" ref="Q733">IFERROR(INDEX($D$13:$D$1000,MATCH(0,COUNTIF($Q$13:Q732,$D$13:$D$1000&amp;"")+IF($D$13:$D$1000="",1,0),0)),"")</f>
        <v/>
      </c>
      <c r="R733" s="356" t="str">
        <f t="shared" si="46"/>
        <v/>
      </c>
      <c r="S733" s="383" t="str">
        <f t="shared" si="44"/>
        <v/>
      </c>
      <c r="T733" s="384" t="str">
        <f t="shared" si="47"/>
        <v/>
      </c>
      <c r="V733" s="385"/>
      <c r="W733" s="385"/>
      <c r="X733" s="386"/>
    </row>
    <row r="734" spans="2:24">
      <c r="B734" s="395"/>
      <c r="C734" s="371"/>
      <c r="D734" s="372" t="str">
        <f>IFERROR(INDEX('[11]Equipment List'!$B$2:$B$2038,MATCH(E734,'[11]Equipment List'!$A$2:$A$2038,0)),"")</f>
        <v/>
      </c>
      <c r="E734" s="388"/>
      <c r="F734" s="374"/>
      <c r="G734" s="375"/>
      <c r="H734" s="397"/>
      <c r="I734" s="377"/>
      <c r="J734" s="378"/>
      <c r="K734" s="379"/>
      <c r="L734" s="387"/>
      <c r="M734" s="380" t="str">
        <f t="array" ref="M734">IF(L734="","",(MAX(IF(AN$15:AN$144=B734,AO$15:AO$144))/60))</f>
        <v/>
      </c>
      <c r="N734" s="387"/>
      <c r="O734" s="387"/>
      <c r="P734" s="381" t="str">
        <f t="shared" si="45"/>
        <v/>
      </c>
      <c r="Q734" s="382" t="str">
        <f t="array" ref="Q734">IFERROR(INDEX($D$13:$D$1000,MATCH(0,COUNTIF($Q$13:Q733,$D$13:$D$1000&amp;"")+IF($D$13:$D$1000="",1,0),0)),"")</f>
        <v/>
      </c>
      <c r="R734" s="356" t="str">
        <f t="shared" si="46"/>
        <v/>
      </c>
      <c r="S734" s="383" t="str">
        <f t="shared" si="44"/>
        <v/>
      </c>
      <c r="T734" s="384" t="str">
        <f t="shared" si="47"/>
        <v/>
      </c>
      <c r="V734" s="385"/>
      <c r="W734" s="385"/>
      <c r="X734" s="386"/>
    </row>
    <row r="735" spans="2:24">
      <c r="B735" s="395"/>
      <c r="C735" s="371"/>
      <c r="D735" s="372" t="str">
        <f>IFERROR(INDEX('[11]Equipment List'!$B$2:$B$2038,MATCH(E735,'[11]Equipment List'!$A$2:$A$2038,0)),"")</f>
        <v/>
      </c>
      <c r="E735" s="388"/>
      <c r="F735" s="374"/>
      <c r="G735" s="375"/>
      <c r="H735" s="397"/>
      <c r="I735" s="377"/>
      <c r="J735" s="378"/>
      <c r="K735" s="379"/>
      <c r="L735" s="387"/>
      <c r="M735" s="380" t="str">
        <f t="array" ref="M735">IF(L735="","",(MAX(IF(AN$15:AN$144=B735,AO$15:AO$144))/60))</f>
        <v/>
      </c>
      <c r="N735" s="387"/>
      <c r="O735" s="387"/>
      <c r="P735" s="381" t="str">
        <f t="shared" si="45"/>
        <v/>
      </c>
      <c r="Q735" s="382" t="str">
        <f t="array" ref="Q735">IFERROR(INDEX($D$13:$D$1000,MATCH(0,COUNTIF($Q$13:Q734,$D$13:$D$1000&amp;"")+IF($D$13:$D$1000="",1,0),0)),"")</f>
        <v/>
      </c>
      <c r="R735" s="356" t="str">
        <f t="shared" si="46"/>
        <v/>
      </c>
      <c r="S735" s="383" t="str">
        <f t="shared" si="44"/>
        <v/>
      </c>
      <c r="T735" s="384" t="str">
        <f t="shared" si="47"/>
        <v/>
      </c>
      <c r="V735" s="385"/>
      <c r="W735" s="385"/>
      <c r="X735" s="386"/>
    </row>
    <row r="736" spans="2:24">
      <c r="B736" s="395"/>
      <c r="C736" s="371"/>
      <c r="D736" s="372" t="str">
        <f>IFERROR(INDEX('[11]Equipment List'!$B$2:$B$2038,MATCH(E736,'[11]Equipment List'!$A$2:$A$2038,0)),"")</f>
        <v/>
      </c>
      <c r="E736" s="388"/>
      <c r="F736" s="374"/>
      <c r="G736" s="375"/>
      <c r="H736" s="397"/>
      <c r="I736" s="377"/>
      <c r="J736" s="378"/>
      <c r="K736" s="379"/>
      <c r="L736" s="387"/>
      <c r="M736" s="380" t="str">
        <f t="array" ref="M736">IF(L736="","",(MAX(IF(AN$15:AN$144=B736,AO$15:AO$144))/60))</f>
        <v/>
      </c>
      <c r="N736" s="387"/>
      <c r="O736" s="387"/>
      <c r="P736" s="381" t="str">
        <f t="shared" si="45"/>
        <v/>
      </c>
      <c r="Q736" s="382" t="str">
        <f t="array" ref="Q736">IFERROR(INDEX($D$13:$D$1000,MATCH(0,COUNTIF($Q$13:Q735,$D$13:$D$1000&amp;"")+IF($D$13:$D$1000="",1,0),0)),"")</f>
        <v/>
      </c>
      <c r="R736" s="356" t="str">
        <f t="shared" si="46"/>
        <v/>
      </c>
      <c r="S736" s="383" t="str">
        <f t="shared" si="44"/>
        <v/>
      </c>
      <c r="T736" s="384" t="str">
        <f t="shared" si="47"/>
        <v/>
      </c>
      <c r="V736" s="385"/>
      <c r="W736" s="385"/>
      <c r="X736" s="386"/>
    </row>
    <row r="737" spans="2:24">
      <c r="B737" s="395"/>
      <c r="C737" s="371"/>
      <c r="D737" s="372" t="str">
        <f>IFERROR(INDEX('[11]Equipment List'!$B$2:$B$2038,MATCH(E737,'[11]Equipment List'!$A$2:$A$2038,0)),"")</f>
        <v/>
      </c>
      <c r="E737" s="388"/>
      <c r="F737" s="374"/>
      <c r="G737" s="375"/>
      <c r="H737" s="397"/>
      <c r="I737" s="377"/>
      <c r="J737" s="378"/>
      <c r="K737" s="379"/>
      <c r="L737" s="387"/>
      <c r="M737" s="380" t="str">
        <f t="array" ref="M737">IF(L737="","",(MAX(IF(AN$15:AN$144=B737,AO$15:AO$144))/60))</f>
        <v/>
      </c>
      <c r="N737" s="387"/>
      <c r="O737" s="387"/>
      <c r="P737" s="381" t="str">
        <f t="shared" si="45"/>
        <v/>
      </c>
      <c r="Q737" s="382" t="str">
        <f t="array" ref="Q737">IFERROR(INDEX($D$13:$D$1000,MATCH(0,COUNTIF($Q$13:Q736,$D$13:$D$1000&amp;"")+IF($D$13:$D$1000="",1,0),0)),"")</f>
        <v/>
      </c>
      <c r="R737" s="356" t="str">
        <f t="shared" si="46"/>
        <v/>
      </c>
      <c r="S737" s="383" t="str">
        <f t="shared" si="44"/>
        <v/>
      </c>
      <c r="T737" s="384" t="str">
        <f t="shared" si="47"/>
        <v/>
      </c>
      <c r="V737" s="385"/>
      <c r="W737" s="385"/>
      <c r="X737" s="386"/>
    </row>
    <row r="738" spans="2:24">
      <c r="B738" s="395"/>
      <c r="C738" s="371"/>
      <c r="D738" s="372" t="str">
        <f>IFERROR(INDEX('[11]Equipment List'!$B$2:$B$2038,MATCH(E738,'[11]Equipment List'!$A$2:$A$2038,0)),"")</f>
        <v/>
      </c>
      <c r="E738" s="388"/>
      <c r="F738" s="374"/>
      <c r="G738" s="375"/>
      <c r="H738" s="397"/>
      <c r="I738" s="377"/>
      <c r="J738" s="378"/>
      <c r="K738" s="379"/>
      <c r="L738" s="387"/>
      <c r="M738" s="380" t="str">
        <f t="array" ref="M738">IF(L738="","",(MAX(IF(AN$15:AN$144=B738,AO$15:AO$144))/60))</f>
        <v/>
      </c>
      <c r="N738" s="387"/>
      <c r="O738" s="387"/>
      <c r="P738" s="381" t="str">
        <f t="shared" si="45"/>
        <v/>
      </c>
      <c r="Q738" s="382" t="str">
        <f t="array" ref="Q738">IFERROR(INDEX($D$13:$D$1000,MATCH(0,COUNTIF($Q$13:Q737,$D$13:$D$1000&amp;"")+IF($D$13:$D$1000="",1,0),0)),"")</f>
        <v/>
      </c>
      <c r="R738" s="356" t="str">
        <f t="shared" si="46"/>
        <v/>
      </c>
      <c r="S738" s="383" t="str">
        <f t="shared" si="44"/>
        <v/>
      </c>
      <c r="T738" s="384" t="str">
        <f t="shared" si="47"/>
        <v/>
      </c>
      <c r="V738" s="385"/>
      <c r="W738" s="385"/>
      <c r="X738" s="386"/>
    </row>
    <row r="739" spans="2:24">
      <c r="B739" s="395"/>
      <c r="C739" s="371"/>
      <c r="D739" s="372" t="str">
        <f>IFERROR(INDEX('[11]Equipment List'!$B$2:$B$2038,MATCH(E739,'[11]Equipment List'!$A$2:$A$2038,0)),"")</f>
        <v/>
      </c>
      <c r="E739" s="388"/>
      <c r="F739" s="374"/>
      <c r="G739" s="375"/>
      <c r="H739" s="397"/>
      <c r="I739" s="377"/>
      <c r="J739" s="378"/>
      <c r="K739" s="379"/>
      <c r="L739" s="387"/>
      <c r="M739" s="380" t="str">
        <f t="array" ref="M739">IF(L739="","",(MAX(IF(AN$15:AN$144=B739,AO$15:AO$144))/60))</f>
        <v/>
      </c>
      <c r="N739" s="387"/>
      <c r="O739" s="387"/>
      <c r="P739" s="381" t="str">
        <f t="shared" si="45"/>
        <v/>
      </c>
      <c r="Q739" s="382" t="str">
        <f t="array" ref="Q739">IFERROR(INDEX($D$13:$D$1000,MATCH(0,COUNTIF($Q$13:Q738,$D$13:$D$1000&amp;"")+IF($D$13:$D$1000="",1,0),0)),"")</f>
        <v/>
      </c>
      <c r="R739" s="356" t="str">
        <f t="shared" si="46"/>
        <v/>
      </c>
      <c r="S739" s="383" t="str">
        <f t="shared" si="44"/>
        <v/>
      </c>
      <c r="T739" s="384" t="str">
        <f t="shared" si="47"/>
        <v/>
      </c>
      <c r="V739" s="385"/>
      <c r="W739" s="385"/>
      <c r="X739" s="386"/>
    </row>
    <row r="740" spans="2:24">
      <c r="B740" s="395"/>
      <c r="C740" s="371"/>
      <c r="D740" s="372" t="str">
        <f>IFERROR(INDEX('[11]Equipment List'!$B$2:$B$2038,MATCH(E740,'[11]Equipment List'!$A$2:$A$2038,0)),"")</f>
        <v/>
      </c>
      <c r="E740" s="388"/>
      <c r="F740" s="374"/>
      <c r="G740" s="375"/>
      <c r="H740" s="397"/>
      <c r="I740" s="377"/>
      <c r="J740" s="378"/>
      <c r="K740" s="379"/>
      <c r="L740" s="387"/>
      <c r="M740" s="380" t="str">
        <f t="array" ref="M740">IF(L740="","",(MAX(IF(AN$15:AN$144=B740,AO$15:AO$144))/60))</f>
        <v/>
      </c>
      <c r="N740" s="387"/>
      <c r="O740" s="387"/>
      <c r="P740" s="381" t="str">
        <f t="shared" si="45"/>
        <v/>
      </c>
      <c r="Q740" s="382" t="str">
        <f t="array" ref="Q740">IFERROR(INDEX($D$13:$D$1000,MATCH(0,COUNTIF($Q$13:Q739,$D$13:$D$1000&amp;"")+IF($D$13:$D$1000="",1,0),0)),"")</f>
        <v/>
      </c>
      <c r="R740" s="356" t="str">
        <f t="shared" si="46"/>
        <v/>
      </c>
      <c r="S740" s="383" t="str">
        <f t="shared" si="44"/>
        <v/>
      </c>
      <c r="T740" s="384" t="str">
        <f t="shared" si="47"/>
        <v/>
      </c>
      <c r="V740" s="385"/>
      <c r="W740" s="385"/>
      <c r="X740" s="386"/>
    </row>
    <row r="741" spans="2:24">
      <c r="B741" s="395"/>
      <c r="C741" s="371"/>
      <c r="D741" s="372" t="str">
        <f>IFERROR(INDEX('[11]Equipment List'!$B$2:$B$2038,MATCH(E741,'[11]Equipment List'!$A$2:$A$2038,0)),"")</f>
        <v/>
      </c>
      <c r="E741" s="388"/>
      <c r="F741" s="374"/>
      <c r="G741" s="375"/>
      <c r="H741" s="397"/>
      <c r="I741" s="377"/>
      <c r="J741" s="378"/>
      <c r="K741" s="379"/>
      <c r="L741" s="387"/>
      <c r="M741" s="380" t="str">
        <f t="array" ref="M741">IF(L741="","",(MAX(IF(AN$15:AN$144=B741,AO$15:AO$144))/60))</f>
        <v/>
      </c>
      <c r="N741" s="387"/>
      <c r="O741" s="387"/>
      <c r="P741" s="381" t="str">
        <f t="shared" si="45"/>
        <v/>
      </c>
      <c r="Q741" s="382" t="str">
        <f t="array" ref="Q741">IFERROR(INDEX($D$13:$D$1000,MATCH(0,COUNTIF($Q$13:Q740,$D$13:$D$1000&amp;"")+IF($D$13:$D$1000="",1,0),0)),"")</f>
        <v/>
      </c>
      <c r="R741" s="356" t="str">
        <f t="shared" si="46"/>
        <v/>
      </c>
      <c r="S741" s="383" t="str">
        <f t="shared" si="44"/>
        <v/>
      </c>
      <c r="T741" s="384" t="str">
        <f t="shared" si="47"/>
        <v/>
      </c>
      <c r="V741" s="385"/>
      <c r="W741" s="385"/>
      <c r="X741" s="386"/>
    </row>
    <row r="742" spans="2:24">
      <c r="B742" s="395"/>
      <c r="C742" s="371"/>
      <c r="D742" s="372" t="str">
        <f>IFERROR(INDEX('[11]Equipment List'!$B$2:$B$2038,MATCH(E742,'[11]Equipment List'!$A$2:$A$2038,0)),"")</f>
        <v/>
      </c>
      <c r="E742" s="388"/>
      <c r="F742" s="374"/>
      <c r="G742" s="375"/>
      <c r="H742" s="397"/>
      <c r="I742" s="377"/>
      <c r="J742" s="378"/>
      <c r="K742" s="379"/>
      <c r="L742" s="387"/>
      <c r="M742" s="380" t="str">
        <f t="array" ref="M742">IF(L742="","",(MAX(IF(AN$15:AN$144=B742,AO$15:AO$144))/60))</f>
        <v/>
      </c>
      <c r="N742" s="387"/>
      <c r="O742" s="387"/>
      <c r="P742" s="381" t="str">
        <f t="shared" si="45"/>
        <v/>
      </c>
      <c r="Q742" s="382" t="str">
        <f t="array" ref="Q742">IFERROR(INDEX($D$13:$D$1000,MATCH(0,COUNTIF($Q$13:Q741,$D$13:$D$1000&amp;"")+IF($D$13:$D$1000="",1,0),0)),"")</f>
        <v/>
      </c>
      <c r="R742" s="356" t="str">
        <f t="shared" si="46"/>
        <v/>
      </c>
      <c r="S742" s="383" t="str">
        <f t="shared" si="44"/>
        <v/>
      </c>
      <c r="T742" s="384" t="str">
        <f t="shared" si="47"/>
        <v/>
      </c>
      <c r="V742" s="385"/>
      <c r="W742" s="385"/>
      <c r="X742" s="386"/>
    </row>
    <row r="743" spans="2:24">
      <c r="B743" s="395"/>
      <c r="C743" s="371"/>
      <c r="D743" s="372" t="str">
        <f>IFERROR(INDEX('[11]Equipment List'!$B$2:$B$2038,MATCH(E743,'[11]Equipment List'!$A$2:$A$2038,0)),"")</f>
        <v/>
      </c>
      <c r="E743" s="388"/>
      <c r="F743" s="374"/>
      <c r="G743" s="375"/>
      <c r="H743" s="397"/>
      <c r="I743" s="377"/>
      <c r="J743" s="378"/>
      <c r="K743" s="379"/>
      <c r="L743" s="387"/>
      <c r="M743" s="380" t="str">
        <f t="array" ref="M743">IF(L743="","",(MAX(IF(AN$15:AN$144=B743,AO$15:AO$144))/60))</f>
        <v/>
      </c>
      <c r="N743" s="387"/>
      <c r="O743" s="387"/>
      <c r="P743" s="381" t="str">
        <f t="shared" si="45"/>
        <v/>
      </c>
      <c r="Q743" s="382" t="str">
        <f t="array" ref="Q743">IFERROR(INDEX($D$13:$D$1000,MATCH(0,COUNTIF($Q$13:Q742,$D$13:$D$1000&amp;"")+IF($D$13:$D$1000="",1,0),0)),"")</f>
        <v/>
      </c>
      <c r="R743" s="356" t="str">
        <f t="shared" si="46"/>
        <v/>
      </c>
      <c r="S743" s="383" t="str">
        <f t="shared" si="44"/>
        <v/>
      </c>
      <c r="T743" s="384" t="str">
        <f t="shared" si="47"/>
        <v/>
      </c>
      <c r="V743" s="385"/>
      <c r="W743" s="385"/>
      <c r="X743" s="386"/>
    </row>
    <row r="744" spans="2:24">
      <c r="B744" s="395"/>
      <c r="C744" s="371"/>
      <c r="D744" s="372" t="str">
        <f>IFERROR(INDEX('[11]Equipment List'!$B$2:$B$2038,MATCH(E744,'[11]Equipment List'!$A$2:$A$2038,0)),"")</f>
        <v/>
      </c>
      <c r="E744" s="388"/>
      <c r="F744" s="374"/>
      <c r="G744" s="375"/>
      <c r="H744" s="397"/>
      <c r="I744" s="377"/>
      <c r="J744" s="378"/>
      <c r="K744" s="379"/>
      <c r="L744" s="387"/>
      <c r="M744" s="380" t="str">
        <f t="array" ref="M744">IF(L744="","",(MAX(IF(AN$15:AN$144=B744,AO$15:AO$144))/60))</f>
        <v/>
      </c>
      <c r="N744" s="387"/>
      <c r="O744" s="387"/>
      <c r="P744" s="381" t="str">
        <f t="shared" si="45"/>
        <v/>
      </c>
      <c r="Q744" s="382" t="str">
        <f t="array" ref="Q744">IFERROR(INDEX($D$13:$D$1000,MATCH(0,COUNTIF($Q$13:Q743,$D$13:$D$1000&amp;"")+IF($D$13:$D$1000="",1,0),0)),"")</f>
        <v/>
      </c>
      <c r="R744" s="356" t="str">
        <f t="shared" si="46"/>
        <v/>
      </c>
      <c r="S744" s="383" t="str">
        <f t="shared" si="44"/>
        <v/>
      </c>
      <c r="T744" s="384" t="str">
        <f t="shared" si="47"/>
        <v/>
      </c>
      <c r="V744" s="385"/>
      <c r="W744" s="385"/>
      <c r="X744" s="386"/>
    </row>
    <row r="745" spans="2:24">
      <c r="B745" s="395"/>
      <c r="C745" s="371"/>
      <c r="D745" s="372" t="str">
        <f>IFERROR(INDEX('[11]Equipment List'!$B$2:$B$2038,MATCH(E745,'[11]Equipment List'!$A$2:$A$2038,0)),"")</f>
        <v/>
      </c>
      <c r="E745" s="388"/>
      <c r="F745" s="374"/>
      <c r="G745" s="375"/>
      <c r="H745" s="397"/>
      <c r="I745" s="377"/>
      <c r="J745" s="378"/>
      <c r="K745" s="379"/>
      <c r="L745" s="387"/>
      <c r="M745" s="380" t="str">
        <f t="array" ref="M745">IF(L745="","",(MAX(IF(AN$15:AN$144=B745,AO$15:AO$144))/60))</f>
        <v/>
      </c>
      <c r="N745" s="387"/>
      <c r="O745" s="387"/>
      <c r="P745" s="381" t="str">
        <f t="shared" si="45"/>
        <v/>
      </c>
      <c r="Q745" s="382" t="str">
        <f t="array" ref="Q745">IFERROR(INDEX($D$13:$D$1000,MATCH(0,COUNTIF($Q$13:Q744,$D$13:$D$1000&amp;"")+IF($D$13:$D$1000="",1,0),0)),"")</f>
        <v/>
      </c>
      <c r="R745" s="356" t="str">
        <f t="shared" si="46"/>
        <v/>
      </c>
      <c r="S745" s="383" t="str">
        <f t="shared" si="44"/>
        <v/>
      </c>
      <c r="T745" s="384" t="str">
        <f t="shared" si="47"/>
        <v/>
      </c>
      <c r="V745" s="385"/>
      <c r="W745" s="385"/>
      <c r="X745" s="386"/>
    </row>
    <row r="746" spans="2:24">
      <c r="B746" s="395"/>
      <c r="C746" s="371"/>
      <c r="D746" s="372" t="str">
        <f>IFERROR(INDEX('[11]Equipment List'!$B$2:$B$2038,MATCH(E746,'[11]Equipment List'!$A$2:$A$2038,0)),"")</f>
        <v/>
      </c>
      <c r="E746" s="388"/>
      <c r="F746" s="374"/>
      <c r="G746" s="375"/>
      <c r="H746" s="397"/>
      <c r="I746" s="377"/>
      <c r="J746" s="378"/>
      <c r="K746" s="379"/>
      <c r="L746" s="387"/>
      <c r="M746" s="380" t="str">
        <f t="array" ref="M746">IF(L746="","",(MAX(IF(AN$15:AN$144=B746,AO$15:AO$144))/60))</f>
        <v/>
      </c>
      <c r="N746" s="387"/>
      <c r="O746" s="387"/>
      <c r="P746" s="381" t="str">
        <f t="shared" si="45"/>
        <v/>
      </c>
      <c r="Q746" s="382" t="str">
        <f t="array" ref="Q746">IFERROR(INDEX($D$13:$D$1000,MATCH(0,COUNTIF($Q$13:Q745,$D$13:$D$1000&amp;"")+IF($D$13:$D$1000="",1,0),0)),"")</f>
        <v/>
      </c>
      <c r="R746" s="356" t="str">
        <f t="shared" si="46"/>
        <v/>
      </c>
      <c r="S746" s="383" t="str">
        <f t="shared" si="44"/>
        <v/>
      </c>
      <c r="T746" s="384" t="str">
        <f t="shared" si="47"/>
        <v/>
      </c>
      <c r="V746" s="385"/>
      <c r="W746" s="385"/>
      <c r="X746" s="386"/>
    </row>
    <row r="747" spans="2:24">
      <c r="B747" s="395"/>
      <c r="C747" s="371"/>
      <c r="D747" s="372" t="str">
        <f>IFERROR(INDEX('[11]Equipment List'!$B$2:$B$2038,MATCH(E747,'[11]Equipment List'!$A$2:$A$2038,0)),"")</f>
        <v/>
      </c>
      <c r="E747" s="388"/>
      <c r="F747" s="374"/>
      <c r="G747" s="375"/>
      <c r="H747" s="397"/>
      <c r="I747" s="377"/>
      <c r="J747" s="378"/>
      <c r="K747" s="379"/>
      <c r="L747" s="387"/>
      <c r="M747" s="380" t="str">
        <f t="array" ref="M747">IF(L747="","",(MAX(IF(AN$15:AN$144=B747,AO$15:AO$144))/60))</f>
        <v/>
      </c>
      <c r="N747" s="387"/>
      <c r="O747" s="387"/>
      <c r="P747" s="381" t="str">
        <f t="shared" si="45"/>
        <v/>
      </c>
      <c r="Q747" s="382" t="str">
        <f t="array" ref="Q747">IFERROR(INDEX($D$13:$D$1000,MATCH(0,COUNTIF($Q$13:Q746,$D$13:$D$1000&amp;"")+IF($D$13:$D$1000="",1,0),0)),"")</f>
        <v/>
      </c>
      <c r="R747" s="356" t="str">
        <f t="shared" si="46"/>
        <v/>
      </c>
      <c r="S747" s="383" t="str">
        <f t="shared" ref="S747:S810" si="48">IF($Q747="","",SUMIF($D$13:$D$1000,$Q747,I$13:I$1000))</f>
        <v/>
      </c>
      <c r="T747" s="384" t="str">
        <f t="shared" si="47"/>
        <v/>
      </c>
      <c r="V747" s="385"/>
      <c r="W747" s="385"/>
      <c r="X747" s="386"/>
    </row>
    <row r="748" spans="2:24">
      <c r="B748" s="395"/>
      <c r="C748" s="371"/>
      <c r="D748" s="372" t="str">
        <f>IFERROR(INDEX('[11]Equipment List'!$B$2:$B$2038,MATCH(E748,'[11]Equipment List'!$A$2:$A$2038,0)),"")</f>
        <v/>
      </c>
      <c r="E748" s="388"/>
      <c r="F748" s="374"/>
      <c r="G748" s="375"/>
      <c r="H748" s="397"/>
      <c r="I748" s="377"/>
      <c r="J748" s="378"/>
      <c r="K748" s="379"/>
      <c r="L748" s="387"/>
      <c r="M748" s="380" t="str">
        <f t="array" ref="M748">IF(L748="","",(MAX(IF(AN$15:AN$144=B748,AO$15:AO$144))/60))</f>
        <v/>
      </c>
      <c r="N748" s="387"/>
      <c r="O748" s="387"/>
      <c r="P748" s="381" t="str">
        <f t="shared" si="45"/>
        <v/>
      </c>
      <c r="Q748" s="382" t="str">
        <f t="array" ref="Q748">IFERROR(INDEX($D$13:$D$1000,MATCH(0,COUNTIF($Q$13:Q747,$D$13:$D$1000&amp;"")+IF($D$13:$D$1000="",1,0),0)),"")</f>
        <v/>
      </c>
      <c r="R748" s="356" t="str">
        <f t="shared" si="46"/>
        <v/>
      </c>
      <c r="S748" s="383" t="str">
        <f t="shared" si="48"/>
        <v/>
      </c>
      <c r="T748" s="384" t="str">
        <f t="shared" si="47"/>
        <v/>
      </c>
      <c r="V748" s="385"/>
      <c r="W748" s="385"/>
      <c r="X748" s="386"/>
    </row>
    <row r="749" spans="2:24">
      <c r="B749" s="395"/>
      <c r="C749" s="371"/>
      <c r="D749" s="372" t="str">
        <f>IFERROR(INDEX('[11]Equipment List'!$B$2:$B$2038,MATCH(E749,'[11]Equipment List'!$A$2:$A$2038,0)),"")</f>
        <v/>
      </c>
      <c r="E749" s="388"/>
      <c r="F749" s="374"/>
      <c r="G749" s="375"/>
      <c r="H749" s="397"/>
      <c r="I749" s="377"/>
      <c r="J749" s="378"/>
      <c r="K749" s="379"/>
      <c r="L749" s="387"/>
      <c r="M749" s="380" t="str">
        <f t="array" ref="M749">IF(L749="","",(MAX(IF(AN$15:AN$144=B749,AO$15:AO$144))/60))</f>
        <v/>
      </c>
      <c r="N749" s="387"/>
      <c r="O749" s="387"/>
      <c r="P749" s="381" t="str">
        <f t="shared" si="45"/>
        <v/>
      </c>
      <c r="Q749" s="382" t="str">
        <f t="array" ref="Q749">IFERROR(INDEX($D$13:$D$1000,MATCH(0,COUNTIF($Q$13:Q748,$D$13:$D$1000&amp;"")+IF($D$13:$D$1000="",1,0),0)),"")</f>
        <v/>
      </c>
      <c r="R749" s="356" t="str">
        <f t="shared" si="46"/>
        <v/>
      </c>
      <c r="S749" s="383" t="str">
        <f t="shared" si="48"/>
        <v/>
      </c>
      <c r="T749" s="384" t="str">
        <f t="shared" si="47"/>
        <v/>
      </c>
      <c r="V749" s="385"/>
      <c r="W749" s="385"/>
      <c r="X749" s="386"/>
    </row>
    <row r="750" spans="2:24">
      <c r="B750" s="395"/>
      <c r="C750" s="371"/>
      <c r="D750" s="372" t="str">
        <f>IFERROR(INDEX('[11]Equipment List'!$B$2:$B$2038,MATCH(E750,'[11]Equipment List'!$A$2:$A$2038,0)),"")</f>
        <v/>
      </c>
      <c r="E750" s="388"/>
      <c r="F750" s="374"/>
      <c r="G750" s="375"/>
      <c r="H750" s="397"/>
      <c r="I750" s="377"/>
      <c r="J750" s="378"/>
      <c r="K750" s="379"/>
      <c r="L750" s="387"/>
      <c r="M750" s="380" t="str">
        <f t="array" ref="M750">IF(L750="","",(MAX(IF(AN$15:AN$144=B750,AO$15:AO$144))/60))</f>
        <v/>
      </c>
      <c r="N750" s="387"/>
      <c r="O750" s="387"/>
      <c r="P750" s="381" t="str">
        <f t="shared" si="45"/>
        <v/>
      </c>
      <c r="Q750" s="382" t="str">
        <f t="array" ref="Q750">IFERROR(INDEX($D$13:$D$1000,MATCH(0,COUNTIF($Q$13:Q749,$D$13:$D$1000&amp;"")+IF($D$13:$D$1000="",1,0),0)),"")</f>
        <v/>
      </c>
      <c r="R750" s="356" t="str">
        <f t="shared" si="46"/>
        <v/>
      </c>
      <c r="S750" s="383" t="str">
        <f t="shared" si="48"/>
        <v/>
      </c>
      <c r="T750" s="384" t="str">
        <f t="shared" si="47"/>
        <v/>
      </c>
      <c r="V750" s="385"/>
      <c r="W750" s="385"/>
      <c r="X750" s="386"/>
    </row>
    <row r="751" spans="2:24">
      <c r="B751" s="395"/>
      <c r="C751" s="371"/>
      <c r="D751" s="372" t="str">
        <f>IFERROR(INDEX('[11]Equipment List'!$B$2:$B$2038,MATCH(E751,'[11]Equipment List'!$A$2:$A$2038,0)),"")</f>
        <v/>
      </c>
      <c r="E751" s="388"/>
      <c r="F751" s="374"/>
      <c r="G751" s="375"/>
      <c r="H751" s="397"/>
      <c r="I751" s="377"/>
      <c r="J751" s="378"/>
      <c r="K751" s="379"/>
      <c r="L751" s="387"/>
      <c r="M751" s="380" t="str">
        <f t="array" ref="M751">IF(L751="","",(MAX(IF(AN$15:AN$144=B751,AO$15:AO$144))/60))</f>
        <v/>
      </c>
      <c r="N751" s="387"/>
      <c r="O751" s="387"/>
      <c r="P751" s="381" t="str">
        <f t="shared" si="45"/>
        <v/>
      </c>
      <c r="Q751" s="382" t="str">
        <f t="array" ref="Q751">IFERROR(INDEX($D$13:$D$1000,MATCH(0,COUNTIF($Q$13:Q750,$D$13:$D$1000&amp;"")+IF($D$13:$D$1000="",1,0),0)),"")</f>
        <v/>
      </c>
      <c r="R751" s="356" t="str">
        <f t="shared" si="46"/>
        <v/>
      </c>
      <c r="S751" s="383" t="str">
        <f t="shared" si="48"/>
        <v/>
      </c>
      <c r="T751" s="384" t="str">
        <f t="shared" si="47"/>
        <v/>
      </c>
      <c r="V751" s="385"/>
      <c r="W751" s="385"/>
      <c r="X751" s="386"/>
    </row>
    <row r="752" spans="2:24">
      <c r="B752" s="395"/>
      <c r="C752" s="371"/>
      <c r="D752" s="372" t="str">
        <f>IFERROR(INDEX('[11]Equipment List'!$B$2:$B$2038,MATCH(E752,'[11]Equipment List'!$A$2:$A$2038,0)),"")</f>
        <v/>
      </c>
      <c r="E752" s="388"/>
      <c r="F752" s="374"/>
      <c r="G752" s="375"/>
      <c r="H752" s="397"/>
      <c r="I752" s="377"/>
      <c r="J752" s="378"/>
      <c r="K752" s="379"/>
      <c r="L752" s="387"/>
      <c r="M752" s="380" t="str">
        <f t="array" ref="M752">IF(L752="","",(MAX(IF(AN$15:AN$144=B752,AO$15:AO$144))/60))</f>
        <v/>
      </c>
      <c r="N752" s="387"/>
      <c r="O752" s="387"/>
      <c r="P752" s="381" t="str">
        <f t="shared" si="45"/>
        <v/>
      </c>
      <c r="Q752" s="382" t="str">
        <f t="array" ref="Q752">IFERROR(INDEX($D$13:$D$1000,MATCH(0,COUNTIF($Q$13:Q751,$D$13:$D$1000&amp;"")+IF($D$13:$D$1000="",1,0),0)),"")</f>
        <v/>
      </c>
      <c r="R752" s="356" t="str">
        <f t="shared" si="46"/>
        <v/>
      </c>
      <c r="S752" s="383" t="str">
        <f t="shared" si="48"/>
        <v/>
      </c>
      <c r="T752" s="384" t="str">
        <f t="shared" si="47"/>
        <v/>
      </c>
      <c r="V752" s="385"/>
      <c r="W752" s="385"/>
      <c r="X752" s="386"/>
    </row>
    <row r="753" spans="2:24">
      <c r="B753" s="395"/>
      <c r="C753" s="371"/>
      <c r="D753" s="372" t="str">
        <f>IFERROR(INDEX('[11]Equipment List'!$B$2:$B$2038,MATCH(E753,'[11]Equipment List'!$A$2:$A$2038,0)),"")</f>
        <v/>
      </c>
      <c r="E753" s="388"/>
      <c r="F753" s="374"/>
      <c r="G753" s="375"/>
      <c r="H753" s="397"/>
      <c r="I753" s="377"/>
      <c r="J753" s="378"/>
      <c r="K753" s="379"/>
      <c r="L753" s="387"/>
      <c r="M753" s="380" t="str">
        <f t="array" ref="M753">IF(L753="","",(MAX(IF(AN$15:AN$144=B753,AO$15:AO$144))/60))</f>
        <v/>
      </c>
      <c r="N753" s="387"/>
      <c r="O753" s="387"/>
      <c r="P753" s="381" t="str">
        <f t="shared" si="45"/>
        <v/>
      </c>
      <c r="Q753" s="382" t="str">
        <f t="array" ref="Q753">IFERROR(INDEX($D$13:$D$1000,MATCH(0,COUNTIF($Q$13:Q752,$D$13:$D$1000&amp;"")+IF($D$13:$D$1000="",1,0),0)),"")</f>
        <v/>
      </c>
      <c r="R753" s="356" t="str">
        <f t="shared" si="46"/>
        <v/>
      </c>
      <c r="S753" s="383" t="str">
        <f t="shared" si="48"/>
        <v/>
      </c>
      <c r="T753" s="384" t="str">
        <f t="shared" si="47"/>
        <v/>
      </c>
      <c r="V753" s="385"/>
      <c r="W753" s="385"/>
      <c r="X753" s="386"/>
    </row>
    <row r="754" spans="2:24">
      <c r="B754" s="395"/>
      <c r="C754" s="371"/>
      <c r="D754" s="372" t="str">
        <f>IFERROR(INDEX('[11]Equipment List'!$B$2:$B$2038,MATCH(E754,'[11]Equipment List'!$A$2:$A$2038,0)),"")</f>
        <v/>
      </c>
      <c r="E754" s="388"/>
      <c r="F754" s="374"/>
      <c r="G754" s="375"/>
      <c r="H754" s="397"/>
      <c r="I754" s="377"/>
      <c r="J754" s="378"/>
      <c r="K754" s="379"/>
      <c r="L754" s="387"/>
      <c r="M754" s="380" t="str">
        <f t="array" ref="M754">IF(L754="","",(MAX(IF(AN$15:AN$144=B754,AO$15:AO$144))/60))</f>
        <v/>
      </c>
      <c r="N754" s="387"/>
      <c r="O754" s="387"/>
      <c r="P754" s="381" t="str">
        <f t="shared" si="45"/>
        <v/>
      </c>
      <c r="Q754" s="382" t="str">
        <f t="array" ref="Q754">IFERROR(INDEX($D$13:$D$1000,MATCH(0,COUNTIF($Q$13:Q753,$D$13:$D$1000&amp;"")+IF($D$13:$D$1000="",1,0),0)),"")</f>
        <v/>
      </c>
      <c r="R754" s="356" t="str">
        <f t="shared" si="46"/>
        <v/>
      </c>
      <c r="S754" s="383" t="str">
        <f t="shared" si="48"/>
        <v/>
      </c>
      <c r="T754" s="384" t="str">
        <f t="shared" si="47"/>
        <v/>
      </c>
      <c r="V754" s="385"/>
      <c r="W754" s="385"/>
      <c r="X754" s="386"/>
    </row>
    <row r="755" spans="2:24">
      <c r="B755" s="395"/>
      <c r="C755" s="371"/>
      <c r="D755" s="372" t="str">
        <f>IFERROR(INDEX('[11]Equipment List'!$B$2:$B$2038,MATCH(E755,'[11]Equipment List'!$A$2:$A$2038,0)),"")</f>
        <v/>
      </c>
      <c r="E755" s="388"/>
      <c r="F755" s="374"/>
      <c r="G755" s="375"/>
      <c r="H755" s="397"/>
      <c r="I755" s="377"/>
      <c r="J755" s="378"/>
      <c r="K755" s="379"/>
      <c r="L755" s="387"/>
      <c r="M755" s="380" t="str">
        <f t="array" ref="M755">IF(L755="","",(MAX(IF(AN$15:AN$144=B755,AO$15:AO$144))/60))</f>
        <v/>
      </c>
      <c r="N755" s="387"/>
      <c r="O755" s="387"/>
      <c r="P755" s="381" t="str">
        <f t="shared" si="45"/>
        <v/>
      </c>
      <c r="Q755" s="382" t="str">
        <f t="array" ref="Q755">IFERROR(INDEX($D$13:$D$1000,MATCH(0,COUNTIF($Q$13:Q754,$D$13:$D$1000&amp;"")+IF($D$13:$D$1000="",1,0),0)),"")</f>
        <v/>
      </c>
      <c r="R755" s="356" t="str">
        <f t="shared" si="46"/>
        <v/>
      </c>
      <c r="S755" s="383" t="str">
        <f t="shared" si="48"/>
        <v/>
      </c>
      <c r="T755" s="384" t="str">
        <f t="shared" si="47"/>
        <v/>
      </c>
      <c r="V755" s="385"/>
      <c r="W755" s="385"/>
      <c r="X755" s="386"/>
    </row>
    <row r="756" spans="2:24">
      <c r="B756" s="395"/>
      <c r="C756" s="371"/>
      <c r="D756" s="372" t="str">
        <f>IFERROR(INDEX('[11]Equipment List'!$B$2:$B$2038,MATCH(E756,'[11]Equipment List'!$A$2:$A$2038,0)),"")</f>
        <v/>
      </c>
      <c r="E756" s="388"/>
      <c r="F756" s="374"/>
      <c r="G756" s="375"/>
      <c r="H756" s="397"/>
      <c r="I756" s="377"/>
      <c r="J756" s="378"/>
      <c r="K756" s="379"/>
      <c r="L756" s="387"/>
      <c r="M756" s="380" t="str">
        <f t="array" ref="M756">IF(L756="","",(MAX(IF(AN$15:AN$144=B756,AO$15:AO$144))/60))</f>
        <v/>
      </c>
      <c r="N756" s="387"/>
      <c r="O756" s="387"/>
      <c r="P756" s="381" t="str">
        <f t="shared" si="45"/>
        <v/>
      </c>
      <c r="Q756" s="382" t="str">
        <f t="array" ref="Q756">IFERROR(INDEX($D$13:$D$1000,MATCH(0,COUNTIF($Q$13:Q755,$D$13:$D$1000&amp;"")+IF($D$13:$D$1000="",1,0),0)),"")</f>
        <v/>
      </c>
      <c r="R756" s="356" t="str">
        <f t="shared" si="46"/>
        <v/>
      </c>
      <c r="S756" s="383" t="str">
        <f t="shared" si="48"/>
        <v/>
      </c>
      <c r="T756" s="384" t="str">
        <f t="shared" si="47"/>
        <v/>
      </c>
      <c r="V756" s="385"/>
      <c r="W756" s="385"/>
      <c r="X756" s="386"/>
    </row>
    <row r="757" spans="2:24">
      <c r="B757" s="395"/>
      <c r="C757" s="371"/>
      <c r="D757" s="372" t="str">
        <f>IFERROR(INDEX('[11]Equipment List'!$B$2:$B$2038,MATCH(E757,'[11]Equipment List'!$A$2:$A$2038,0)),"")</f>
        <v/>
      </c>
      <c r="E757" s="388"/>
      <c r="F757" s="374"/>
      <c r="G757" s="375"/>
      <c r="H757" s="397"/>
      <c r="I757" s="377"/>
      <c r="J757" s="378"/>
      <c r="K757" s="379"/>
      <c r="L757" s="387"/>
      <c r="M757" s="380" t="str">
        <f t="array" ref="M757">IF(L757="","",(MAX(IF(AN$15:AN$144=B757,AO$15:AO$144))/60))</f>
        <v/>
      </c>
      <c r="N757" s="387"/>
      <c r="O757" s="387"/>
      <c r="P757" s="381" t="str">
        <f t="shared" si="45"/>
        <v/>
      </c>
      <c r="Q757" s="382" t="str">
        <f t="array" ref="Q757">IFERROR(INDEX($D$13:$D$1000,MATCH(0,COUNTIF($Q$13:Q756,$D$13:$D$1000&amp;"")+IF($D$13:$D$1000="",1,0),0)),"")</f>
        <v/>
      </c>
      <c r="R757" s="356" t="str">
        <f t="shared" si="46"/>
        <v/>
      </c>
      <c r="S757" s="383" t="str">
        <f t="shared" si="48"/>
        <v/>
      </c>
      <c r="T757" s="384" t="str">
        <f t="shared" si="47"/>
        <v/>
      </c>
      <c r="V757" s="385"/>
      <c r="W757" s="385"/>
      <c r="X757" s="386"/>
    </row>
    <row r="758" spans="2:24">
      <c r="B758" s="395"/>
      <c r="C758" s="371"/>
      <c r="D758" s="372" t="str">
        <f>IFERROR(INDEX('[11]Equipment List'!$B$2:$B$2038,MATCH(E758,'[11]Equipment List'!$A$2:$A$2038,0)),"")</f>
        <v/>
      </c>
      <c r="E758" s="388"/>
      <c r="F758" s="374"/>
      <c r="G758" s="375"/>
      <c r="H758" s="397"/>
      <c r="I758" s="377"/>
      <c r="J758" s="378"/>
      <c r="K758" s="379"/>
      <c r="L758" s="387"/>
      <c r="M758" s="380" t="str">
        <f t="array" ref="M758">IF(L758="","",(MAX(IF(AN$15:AN$144=B758,AO$15:AO$144))/60))</f>
        <v/>
      </c>
      <c r="N758" s="387"/>
      <c r="O758" s="387"/>
      <c r="P758" s="381" t="str">
        <f t="shared" si="45"/>
        <v/>
      </c>
      <c r="Q758" s="382" t="str">
        <f t="array" ref="Q758">IFERROR(INDEX($D$13:$D$1000,MATCH(0,COUNTIF($Q$13:Q757,$D$13:$D$1000&amp;"")+IF($D$13:$D$1000="",1,0),0)),"")</f>
        <v/>
      </c>
      <c r="R758" s="356" t="str">
        <f t="shared" si="46"/>
        <v/>
      </c>
      <c r="S758" s="383" t="str">
        <f t="shared" si="48"/>
        <v/>
      </c>
      <c r="T758" s="384" t="str">
        <f t="shared" si="47"/>
        <v/>
      </c>
      <c r="V758" s="385"/>
      <c r="W758" s="385"/>
      <c r="X758" s="386"/>
    </row>
    <row r="759" spans="2:24">
      <c r="B759" s="395"/>
      <c r="C759" s="371"/>
      <c r="D759" s="372" t="str">
        <f>IFERROR(INDEX('[11]Equipment List'!$B$2:$B$2038,MATCH(E759,'[11]Equipment List'!$A$2:$A$2038,0)),"")</f>
        <v/>
      </c>
      <c r="E759" s="388"/>
      <c r="F759" s="374"/>
      <c r="G759" s="375"/>
      <c r="H759" s="397"/>
      <c r="I759" s="377"/>
      <c r="J759" s="378"/>
      <c r="K759" s="379"/>
      <c r="L759" s="387"/>
      <c r="M759" s="380" t="str">
        <f t="array" ref="M759">IF(L759="","",(MAX(IF(AN$15:AN$144=B759,AO$15:AO$144))/60))</f>
        <v/>
      </c>
      <c r="N759" s="387"/>
      <c r="O759" s="387"/>
      <c r="P759" s="381" t="str">
        <f t="shared" si="45"/>
        <v/>
      </c>
      <c r="Q759" s="382" t="str">
        <f t="array" ref="Q759">IFERROR(INDEX($D$13:$D$1000,MATCH(0,COUNTIF($Q$13:Q758,$D$13:$D$1000&amp;"")+IF($D$13:$D$1000="",1,0),0)),"")</f>
        <v/>
      </c>
      <c r="R759" s="356" t="str">
        <f t="shared" si="46"/>
        <v/>
      </c>
      <c r="S759" s="383" t="str">
        <f t="shared" si="48"/>
        <v/>
      </c>
      <c r="T759" s="384" t="str">
        <f t="shared" si="47"/>
        <v/>
      </c>
      <c r="V759" s="385"/>
      <c r="W759" s="385"/>
      <c r="X759" s="386"/>
    </row>
    <row r="760" spans="2:24">
      <c r="B760" s="395"/>
      <c r="C760" s="371"/>
      <c r="D760" s="372" t="str">
        <f>IFERROR(INDEX('[11]Equipment List'!$B$2:$B$2038,MATCH(E760,'[11]Equipment List'!$A$2:$A$2038,0)),"")</f>
        <v/>
      </c>
      <c r="E760" s="388"/>
      <c r="F760" s="374"/>
      <c r="G760" s="375"/>
      <c r="H760" s="397"/>
      <c r="I760" s="377"/>
      <c r="J760" s="378"/>
      <c r="K760" s="379"/>
      <c r="L760" s="387"/>
      <c r="M760" s="380" t="str">
        <f t="array" ref="M760">IF(L760="","",(MAX(IF(AN$15:AN$144=B760,AO$15:AO$144))/60))</f>
        <v/>
      </c>
      <c r="N760" s="387"/>
      <c r="O760" s="387"/>
      <c r="P760" s="381" t="str">
        <f t="shared" si="45"/>
        <v/>
      </c>
      <c r="Q760" s="382" t="str">
        <f t="array" ref="Q760">IFERROR(INDEX($D$13:$D$1000,MATCH(0,COUNTIF($Q$13:Q759,$D$13:$D$1000&amp;"")+IF($D$13:$D$1000="",1,0),0)),"")</f>
        <v/>
      </c>
      <c r="R760" s="356" t="str">
        <f t="shared" si="46"/>
        <v/>
      </c>
      <c r="S760" s="383" t="str">
        <f t="shared" si="48"/>
        <v/>
      </c>
      <c r="T760" s="384" t="str">
        <f t="shared" si="47"/>
        <v/>
      </c>
      <c r="V760" s="385"/>
      <c r="W760" s="385"/>
      <c r="X760" s="386"/>
    </row>
    <row r="761" spans="2:24">
      <c r="B761" s="395"/>
      <c r="C761" s="371"/>
      <c r="D761" s="372" t="str">
        <f>IFERROR(INDEX('[11]Equipment List'!$B$2:$B$2038,MATCH(E761,'[11]Equipment List'!$A$2:$A$2038,0)),"")</f>
        <v/>
      </c>
      <c r="E761" s="388"/>
      <c r="F761" s="374"/>
      <c r="G761" s="375"/>
      <c r="H761" s="397"/>
      <c r="I761" s="377"/>
      <c r="J761" s="378"/>
      <c r="K761" s="379"/>
      <c r="L761" s="387"/>
      <c r="M761" s="380" t="str">
        <f t="array" ref="M761">IF(L761="","",(MAX(IF(AN$15:AN$144=B761,AO$15:AO$144))/60))</f>
        <v/>
      </c>
      <c r="N761" s="387"/>
      <c r="O761" s="387"/>
      <c r="P761" s="381" t="str">
        <f t="shared" si="45"/>
        <v/>
      </c>
      <c r="Q761" s="382" t="str">
        <f t="array" ref="Q761">IFERROR(INDEX($D$13:$D$1000,MATCH(0,COUNTIF($Q$13:Q760,$D$13:$D$1000&amp;"")+IF($D$13:$D$1000="",1,0),0)),"")</f>
        <v/>
      </c>
      <c r="R761" s="356" t="str">
        <f t="shared" si="46"/>
        <v/>
      </c>
      <c r="S761" s="383" t="str">
        <f t="shared" si="48"/>
        <v/>
      </c>
      <c r="T761" s="384" t="str">
        <f t="shared" si="47"/>
        <v/>
      </c>
      <c r="V761" s="385"/>
      <c r="W761" s="385"/>
      <c r="X761" s="386"/>
    </row>
    <row r="762" spans="2:24">
      <c r="B762" s="395"/>
      <c r="C762" s="371"/>
      <c r="D762" s="372" t="str">
        <f>IFERROR(INDEX('[11]Equipment List'!$B$2:$B$2038,MATCH(E762,'[11]Equipment List'!$A$2:$A$2038,0)),"")</f>
        <v/>
      </c>
      <c r="E762" s="388"/>
      <c r="F762" s="374"/>
      <c r="G762" s="375"/>
      <c r="H762" s="397"/>
      <c r="I762" s="377"/>
      <c r="J762" s="378"/>
      <c r="K762" s="379"/>
      <c r="L762" s="387"/>
      <c r="M762" s="380" t="str">
        <f t="array" ref="M762">IF(L762="","",(MAX(IF(AN$15:AN$144=B762,AO$15:AO$144))/60))</f>
        <v/>
      </c>
      <c r="N762" s="387"/>
      <c r="O762" s="387"/>
      <c r="P762" s="381" t="str">
        <f t="shared" si="45"/>
        <v/>
      </c>
      <c r="Q762" s="382" t="str">
        <f t="array" ref="Q762">IFERROR(INDEX($D$13:$D$1000,MATCH(0,COUNTIF($Q$13:Q761,$D$13:$D$1000&amp;"")+IF($D$13:$D$1000="",1,0),0)),"")</f>
        <v/>
      </c>
      <c r="R762" s="356" t="str">
        <f t="shared" si="46"/>
        <v/>
      </c>
      <c r="S762" s="383" t="str">
        <f t="shared" si="48"/>
        <v/>
      </c>
      <c r="T762" s="384" t="str">
        <f t="shared" si="47"/>
        <v/>
      </c>
      <c r="V762" s="385"/>
      <c r="W762" s="385"/>
      <c r="X762" s="386"/>
    </row>
    <row r="763" spans="2:24">
      <c r="B763" s="395"/>
      <c r="C763" s="371"/>
      <c r="D763" s="372" t="str">
        <f>IFERROR(INDEX('[11]Equipment List'!$B$2:$B$2038,MATCH(E763,'[11]Equipment List'!$A$2:$A$2038,0)),"")</f>
        <v/>
      </c>
      <c r="E763" s="388"/>
      <c r="F763" s="374"/>
      <c r="G763" s="375"/>
      <c r="H763" s="397"/>
      <c r="I763" s="377"/>
      <c r="J763" s="378"/>
      <c r="K763" s="379"/>
      <c r="L763" s="387"/>
      <c r="M763" s="380" t="str">
        <f t="array" ref="M763">IF(L763="","",(MAX(IF(AN$15:AN$144=B763,AO$15:AO$144))/60))</f>
        <v/>
      </c>
      <c r="N763" s="387"/>
      <c r="O763" s="387"/>
      <c r="P763" s="381" t="str">
        <f t="shared" si="45"/>
        <v/>
      </c>
      <c r="Q763" s="382" t="str">
        <f t="array" ref="Q763">IFERROR(INDEX($D$13:$D$1000,MATCH(0,COUNTIF($Q$13:Q762,$D$13:$D$1000&amp;"")+IF($D$13:$D$1000="",1,0),0)),"")</f>
        <v/>
      </c>
      <c r="R763" s="356" t="str">
        <f t="shared" si="46"/>
        <v/>
      </c>
      <c r="S763" s="383" t="str">
        <f t="shared" si="48"/>
        <v/>
      </c>
      <c r="T763" s="384" t="str">
        <f t="shared" si="47"/>
        <v/>
      </c>
      <c r="V763" s="385"/>
      <c r="W763" s="385"/>
      <c r="X763" s="386"/>
    </row>
    <row r="764" spans="2:24">
      <c r="B764" s="395"/>
      <c r="C764" s="371"/>
      <c r="D764" s="372" t="str">
        <f>IFERROR(INDEX('[11]Equipment List'!$B$2:$B$2038,MATCH(E764,'[11]Equipment List'!$A$2:$A$2038,0)),"")</f>
        <v/>
      </c>
      <c r="E764" s="388"/>
      <c r="F764" s="374"/>
      <c r="G764" s="375"/>
      <c r="H764" s="397"/>
      <c r="I764" s="377"/>
      <c r="J764" s="378"/>
      <c r="K764" s="379"/>
      <c r="L764" s="387"/>
      <c r="M764" s="380" t="str">
        <f t="array" ref="M764">IF(L764="","",(MAX(IF(AN$15:AN$144=B764,AO$15:AO$144))/60))</f>
        <v/>
      </c>
      <c r="N764" s="387"/>
      <c r="O764" s="387"/>
      <c r="P764" s="381" t="str">
        <f t="shared" si="45"/>
        <v/>
      </c>
      <c r="Q764" s="382" t="str">
        <f t="array" ref="Q764">IFERROR(INDEX($D$13:$D$1000,MATCH(0,COUNTIF($Q$13:Q763,$D$13:$D$1000&amp;"")+IF($D$13:$D$1000="",1,0),0)),"")</f>
        <v/>
      </c>
      <c r="R764" s="356" t="str">
        <f t="shared" si="46"/>
        <v/>
      </c>
      <c r="S764" s="383" t="str">
        <f t="shared" si="48"/>
        <v/>
      </c>
      <c r="T764" s="384" t="str">
        <f t="shared" si="47"/>
        <v/>
      </c>
      <c r="V764" s="385"/>
      <c r="W764" s="385"/>
      <c r="X764" s="386"/>
    </row>
    <row r="765" spans="2:24">
      <c r="B765" s="395"/>
      <c r="C765" s="371"/>
      <c r="D765" s="372" t="str">
        <f>IFERROR(INDEX('[11]Equipment List'!$B$2:$B$2038,MATCH(E765,'[11]Equipment List'!$A$2:$A$2038,0)),"")</f>
        <v/>
      </c>
      <c r="E765" s="388"/>
      <c r="F765" s="374"/>
      <c r="G765" s="375"/>
      <c r="H765" s="397"/>
      <c r="I765" s="377"/>
      <c r="J765" s="378"/>
      <c r="K765" s="379"/>
      <c r="L765" s="387"/>
      <c r="M765" s="380" t="str">
        <f t="array" ref="M765">IF(L765="","",(MAX(IF(AN$15:AN$144=B765,AO$15:AO$144))/60))</f>
        <v/>
      </c>
      <c r="N765" s="387"/>
      <c r="O765" s="387"/>
      <c r="P765" s="381" t="str">
        <f t="shared" si="45"/>
        <v/>
      </c>
      <c r="Q765" s="382" t="str">
        <f t="array" ref="Q765">IFERROR(INDEX($D$13:$D$1000,MATCH(0,COUNTIF($Q$13:Q764,$D$13:$D$1000&amp;"")+IF($D$13:$D$1000="",1,0),0)),"")</f>
        <v/>
      </c>
      <c r="R765" s="356" t="str">
        <f t="shared" si="46"/>
        <v/>
      </c>
      <c r="S765" s="383" t="str">
        <f t="shared" si="48"/>
        <v/>
      </c>
      <c r="T765" s="384" t="str">
        <f t="shared" si="47"/>
        <v/>
      </c>
      <c r="V765" s="385"/>
      <c r="W765" s="385"/>
      <c r="X765" s="386"/>
    </row>
    <row r="766" spans="2:24">
      <c r="B766" s="395"/>
      <c r="C766" s="371"/>
      <c r="D766" s="372" t="str">
        <f>IFERROR(INDEX('[11]Equipment List'!$B$2:$B$2038,MATCH(E766,'[11]Equipment List'!$A$2:$A$2038,0)),"")</f>
        <v/>
      </c>
      <c r="E766" s="388"/>
      <c r="F766" s="374"/>
      <c r="G766" s="375"/>
      <c r="H766" s="397"/>
      <c r="I766" s="377"/>
      <c r="J766" s="378"/>
      <c r="K766" s="379"/>
      <c r="L766" s="387"/>
      <c r="M766" s="380" t="str">
        <f t="array" ref="M766">IF(L766="","",(MAX(IF(AN$15:AN$144=B766,AO$15:AO$144))/60))</f>
        <v/>
      </c>
      <c r="N766" s="387"/>
      <c r="O766" s="387"/>
      <c r="P766" s="381" t="str">
        <f t="shared" si="45"/>
        <v/>
      </c>
      <c r="Q766" s="382" t="str">
        <f t="array" ref="Q766">IFERROR(INDEX($D$13:$D$1000,MATCH(0,COUNTIF($Q$13:Q765,$D$13:$D$1000&amp;"")+IF($D$13:$D$1000="",1,0),0)),"")</f>
        <v/>
      </c>
      <c r="R766" s="356" t="str">
        <f t="shared" si="46"/>
        <v/>
      </c>
      <c r="S766" s="383" t="str">
        <f t="shared" si="48"/>
        <v/>
      </c>
      <c r="T766" s="384" t="str">
        <f t="shared" si="47"/>
        <v/>
      </c>
      <c r="V766" s="385"/>
      <c r="W766" s="385"/>
      <c r="X766" s="386"/>
    </row>
    <row r="767" spans="2:24">
      <c r="B767" s="395"/>
      <c r="C767" s="371"/>
      <c r="D767" s="372" t="str">
        <f>IFERROR(INDEX('[11]Equipment List'!$B$2:$B$2038,MATCH(E767,'[11]Equipment List'!$A$2:$A$2038,0)),"")</f>
        <v/>
      </c>
      <c r="E767" s="388"/>
      <c r="F767" s="374"/>
      <c r="G767" s="375"/>
      <c r="H767" s="397"/>
      <c r="I767" s="377"/>
      <c r="J767" s="378"/>
      <c r="K767" s="379"/>
      <c r="L767" s="387"/>
      <c r="M767" s="380" t="str">
        <f t="array" ref="M767">IF(L767="","",(MAX(IF(AN$15:AN$144=B767,AO$15:AO$144))/60))</f>
        <v/>
      </c>
      <c r="N767" s="387"/>
      <c r="O767" s="387"/>
      <c r="P767" s="381" t="str">
        <f t="shared" si="45"/>
        <v/>
      </c>
      <c r="Q767" s="382" t="str">
        <f t="array" ref="Q767">IFERROR(INDEX($D$13:$D$1000,MATCH(0,COUNTIF($Q$13:Q766,$D$13:$D$1000&amp;"")+IF($D$13:$D$1000="",1,0),0)),"")</f>
        <v/>
      </c>
      <c r="R767" s="356" t="str">
        <f t="shared" si="46"/>
        <v/>
      </c>
      <c r="S767" s="383" t="str">
        <f t="shared" si="48"/>
        <v/>
      </c>
      <c r="T767" s="384" t="str">
        <f t="shared" si="47"/>
        <v/>
      </c>
      <c r="V767" s="385"/>
      <c r="W767" s="385"/>
      <c r="X767" s="386"/>
    </row>
    <row r="768" spans="2:24">
      <c r="B768" s="395"/>
      <c r="C768" s="371"/>
      <c r="D768" s="372" t="str">
        <f>IFERROR(INDEX('[11]Equipment List'!$B$2:$B$2038,MATCH(E768,'[11]Equipment List'!$A$2:$A$2038,0)),"")</f>
        <v/>
      </c>
      <c r="E768" s="388"/>
      <c r="F768" s="374"/>
      <c r="G768" s="375"/>
      <c r="H768" s="397"/>
      <c r="I768" s="377"/>
      <c r="J768" s="378"/>
      <c r="K768" s="379"/>
      <c r="L768" s="387"/>
      <c r="M768" s="380" t="str">
        <f t="array" ref="M768">IF(L768="","",(MAX(IF(AN$15:AN$144=B768,AO$15:AO$144))/60))</f>
        <v/>
      </c>
      <c r="N768" s="387"/>
      <c r="O768" s="387"/>
      <c r="P768" s="381" t="str">
        <f t="shared" si="45"/>
        <v/>
      </c>
      <c r="Q768" s="382" t="str">
        <f t="array" ref="Q768">IFERROR(INDEX($D$13:$D$1000,MATCH(0,COUNTIF($Q$13:Q767,$D$13:$D$1000&amp;"")+IF($D$13:$D$1000="",1,0),0)),"")</f>
        <v/>
      </c>
      <c r="R768" s="356" t="str">
        <f t="shared" si="46"/>
        <v/>
      </c>
      <c r="S768" s="383" t="str">
        <f t="shared" si="48"/>
        <v/>
      </c>
      <c r="T768" s="384" t="str">
        <f t="shared" si="47"/>
        <v/>
      </c>
      <c r="V768" s="385"/>
      <c r="W768" s="385"/>
      <c r="X768" s="386"/>
    </row>
    <row r="769" spans="2:24">
      <c r="B769" s="395"/>
      <c r="C769" s="371"/>
      <c r="D769" s="372" t="str">
        <f>IFERROR(INDEX('[11]Equipment List'!$B$2:$B$2038,MATCH(E769,'[11]Equipment List'!$A$2:$A$2038,0)),"")</f>
        <v/>
      </c>
      <c r="E769" s="388"/>
      <c r="F769" s="374"/>
      <c r="G769" s="375"/>
      <c r="H769" s="397"/>
      <c r="I769" s="377"/>
      <c r="J769" s="378"/>
      <c r="K769" s="379"/>
      <c r="L769" s="387"/>
      <c r="M769" s="380" t="str">
        <f t="array" ref="M769">IF(L769="","",(MAX(IF(AN$15:AN$144=B769,AO$15:AO$144))/60))</f>
        <v/>
      </c>
      <c r="N769" s="387"/>
      <c r="O769" s="387"/>
      <c r="P769" s="381" t="str">
        <f t="shared" si="45"/>
        <v/>
      </c>
      <c r="Q769" s="382" t="str">
        <f t="array" ref="Q769">IFERROR(INDEX($D$13:$D$1000,MATCH(0,COUNTIF($Q$13:Q768,$D$13:$D$1000&amp;"")+IF($D$13:$D$1000="",1,0),0)),"")</f>
        <v/>
      </c>
      <c r="R769" s="356" t="str">
        <f t="shared" si="46"/>
        <v/>
      </c>
      <c r="S769" s="383" t="str">
        <f t="shared" si="48"/>
        <v/>
      </c>
      <c r="T769" s="384" t="str">
        <f t="shared" si="47"/>
        <v/>
      </c>
      <c r="V769" s="385"/>
      <c r="W769" s="385"/>
      <c r="X769" s="386"/>
    </row>
    <row r="770" spans="2:24">
      <c r="B770" s="395"/>
      <c r="C770" s="371"/>
      <c r="D770" s="372" t="str">
        <f>IFERROR(INDEX('[11]Equipment List'!$B$2:$B$2038,MATCH(E770,'[11]Equipment List'!$A$2:$A$2038,0)),"")</f>
        <v/>
      </c>
      <c r="E770" s="388"/>
      <c r="F770" s="374"/>
      <c r="G770" s="375"/>
      <c r="H770" s="397"/>
      <c r="I770" s="377"/>
      <c r="J770" s="378"/>
      <c r="K770" s="379"/>
      <c r="L770" s="387"/>
      <c r="M770" s="380" t="str">
        <f t="array" ref="M770">IF(L770="","",(MAX(IF(AN$15:AN$144=B770,AO$15:AO$144))/60))</f>
        <v/>
      </c>
      <c r="N770" s="387"/>
      <c r="O770" s="387"/>
      <c r="P770" s="381" t="str">
        <f t="shared" si="45"/>
        <v/>
      </c>
      <c r="Q770" s="382" t="str">
        <f t="array" ref="Q770">IFERROR(INDEX($D$13:$D$1000,MATCH(0,COUNTIF($Q$13:Q769,$D$13:$D$1000&amp;"")+IF($D$13:$D$1000="",1,0),0)),"")</f>
        <v/>
      </c>
      <c r="R770" s="356" t="str">
        <f t="shared" si="46"/>
        <v/>
      </c>
      <c r="S770" s="383" t="str">
        <f t="shared" si="48"/>
        <v/>
      </c>
      <c r="T770" s="384" t="str">
        <f t="shared" si="47"/>
        <v/>
      </c>
      <c r="V770" s="385"/>
      <c r="W770" s="385"/>
      <c r="X770" s="386"/>
    </row>
    <row r="771" spans="2:24">
      <c r="B771" s="395"/>
      <c r="C771" s="371"/>
      <c r="D771" s="372" t="str">
        <f>IFERROR(INDEX('[11]Equipment List'!$B$2:$B$2038,MATCH(E771,'[11]Equipment List'!$A$2:$A$2038,0)),"")</f>
        <v/>
      </c>
      <c r="E771" s="388"/>
      <c r="F771" s="374"/>
      <c r="G771" s="375"/>
      <c r="H771" s="397"/>
      <c r="I771" s="377"/>
      <c r="J771" s="378"/>
      <c r="K771" s="379"/>
      <c r="L771" s="387"/>
      <c r="M771" s="380" t="str">
        <f t="array" ref="M771">IF(L771="","",(MAX(IF(AN$15:AN$144=B771,AO$15:AO$144))/60))</f>
        <v/>
      </c>
      <c r="N771" s="387"/>
      <c r="O771" s="387"/>
      <c r="P771" s="381" t="str">
        <f t="shared" si="45"/>
        <v/>
      </c>
      <c r="Q771" s="382" t="str">
        <f t="array" ref="Q771">IFERROR(INDEX($D$13:$D$1000,MATCH(0,COUNTIF($Q$13:Q770,$D$13:$D$1000&amp;"")+IF($D$13:$D$1000="",1,0),0)),"")</f>
        <v/>
      </c>
      <c r="R771" s="356" t="str">
        <f t="shared" si="46"/>
        <v/>
      </c>
      <c r="S771" s="383" t="str">
        <f t="shared" si="48"/>
        <v/>
      </c>
      <c r="T771" s="384" t="str">
        <f t="shared" si="47"/>
        <v/>
      </c>
      <c r="V771" s="385"/>
      <c r="W771" s="385"/>
      <c r="X771" s="386"/>
    </row>
    <row r="772" spans="2:24">
      <c r="B772" s="395"/>
      <c r="C772" s="371"/>
      <c r="D772" s="372" t="str">
        <f>IFERROR(INDEX('[11]Equipment List'!$B$2:$B$2038,MATCH(E772,'[11]Equipment List'!$A$2:$A$2038,0)),"")</f>
        <v/>
      </c>
      <c r="E772" s="388"/>
      <c r="F772" s="374"/>
      <c r="G772" s="375"/>
      <c r="H772" s="397"/>
      <c r="I772" s="377"/>
      <c r="J772" s="378"/>
      <c r="K772" s="379"/>
      <c r="L772" s="387"/>
      <c r="M772" s="380" t="str">
        <f t="array" ref="M772">IF(L772="","",(MAX(IF(AN$15:AN$144=B772,AO$15:AO$144))/60))</f>
        <v/>
      </c>
      <c r="N772" s="387"/>
      <c r="O772" s="387"/>
      <c r="P772" s="381" t="str">
        <f t="shared" si="45"/>
        <v/>
      </c>
      <c r="Q772" s="382" t="str">
        <f t="array" ref="Q772">IFERROR(INDEX($D$13:$D$1000,MATCH(0,COUNTIF($Q$13:Q771,$D$13:$D$1000&amp;"")+IF($D$13:$D$1000="",1,0),0)),"")</f>
        <v/>
      </c>
      <c r="R772" s="356" t="str">
        <f t="shared" si="46"/>
        <v/>
      </c>
      <c r="S772" s="383" t="str">
        <f t="shared" si="48"/>
        <v/>
      </c>
      <c r="T772" s="384" t="str">
        <f t="shared" si="47"/>
        <v/>
      </c>
      <c r="V772" s="385"/>
      <c r="W772" s="385"/>
      <c r="X772" s="386"/>
    </row>
    <row r="773" spans="2:24">
      <c r="B773" s="395"/>
      <c r="C773" s="371"/>
      <c r="D773" s="372" t="str">
        <f>IFERROR(INDEX('[11]Equipment List'!$B$2:$B$2038,MATCH(E773,'[11]Equipment List'!$A$2:$A$2038,0)),"")</f>
        <v/>
      </c>
      <c r="E773" s="388"/>
      <c r="F773" s="374"/>
      <c r="G773" s="375"/>
      <c r="H773" s="397"/>
      <c r="I773" s="377"/>
      <c r="J773" s="378"/>
      <c r="K773" s="379"/>
      <c r="L773" s="387"/>
      <c r="M773" s="380" t="str">
        <f t="array" ref="M773">IF(L773="","",(MAX(IF(AN$15:AN$144=B773,AO$15:AO$144))/60))</f>
        <v/>
      </c>
      <c r="N773" s="387"/>
      <c r="O773" s="387"/>
      <c r="P773" s="381" t="str">
        <f t="shared" si="45"/>
        <v/>
      </c>
      <c r="Q773" s="382" t="str">
        <f t="array" ref="Q773">IFERROR(INDEX($D$13:$D$1000,MATCH(0,COUNTIF($Q$13:Q772,$D$13:$D$1000&amp;"")+IF($D$13:$D$1000="",1,0),0)),"")</f>
        <v/>
      </c>
      <c r="R773" s="356" t="str">
        <f t="shared" si="46"/>
        <v/>
      </c>
      <c r="S773" s="383" t="str">
        <f t="shared" si="48"/>
        <v/>
      </c>
      <c r="T773" s="384" t="str">
        <f t="shared" si="47"/>
        <v/>
      </c>
      <c r="V773" s="385"/>
      <c r="W773" s="385"/>
      <c r="X773" s="386"/>
    </row>
    <row r="774" spans="2:24">
      <c r="B774" s="395"/>
      <c r="C774" s="371"/>
      <c r="D774" s="372" t="str">
        <f>IFERROR(INDEX('[11]Equipment List'!$B$2:$B$2038,MATCH(E774,'[11]Equipment List'!$A$2:$A$2038,0)),"")</f>
        <v/>
      </c>
      <c r="E774" s="388"/>
      <c r="F774" s="374"/>
      <c r="G774" s="375"/>
      <c r="H774" s="397"/>
      <c r="I774" s="377"/>
      <c r="J774" s="378"/>
      <c r="K774" s="379"/>
      <c r="L774" s="387"/>
      <c r="M774" s="380" t="str">
        <f t="array" ref="M774">IF(L774="","",(MAX(IF(AN$15:AN$144=B774,AO$15:AO$144))/60))</f>
        <v/>
      </c>
      <c r="N774" s="387"/>
      <c r="O774" s="387"/>
      <c r="P774" s="381" t="str">
        <f t="shared" si="45"/>
        <v/>
      </c>
      <c r="Q774" s="382" t="str">
        <f t="array" ref="Q774">IFERROR(INDEX($D$13:$D$1000,MATCH(0,COUNTIF($Q$13:Q773,$D$13:$D$1000&amp;"")+IF($D$13:$D$1000="",1,0),0)),"")</f>
        <v/>
      </c>
      <c r="R774" s="356" t="str">
        <f t="shared" si="46"/>
        <v/>
      </c>
      <c r="S774" s="383" t="str">
        <f t="shared" si="48"/>
        <v/>
      </c>
      <c r="T774" s="384" t="str">
        <f t="shared" si="47"/>
        <v/>
      </c>
      <c r="V774" s="385"/>
      <c r="W774" s="385"/>
      <c r="X774" s="386"/>
    </row>
    <row r="775" spans="2:24">
      <c r="B775" s="395"/>
      <c r="C775" s="371"/>
      <c r="D775" s="372" t="str">
        <f>IFERROR(INDEX('[11]Equipment List'!$B$2:$B$2038,MATCH(E775,'[11]Equipment List'!$A$2:$A$2038,0)),"")</f>
        <v/>
      </c>
      <c r="E775" s="388"/>
      <c r="F775" s="374"/>
      <c r="G775" s="375"/>
      <c r="H775" s="397"/>
      <c r="I775" s="377"/>
      <c r="J775" s="378"/>
      <c r="K775" s="379"/>
      <c r="L775" s="387"/>
      <c r="M775" s="380" t="str">
        <f t="array" ref="M775">IF(L775="","",(MAX(IF(AN$15:AN$144=B775,AO$15:AO$144))/60))</f>
        <v/>
      </c>
      <c r="N775" s="387"/>
      <c r="O775" s="387"/>
      <c r="P775" s="381" t="str">
        <f t="shared" si="45"/>
        <v/>
      </c>
      <c r="Q775" s="382" t="str">
        <f t="array" ref="Q775">IFERROR(INDEX($D$13:$D$1000,MATCH(0,COUNTIF($Q$13:Q774,$D$13:$D$1000&amp;"")+IF($D$13:$D$1000="",1,0),0)),"")</f>
        <v/>
      </c>
      <c r="R775" s="356" t="str">
        <f t="shared" si="46"/>
        <v/>
      </c>
      <c r="S775" s="383" t="str">
        <f t="shared" si="48"/>
        <v/>
      </c>
      <c r="T775" s="384" t="str">
        <f t="shared" si="47"/>
        <v/>
      </c>
      <c r="V775" s="385"/>
      <c r="W775" s="385"/>
      <c r="X775" s="386"/>
    </row>
    <row r="776" spans="2:24">
      <c r="B776" s="395"/>
      <c r="C776" s="371"/>
      <c r="D776" s="372" t="str">
        <f>IFERROR(INDEX('[11]Equipment List'!$B$2:$B$2038,MATCH(E776,'[11]Equipment List'!$A$2:$A$2038,0)),"")</f>
        <v/>
      </c>
      <c r="E776" s="388"/>
      <c r="F776" s="374"/>
      <c r="G776" s="375"/>
      <c r="H776" s="397"/>
      <c r="I776" s="377"/>
      <c r="J776" s="378"/>
      <c r="K776" s="379"/>
      <c r="L776" s="387"/>
      <c r="M776" s="380" t="str">
        <f t="array" ref="M776">IF(L776="","",(MAX(IF(AN$15:AN$144=B776,AO$15:AO$144))/60))</f>
        <v/>
      </c>
      <c r="N776" s="387"/>
      <c r="O776" s="387"/>
      <c r="P776" s="381" t="str">
        <f t="shared" si="45"/>
        <v/>
      </c>
      <c r="Q776" s="382" t="str">
        <f t="array" ref="Q776">IFERROR(INDEX($D$13:$D$1000,MATCH(0,COUNTIF($Q$13:Q775,$D$13:$D$1000&amp;"")+IF($D$13:$D$1000="",1,0),0)),"")</f>
        <v/>
      </c>
      <c r="R776" s="356" t="str">
        <f t="shared" si="46"/>
        <v/>
      </c>
      <c r="S776" s="383" t="str">
        <f t="shared" si="48"/>
        <v/>
      </c>
      <c r="T776" s="384" t="str">
        <f t="shared" si="47"/>
        <v/>
      </c>
      <c r="V776" s="385"/>
      <c r="W776" s="385"/>
      <c r="X776" s="386"/>
    </row>
    <row r="777" spans="2:24">
      <c r="B777" s="395"/>
      <c r="C777" s="371"/>
      <c r="D777" s="372" t="str">
        <f>IFERROR(INDEX('[11]Equipment List'!$B$2:$B$2038,MATCH(E777,'[11]Equipment List'!$A$2:$A$2038,0)),"")</f>
        <v/>
      </c>
      <c r="E777" s="388"/>
      <c r="F777" s="374"/>
      <c r="G777" s="375"/>
      <c r="H777" s="397"/>
      <c r="I777" s="377"/>
      <c r="J777" s="378"/>
      <c r="K777" s="379"/>
      <c r="L777" s="387"/>
      <c r="M777" s="380" t="str">
        <f t="array" ref="M777">IF(L777="","",(MAX(IF(AN$15:AN$144=B777,AO$15:AO$144))/60))</f>
        <v/>
      </c>
      <c r="N777" s="387"/>
      <c r="O777" s="387"/>
      <c r="P777" s="381" t="str">
        <f t="shared" si="45"/>
        <v/>
      </c>
      <c r="Q777" s="382" t="str">
        <f t="array" ref="Q777">IFERROR(INDEX($D$13:$D$1000,MATCH(0,COUNTIF($Q$13:Q776,$D$13:$D$1000&amp;"")+IF($D$13:$D$1000="",1,0),0)),"")</f>
        <v/>
      </c>
      <c r="R777" s="356" t="str">
        <f t="shared" si="46"/>
        <v/>
      </c>
      <c r="S777" s="383" t="str">
        <f t="shared" si="48"/>
        <v/>
      </c>
      <c r="T777" s="384" t="str">
        <f t="shared" si="47"/>
        <v/>
      </c>
      <c r="V777" s="385"/>
      <c r="W777" s="385"/>
      <c r="X777" s="386"/>
    </row>
    <row r="778" spans="2:24">
      <c r="B778" s="395"/>
      <c r="C778" s="371"/>
      <c r="D778" s="372" t="str">
        <f>IFERROR(INDEX('[11]Equipment List'!$B$2:$B$2038,MATCH(E778,'[11]Equipment List'!$A$2:$A$2038,0)),"")</f>
        <v/>
      </c>
      <c r="E778" s="388"/>
      <c r="F778" s="374"/>
      <c r="G778" s="375"/>
      <c r="H778" s="397"/>
      <c r="I778" s="377"/>
      <c r="J778" s="378"/>
      <c r="K778" s="379"/>
      <c r="L778" s="387"/>
      <c r="M778" s="380" t="str">
        <f t="array" ref="M778">IF(L778="","",(MAX(IF(AN$15:AN$144=B778,AO$15:AO$144))/60))</f>
        <v/>
      </c>
      <c r="N778" s="387"/>
      <c r="O778" s="387"/>
      <c r="P778" s="381" t="str">
        <f t="shared" si="45"/>
        <v/>
      </c>
      <c r="Q778" s="382" t="str">
        <f t="array" ref="Q778">IFERROR(INDEX($D$13:$D$1000,MATCH(0,COUNTIF($Q$13:Q777,$D$13:$D$1000&amp;"")+IF($D$13:$D$1000="",1,0),0)),"")</f>
        <v/>
      </c>
      <c r="R778" s="356" t="str">
        <f t="shared" si="46"/>
        <v/>
      </c>
      <c r="S778" s="383" t="str">
        <f t="shared" si="48"/>
        <v/>
      </c>
      <c r="T778" s="384" t="str">
        <f t="shared" si="47"/>
        <v/>
      </c>
      <c r="V778" s="385"/>
      <c r="W778" s="385"/>
      <c r="X778" s="386"/>
    </row>
    <row r="779" spans="2:24">
      <c r="B779" s="395"/>
      <c r="C779" s="371"/>
      <c r="D779" s="372" t="str">
        <f>IFERROR(INDEX('[11]Equipment List'!$B$2:$B$2038,MATCH(E779,'[11]Equipment List'!$A$2:$A$2038,0)),"")</f>
        <v/>
      </c>
      <c r="E779" s="388"/>
      <c r="F779" s="374"/>
      <c r="G779" s="375"/>
      <c r="H779" s="397"/>
      <c r="I779" s="377"/>
      <c r="J779" s="378"/>
      <c r="K779" s="379"/>
      <c r="L779" s="387"/>
      <c r="M779" s="380" t="str">
        <f t="array" ref="M779">IF(L779="","",(MAX(IF(AN$15:AN$144=B779,AO$15:AO$144))/60))</f>
        <v/>
      </c>
      <c r="N779" s="387"/>
      <c r="O779" s="387"/>
      <c r="P779" s="381" t="str">
        <f t="shared" si="45"/>
        <v/>
      </c>
      <c r="Q779" s="382" t="str">
        <f t="array" ref="Q779">IFERROR(INDEX($D$13:$D$1000,MATCH(0,COUNTIF($Q$13:Q778,$D$13:$D$1000&amp;"")+IF($D$13:$D$1000="",1,0),0)),"")</f>
        <v/>
      </c>
      <c r="R779" s="356" t="str">
        <f t="shared" si="46"/>
        <v/>
      </c>
      <c r="S779" s="383" t="str">
        <f t="shared" si="48"/>
        <v/>
      </c>
      <c r="T779" s="384" t="str">
        <f t="shared" si="47"/>
        <v/>
      </c>
      <c r="V779" s="385"/>
      <c r="W779" s="385"/>
      <c r="X779" s="386"/>
    </row>
    <row r="780" spans="2:24">
      <c r="B780" s="395"/>
      <c r="C780" s="371"/>
      <c r="D780" s="372" t="str">
        <f>IFERROR(INDEX('[11]Equipment List'!$B$2:$B$2038,MATCH(E780,'[11]Equipment List'!$A$2:$A$2038,0)),"")</f>
        <v/>
      </c>
      <c r="E780" s="388"/>
      <c r="F780" s="374"/>
      <c r="G780" s="375"/>
      <c r="H780" s="397"/>
      <c r="I780" s="377"/>
      <c r="J780" s="378"/>
      <c r="K780" s="379"/>
      <c r="L780" s="387"/>
      <c r="M780" s="380" t="str">
        <f t="array" ref="M780">IF(L780="","",(MAX(IF(AN$15:AN$144=B780,AO$15:AO$144))/60))</f>
        <v/>
      </c>
      <c r="N780" s="387"/>
      <c r="O780" s="387"/>
      <c r="P780" s="381" t="str">
        <f t="shared" ref="P780:P843" si="49">IFERROR((((K780/5/250/$F$8)+(N780*$F$9))/$S$4)*(M780/60),"")</f>
        <v/>
      </c>
      <c r="Q780" s="382" t="str">
        <f t="array" ref="Q780">IFERROR(INDEX($D$13:$D$1000,MATCH(0,COUNTIF($Q$13:Q779,$D$13:$D$1000&amp;"")+IF($D$13:$D$1000="",1,0),0)),"")</f>
        <v/>
      </c>
      <c r="R780" s="356" t="str">
        <f t="shared" si="46"/>
        <v/>
      </c>
      <c r="S780" s="383" t="str">
        <f t="shared" si="48"/>
        <v/>
      </c>
      <c r="T780" s="384" t="str">
        <f t="shared" si="47"/>
        <v/>
      </c>
      <c r="V780" s="385"/>
      <c r="W780" s="385"/>
      <c r="X780" s="386"/>
    </row>
    <row r="781" spans="2:24">
      <c r="B781" s="395"/>
      <c r="C781" s="371"/>
      <c r="D781" s="372" t="str">
        <f>IFERROR(INDEX('[11]Equipment List'!$B$2:$B$2038,MATCH(E781,'[11]Equipment List'!$A$2:$A$2038,0)),"")</f>
        <v/>
      </c>
      <c r="E781" s="388"/>
      <c r="F781" s="374"/>
      <c r="G781" s="375"/>
      <c r="H781" s="397"/>
      <c r="I781" s="377"/>
      <c r="J781" s="378"/>
      <c r="K781" s="379"/>
      <c r="L781" s="387"/>
      <c r="M781" s="380" t="str">
        <f t="array" ref="M781">IF(L781="","",(MAX(IF(AN$15:AN$144=B781,AO$15:AO$144))/60))</f>
        <v/>
      </c>
      <c r="N781" s="387"/>
      <c r="O781" s="387"/>
      <c r="P781" s="381" t="str">
        <f t="shared" si="49"/>
        <v/>
      </c>
      <c r="Q781" s="382" t="str">
        <f t="array" ref="Q781">IFERROR(INDEX($D$13:$D$1000,MATCH(0,COUNTIF($Q$13:Q780,$D$13:$D$1000&amp;"")+IF($D$13:$D$1000="",1,0),0)),"")</f>
        <v/>
      </c>
      <c r="R781" s="356" t="str">
        <f t="shared" ref="R781:R844" si="50">IF(Q781="","",COUNTIF($D$13:$D$1000,$Q781))</f>
        <v/>
      </c>
      <c r="S781" s="383" t="str">
        <f t="shared" si="48"/>
        <v/>
      </c>
      <c r="T781" s="384" t="str">
        <f t="shared" ref="T781:T844" si="51">IF($Q781="","",SUMIF($D$13:$D$1000,$Q781,N$13:N$1000))</f>
        <v/>
      </c>
      <c r="V781" s="385"/>
      <c r="W781" s="385"/>
      <c r="X781" s="386"/>
    </row>
    <row r="782" spans="2:24">
      <c r="B782" s="395"/>
      <c r="C782" s="371"/>
      <c r="D782" s="372" t="str">
        <f>IFERROR(INDEX('[11]Equipment List'!$B$2:$B$2038,MATCH(E782,'[11]Equipment List'!$A$2:$A$2038,0)),"")</f>
        <v/>
      </c>
      <c r="E782" s="388"/>
      <c r="F782" s="374"/>
      <c r="G782" s="375"/>
      <c r="H782" s="397"/>
      <c r="I782" s="377"/>
      <c r="J782" s="378"/>
      <c r="K782" s="379"/>
      <c r="L782" s="387"/>
      <c r="M782" s="380" t="str">
        <f t="array" ref="M782">IF(L782="","",(MAX(IF(AN$15:AN$144=B782,AO$15:AO$144))/60))</f>
        <v/>
      </c>
      <c r="N782" s="387"/>
      <c r="O782" s="387"/>
      <c r="P782" s="381" t="str">
        <f t="shared" si="49"/>
        <v/>
      </c>
      <c r="Q782" s="382" t="str">
        <f t="array" ref="Q782">IFERROR(INDEX($D$13:$D$1000,MATCH(0,COUNTIF($Q$13:Q781,$D$13:$D$1000&amp;"")+IF($D$13:$D$1000="",1,0),0)),"")</f>
        <v/>
      </c>
      <c r="R782" s="356" t="str">
        <f t="shared" si="50"/>
        <v/>
      </c>
      <c r="S782" s="383" t="str">
        <f t="shared" si="48"/>
        <v/>
      </c>
      <c r="T782" s="384" t="str">
        <f t="shared" si="51"/>
        <v/>
      </c>
      <c r="V782" s="385"/>
      <c r="W782" s="385"/>
      <c r="X782" s="386"/>
    </row>
    <row r="783" spans="2:24">
      <c r="B783" s="395"/>
      <c r="C783" s="371"/>
      <c r="D783" s="372" t="str">
        <f>IFERROR(INDEX('[11]Equipment List'!$B$2:$B$2038,MATCH(E783,'[11]Equipment List'!$A$2:$A$2038,0)),"")</f>
        <v/>
      </c>
      <c r="E783" s="388"/>
      <c r="F783" s="374"/>
      <c r="G783" s="375"/>
      <c r="H783" s="397"/>
      <c r="I783" s="377"/>
      <c r="J783" s="378"/>
      <c r="K783" s="379"/>
      <c r="L783" s="387"/>
      <c r="M783" s="380" t="str">
        <f t="array" ref="M783">IF(L783="","",(MAX(IF(AN$15:AN$144=B783,AO$15:AO$144))/60))</f>
        <v/>
      </c>
      <c r="N783" s="387"/>
      <c r="O783" s="387"/>
      <c r="P783" s="381" t="str">
        <f t="shared" si="49"/>
        <v/>
      </c>
      <c r="Q783" s="382" t="str">
        <f t="array" ref="Q783">IFERROR(INDEX($D$13:$D$1000,MATCH(0,COUNTIF($Q$13:Q782,$D$13:$D$1000&amp;"")+IF($D$13:$D$1000="",1,0),0)),"")</f>
        <v/>
      </c>
      <c r="R783" s="356" t="str">
        <f t="shared" si="50"/>
        <v/>
      </c>
      <c r="S783" s="383" t="str">
        <f t="shared" si="48"/>
        <v/>
      </c>
      <c r="T783" s="384" t="str">
        <f t="shared" si="51"/>
        <v/>
      </c>
      <c r="V783" s="385"/>
      <c r="W783" s="385"/>
      <c r="X783" s="386"/>
    </row>
    <row r="784" spans="2:24">
      <c r="B784" s="395"/>
      <c r="C784" s="371"/>
      <c r="D784" s="372" t="str">
        <f>IFERROR(INDEX('[11]Equipment List'!$B$2:$B$2038,MATCH(E784,'[11]Equipment List'!$A$2:$A$2038,0)),"")</f>
        <v/>
      </c>
      <c r="E784" s="388"/>
      <c r="F784" s="374"/>
      <c r="G784" s="375"/>
      <c r="H784" s="397"/>
      <c r="I784" s="377"/>
      <c r="J784" s="378"/>
      <c r="K784" s="379"/>
      <c r="L784" s="387"/>
      <c r="M784" s="380" t="str">
        <f t="array" ref="M784">IF(L784="","",(MAX(IF(AN$15:AN$144=B784,AO$15:AO$144))/60))</f>
        <v/>
      </c>
      <c r="N784" s="387"/>
      <c r="O784" s="387"/>
      <c r="P784" s="381" t="str">
        <f t="shared" si="49"/>
        <v/>
      </c>
      <c r="Q784" s="382" t="str">
        <f t="array" ref="Q784">IFERROR(INDEX($D$13:$D$1000,MATCH(0,COUNTIF($Q$13:Q783,$D$13:$D$1000&amp;"")+IF($D$13:$D$1000="",1,0),0)),"")</f>
        <v/>
      </c>
      <c r="R784" s="356" t="str">
        <f t="shared" si="50"/>
        <v/>
      </c>
      <c r="S784" s="383" t="str">
        <f t="shared" si="48"/>
        <v/>
      </c>
      <c r="T784" s="384" t="str">
        <f t="shared" si="51"/>
        <v/>
      </c>
      <c r="V784" s="385"/>
      <c r="W784" s="385"/>
      <c r="X784" s="386"/>
    </row>
    <row r="785" spans="2:24">
      <c r="B785" s="395"/>
      <c r="C785" s="371"/>
      <c r="D785" s="372" t="str">
        <f>IFERROR(INDEX('[11]Equipment List'!$B$2:$B$2038,MATCH(E785,'[11]Equipment List'!$A$2:$A$2038,0)),"")</f>
        <v/>
      </c>
      <c r="E785" s="388"/>
      <c r="F785" s="374"/>
      <c r="G785" s="375"/>
      <c r="H785" s="397"/>
      <c r="I785" s="377"/>
      <c r="J785" s="378"/>
      <c r="K785" s="379"/>
      <c r="L785" s="387"/>
      <c r="M785" s="380" t="str">
        <f t="array" ref="M785">IF(L785="","",(MAX(IF(AN$15:AN$144=B785,AO$15:AO$144))/60))</f>
        <v/>
      </c>
      <c r="N785" s="387"/>
      <c r="O785" s="387"/>
      <c r="P785" s="381" t="str">
        <f t="shared" si="49"/>
        <v/>
      </c>
      <c r="Q785" s="382" t="str">
        <f t="array" ref="Q785">IFERROR(INDEX($D$13:$D$1000,MATCH(0,COUNTIF($Q$13:Q784,$D$13:$D$1000&amp;"")+IF($D$13:$D$1000="",1,0),0)),"")</f>
        <v/>
      </c>
      <c r="R785" s="356" t="str">
        <f t="shared" si="50"/>
        <v/>
      </c>
      <c r="S785" s="383" t="str">
        <f t="shared" si="48"/>
        <v/>
      </c>
      <c r="T785" s="384" t="str">
        <f t="shared" si="51"/>
        <v/>
      </c>
      <c r="V785" s="385"/>
      <c r="W785" s="385"/>
      <c r="X785" s="386"/>
    </row>
    <row r="786" spans="2:24">
      <c r="B786" s="395"/>
      <c r="C786" s="371"/>
      <c r="D786" s="372" t="str">
        <f>IFERROR(INDEX('[11]Equipment List'!$B$2:$B$2038,MATCH(E786,'[11]Equipment List'!$A$2:$A$2038,0)),"")</f>
        <v/>
      </c>
      <c r="E786" s="388"/>
      <c r="F786" s="374"/>
      <c r="G786" s="375"/>
      <c r="H786" s="397"/>
      <c r="I786" s="377"/>
      <c r="J786" s="378"/>
      <c r="K786" s="379"/>
      <c r="L786" s="387"/>
      <c r="M786" s="380" t="str">
        <f t="array" ref="M786">IF(L786="","",(MAX(IF(AN$15:AN$144=B786,AO$15:AO$144))/60))</f>
        <v/>
      </c>
      <c r="N786" s="387"/>
      <c r="O786" s="387"/>
      <c r="P786" s="381" t="str">
        <f t="shared" si="49"/>
        <v/>
      </c>
      <c r="Q786" s="382" t="str">
        <f t="array" ref="Q786">IFERROR(INDEX($D$13:$D$1000,MATCH(0,COUNTIF($Q$13:Q785,$D$13:$D$1000&amp;"")+IF($D$13:$D$1000="",1,0),0)),"")</f>
        <v/>
      </c>
      <c r="R786" s="356" t="str">
        <f t="shared" si="50"/>
        <v/>
      </c>
      <c r="S786" s="383" t="str">
        <f t="shared" si="48"/>
        <v/>
      </c>
      <c r="T786" s="384" t="str">
        <f t="shared" si="51"/>
        <v/>
      </c>
      <c r="V786" s="385"/>
      <c r="W786" s="385"/>
      <c r="X786" s="386"/>
    </row>
    <row r="787" spans="2:24">
      <c r="B787" s="395"/>
      <c r="C787" s="371"/>
      <c r="D787" s="372" t="str">
        <f>IFERROR(INDEX('[11]Equipment List'!$B$2:$B$2038,MATCH(E787,'[11]Equipment List'!$A$2:$A$2038,0)),"")</f>
        <v/>
      </c>
      <c r="E787" s="388"/>
      <c r="F787" s="374"/>
      <c r="G787" s="375"/>
      <c r="H787" s="397"/>
      <c r="I787" s="377"/>
      <c r="J787" s="378"/>
      <c r="K787" s="379"/>
      <c r="L787" s="387"/>
      <c r="M787" s="380" t="str">
        <f t="array" ref="M787">IF(L787="","",(MAX(IF(AN$15:AN$144=B787,AO$15:AO$144))/60))</f>
        <v/>
      </c>
      <c r="N787" s="387"/>
      <c r="O787" s="387"/>
      <c r="P787" s="381" t="str">
        <f t="shared" si="49"/>
        <v/>
      </c>
      <c r="Q787" s="382" t="str">
        <f t="array" ref="Q787">IFERROR(INDEX($D$13:$D$1000,MATCH(0,COUNTIF($Q$13:Q786,$D$13:$D$1000&amp;"")+IF($D$13:$D$1000="",1,0),0)),"")</f>
        <v/>
      </c>
      <c r="R787" s="356" t="str">
        <f t="shared" si="50"/>
        <v/>
      </c>
      <c r="S787" s="383" t="str">
        <f t="shared" si="48"/>
        <v/>
      </c>
      <c r="T787" s="384" t="str">
        <f t="shared" si="51"/>
        <v/>
      </c>
      <c r="V787" s="385"/>
      <c r="W787" s="385"/>
      <c r="X787" s="386"/>
    </row>
    <row r="788" spans="2:24">
      <c r="B788" s="395"/>
      <c r="C788" s="371"/>
      <c r="D788" s="372" t="str">
        <f>IFERROR(INDEX('[11]Equipment List'!$B$2:$B$2038,MATCH(E788,'[11]Equipment List'!$A$2:$A$2038,0)),"")</f>
        <v/>
      </c>
      <c r="E788" s="388"/>
      <c r="F788" s="374"/>
      <c r="G788" s="375"/>
      <c r="H788" s="397"/>
      <c r="I788" s="377"/>
      <c r="J788" s="378"/>
      <c r="K788" s="379"/>
      <c r="L788" s="387"/>
      <c r="M788" s="380" t="str">
        <f t="array" ref="M788">IF(L788="","",(MAX(IF(AN$15:AN$144=B788,AO$15:AO$144))/60))</f>
        <v/>
      </c>
      <c r="N788" s="387"/>
      <c r="O788" s="387"/>
      <c r="P788" s="381" t="str">
        <f t="shared" si="49"/>
        <v/>
      </c>
      <c r="Q788" s="382" t="str">
        <f t="array" ref="Q788">IFERROR(INDEX($D$13:$D$1000,MATCH(0,COUNTIF($Q$13:Q787,$D$13:$D$1000&amp;"")+IF($D$13:$D$1000="",1,0),0)),"")</f>
        <v/>
      </c>
      <c r="R788" s="356" t="str">
        <f t="shared" si="50"/>
        <v/>
      </c>
      <c r="S788" s="383" t="str">
        <f t="shared" si="48"/>
        <v/>
      </c>
      <c r="T788" s="384" t="str">
        <f t="shared" si="51"/>
        <v/>
      </c>
      <c r="V788" s="385"/>
      <c r="W788" s="385"/>
      <c r="X788" s="386"/>
    </row>
    <row r="789" spans="2:24">
      <c r="B789" s="395"/>
      <c r="C789" s="371"/>
      <c r="D789" s="372" t="str">
        <f>IFERROR(INDEX('[11]Equipment List'!$B$2:$B$2038,MATCH(E789,'[11]Equipment List'!$A$2:$A$2038,0)),"")</f>
        <v/>
      </c>
      <c r="E789" s="388"/>
      <c r="F789" s="374"/>
      <c r="G789" s="375"/>
      <c r="H789" s="397"/>
      <c r="I789" s="377"/>
      <c r="J789" s="378"/>
      <c r="K789" s="379"/>
      <c r="L789" s="387"/>
      <c r="M789" s="380" t="str">
        <f t="array" ref="M789">IF(L789="","",(MAX(IF(AN$15:AN$144=B789,AO$15:AO$144))/60))</f>
        <v/>
      </c>
      <c r="N789" s="387"/>
      <c r="O789" s="387"/>
      <c r="P789" s="381" t="str">
        <f t="shared" si="49"/>
        <v/>
      </c>
      <c r="Q789" s="382" t="str">
        <f t="array" ref="Q789">IFERROR(INDEX($D$13:$D$1000,MATCH(0,COUNTIF($Q$13:Q788,$D$13:$D$1000&amp;"")+IF($D$13:$D$1000="",1,0),0)),"")</f>
        <v/>
      </c>
      <c r="R789" s="356" t="str">
        <f t="shared" si="50"/>
        <v/>
      </c>
      <c r="S789" s="383" t="str">
        <f t="shared" si="48"/>
        <v/>
      </c>
      <c r="T789" s="384" t="str">
        <f t="shared" si="51"/>
        <v/>
      </c>
      <c r="V789" s="385"/>
      <c r="W789" s="385"/>
      <c r="X789" s="386"/>
    </row>
    <row r="790" spans="2:24">
      <c r="B790" s="395"/>
      <c r="C790" s="371"/>
      <c r="D790" s="372" t="str">
        <f>IFERROR(INDEX('[11]Equipment List'!$B$2:$B$2038,MATCH(E790,'[11]Equipment List'!$A$2:$A$2038,0)),"")</f>
        <v/>
      </c>
      <c r="E790" s="388"/>
      <c r="F790" s="374"/>
      <c r="G790" s="375"/>
      <c r="H790" s="397"/>
      <c r="I790" s="377"/>
      <c r="J790" s="378"/>
      <c r="K790" s="379"/>
      <c r="L790" s="387"/>
      <c r="M790" s="380" t="str">
        <f t="array" ref="M790">IF(L790="","",(MAX(IF(AN$15:AN$144=B790,AO$15:AO$144))/60))</f>
        <v/>
      </c>
      <c r="N790" s="387"/>
      <c r="O790" s="387"/>
      <c r="P790" s="381" t="str">
        <f t="shared" si="49"/>
        <v/>
      </c>
      <c r="Q790" s="382" t="str">
        <f t="array" ref="Q790">IFERROR(INDEX($D$13:$D$1000,MATCH(0,COUNTIF($Q$13:Q789,$D$13:$D$1000&amp;"")+IF($D$13:$D$1000="",1,0),0)),"")</f>
        <v/>
      </c>
      <c r="R790" s="356" t="str">
        <f t="shared" si="50"/>
        <v/>
      </c>
      <c r="S790" s="383" t="str">
        <f t="shared" si="48"/>
        <v/>
      </c>
      <c r="T790" s="384" t="str">
        <f t="shared" si="51"/>
        <v/>
      </c>
      <c r="V790" s="385"/>
      <c r="W790" s="385"/>
      <c r="X790" s="386"/>
    </row>
    <row r="791" spans="2:24">
      <c r="B791" s="395"/>
      <c r="C791" s="371"/>
      <c r="D791" s="372" t="str">
        <f>IFERROR(INDEX('[11]Equipment List'!$B$2:$B$2038,MATCH(E791,'[11]Equipment List'!$A$2:$A$2038,0)),"")</f>
        <v/>
      </c>
      <c r="E791" s="388"/>
      <c r="F791" s="374"/>
      <c r="G791" s="375"/>
      <c r="H791" s="397"/>
      <c r="I791" s="377"/>
      <c r="J791" s="378"/>
      <c r="K791" s="379"/>
      <c r="L791" s="387"/>
      <c r="M791" s="380" t="str">
        <f t="array" ref="M791">IF(L791="","",(MAX(IF(AN$15:AN$144=B791,AO$15:AO$144))/60))</f>
        <v/>
      </c>
      <c r="N791" s="387"/>
      <c r="O791" s="387"/>
      <c r="P791" s="381" t="str">
        <f t="shared" si="49"/>
        <v/>
      </c>
      <c r="Q791" s="382" t="str">
        <f t="array" ref="Q791">IFERROR(INDEX($D$13:$D$1000,MATCH(0,COUNTIF($Q$13:Q790,$D$13:$D$1000&amp;"")+IF($D$13:$D$1000="",1,0),0)),"")</f>
        <v/>
      </c>
      <c r="R791" s="356" t="str">
        <f t="shared" si="50"/>
        <v/>
      </c>
      <c r="S791" s="383" t="str">
        <f t="shared" si="48"/>
        <v/>
      </c>
      <c r="T791" s="384" t="str">
        <f t="shared" si="51"/>
        <v/>
      </c>
      <c r="V791" s="385"/>
      <c r="W791" s="385"/>
      <c r="X791" s="386"/>
    </row>
    <row r="792" spans="2:24">
      <c r="B792" s="395"/>
      <c r="C792" s="371"/>
      <c r="D792" s="372" t="str">
        <f>IFERROR(INDEX('[11]Equipment List'!$B$2:$B$2038,MATCH(E792,'[11]Equipment List'!$A$2:$A$2038,0)),"")</f>
        <v/>
      </c>
      <c r="E792" s="388"/>
      <c r="F792" s="374"/>
      <c r="G792" s="375"/>
      <c r="H792" s="397"/>
      <c r="I792" s="377"/>
      <c r="J792" s="378"/>
      <c r="K792" s="379"/>
      <c r="L792" s="387"/>
      <c r="M792" s="380" t="str">
        <f t="array" ref="M792">IF(L792="","",(MAX(IF(AN$15:AN$144=B792,AO$15:AO$144))/60))</f>
        <v/>
      </c>
      <c r="N792" s="387"/>
      <c r="O792" s="387"/>
      <c r="P792" s="381" t="str">
        <f t="shared" si="49"/>
        <v/>
      </c>
      <c r="Q792" s="382" t="str">
        <f t="array" ref="Q792">IFERROR(INDEX($D$13:$D$1000,MATCH(0,COUNTIF($Q$13:Q791,$D$13:$D$1000&amp;"")+IF($D$13:$D$1000="",1,0),0)),"")</f>
        <v/>
      </c>
      <c r="R792" s="356" t="str">
        <f t="shared" si="50"/>
        <v/>
      </c>
      <c r="S792" s="383" t="str">
        <f t="shared" si="48"/>
        <v/>
      </c>
      <c r="T792" s="384" t="str">
        <f t="shared" si="51"/>
        <v/>
      </c>
      <c r="V792" s="385"/>
      <c r="W792" s="385"/>
      <c r="X792" s="386"/>
    </row>
    <row r="793" spans="2:24">
      <c r="B793" s="395"/>
      <c r="C793" s="371"/>
      <c r="D793" s="372" t="str">
        <f>IFERROR(INDEX('[11]Equipment List'!$B$2:$B$2038,MATCH(E793,'[11]Equipment List'!$A$2:$A$2038,0)),"")</f>
        <v/>
      </c>
      <c r="E793" s="388"/>
      <c r="F793" s="374"/>
      <c r="G793" s="375"/>
      <c r="H793" s="397"/>
      <c r="I793" s="377"/>
      <c r="J793" s="378"/>
      <c r="K793" s="379"/>
      <c r="L793" s="387"/>
      <c r="M793" s="380" t="str">
        <f t="array" ref="M793">IF(L793="","",(MAX(IF(AN$15:AN$144=B793,AO$15:AO$144))/60))</f>
        <v/>
      </c>
      <c r="N793" s="387"/>
      <c r="O793" s="387"/>
      <c r="P793" s="381" t="str">
        <f t="shared" si="49"/>
        <v/>
      </c>
      <c r="Q793" s="382" t="str">
        <f t="array" ref="Q793">IFERROR(INDEX($D$13:$D$1000,MATCH(0,COUNTIF($Q$13:Q792,$D$13:$D$1000&amp;"")+IF($D$13:$D$1000="",1,0),0)),"")</f>
        <v/>
      </c>
      <c r="R793" s="356" t="str">
        <f t="shared" si="50"/>
        <v/>
      </c>
      <c r="S793" s="383" t="str">
        <f t="shared" si="48"/>
        <v/>
      </c>
      <c r="T793" s="384" t="str">
        <f t="shared" si="51"/>
        <v/>
      </c>
      <c r="V793" s="385"/>
      <c r="W793" s="385"/>
      <c r="X793" s="386"/>
    </row>
    <row r="794" spans="2:24">
      <c r="B794" s="395"/>
      <c r="C794" s="371"/>
      <c r="D794" s="372" t="str">
        <f>IFERROR(INDEX('[11]Equipment List'!$B$2:$B$2038,MATCH(E794,'[11]Equipment List'!$A$2:$A$2038,0)),"")</f>
        <v/>
      </c>
      <c r="E794" s="388"/>
      <c r="F794" s="374"/>
      <c r="G794" s="375"/>
      <c r="H794" s="397"/>
      <c r="I794" s="377"/>
      <c r="J794" s="378"/>
      <c r="K794" s="379"/>
      <c r="L794" s="387"/>
      <c r="M794" s="380" t="str">
        <f t="array" ref="M794">IF(L794="","",(MAX(IF(AN$15:AN$144=B794,AO$15:AO$144))/60))</f>
        <v/>
      </c>
      <c r="N794" s="387"/>
      <c r="O794" s="387"/>
      <c r="P794" s="381" t="str">
        <f t="shared" si="49"/>
        <v/>
      </c>
      <c r="Q794" s="382" t="str">
        <f t="array" ref="Q794">IFERROR(INDEX($D$13:$D$1000,MATCH(0,COUNTIF($Q$13:Q793,$D$13:$D$1000&amp;"")+IF($D$13:$D$1000="",1,0),0)),"")</f>
        <v/>
      </c>
      <c r="R794" s="356" t="str">
        <f t="shared" si="50"/>
        <v/>
      </c>
      <c r="S794" s="383" t="str">
        <f t="shared" si="48"/>
        <v/>
      </c>
      <c r="T794" s="384" t="str">
        <f t="shared" si="51"/>
        <v/>
      </c>
      <c r="V794" s="385"/>
      <c r="W794" s="385"/>
      <c r="X794" s="386"/>
    </row>
    <row r="795" spans="2:24">
      <c r="B795" s="395"/>
      <c r="C795" s="371"/>
      <c r="D795" s="372" t="str">
        <f>IFERROR(INDEX('[11]Equipment List'!$B$2:$B$2038,MATCH(E795,'[11]Equipment List'!$A$2:$A$2038,0)),"")</f>
        <v/>
      </c>
      <c r="E795" s="388"/>
      <c r="F795" s="374"/>
      <c r="G795" s="375"/>
      <c r="H795" s="397"/>
      <c r="I795" s="377"/>
      <c r="J795" s="378"/>
      <c r="K795" s="379"/>
      <c r="L795" s="387"/>
      <c r="M795" s="380" t="str">
        <f t="array" ref="M795">IF(L795="","",(MAX(IF(AN$15:AN$144=B795,AO$15:AO$144))/60))</f>
        <v/>
      </c>
      <c r="N795" s="387"/>
      <c r="O795" s="387"/>
      <c r="P795" s="381" t="str">
        <f t="shared" si="49"/>
        <v/>
      </c>
      <c r="Q795" s="382" t="str">
        <f t="array" ref="Q795">IFERROR(INDEX($D$13:$D$1000,MATCH(0,COUNTIF($Q$13:Q794,$D$13:$D$1000&amp;"")+IF($D$13:$D$1000="",1,0),0)),"")</f>
        <v/>
      </c>
      <c r="R795" s="356" t="str">
        <f t="shared" si="50"/>
        <v/>
      </c>
      <c r="S795" s="383" t="str">
        <f t="shared" si="48"/>
        <v/>
      </c>
      <c r="T795" s="384" t="str">
        <f t="shared" si="51"/>
        <v/>
      </c>
      <c r="V795" s="385"/>
      <c r="W795" s="385"/>
      <c r="X795" s="386"/>
    </row>
    <row r="796" spans="2:24">
      <c r="B796" s="395"/>
      <c r="C796" s="371"/>
      <c r="D796" s="372" t="str">
        <f>IFERROR(INDEX('[11]Equipment List'!$B$2:$B$2038,MATCH(E796,'[11]Equipment List'!$A$2:$A$2038,0)),"")</f>
        <v/>
      </c>
      <c r="E796" s="388"/>
      <c r="F796" s="374"/>
      <c r="G796" s="375"/>
      <c r="H796" s="397"/>
      <c r="I796" s="377"/>
      <c r="J796" s="378"/>
      <c r="K796" s="379"/>
      <c r="L796" s="387"/>
      <c r="M796" s="380" t="str">
        <f t="array" ref="M796">IF(L796="","",(MAX(IF(AN$15:AN$144=B796,AO$15:AO$144))/60))</f>
        <v/>
      </c>
      <c r="N796" s="387"/>
      <c r="O796" s="387"/>
      <c r="P796" s="381" t="str">
        <f t="shared" si="49"/>
        <v/>
      </c>
      <c r="Q796" s="382" t="str">
        <f t="array" ref="Q796">IFERROR(INDEX($D$13:$D$1000,MATCH(0,COUNTIF($Q$13:Q795,$D$13:$D$1000&amp;"")+IF($D$13:$D$1000="",1,0),0)),"")</f>
        <v/>
      </c>
      <c r="R796" s="356" t="str">
        <f t="shared" si="50"/>
        <v/>
      </c>
      <c r="S796" s="383" t="str">
        <f t="shared" si="48"/>
        <v/>
      </c>
      <c r="T796" s="384" t="str">
        <f t="shared" si="51"/>
        <v/>
      </c>
      <c r="V796" s="385"/>
      <c r="W796" s="385"/>
      <c r="X796" s="386"/>
    </row>
    <row r="797" spans="2:24">
      <c r="B797" s="395"/>
      <c r="C797" s="371"/>
      <c r="D797" s="372" t="str">
        <f>IFERROR(INDEX('[11]Equipment List'!$B$2:$B$2038,MATCH(E797,'[11]Equipment List'!$A$2:$A$2038,0)),"")</f>
        <v/>
      </c>
      <c r="E797" s="388"/>
      <c r="F797" s="374"/>
      <c r="G797" s="375"/>
      <c r="H797" s="397"/>
      <c r="I797" s="377"/>
      <c r="J797" s="378"/>
      <c r="K797" s="379"/>
      <c r="L797" s="387"/>
      <c r="M797" s="380" t="str">
        <f t="array" ref="M797">IF(L797="","",(MAX(IF(AN$15:AN$144=B797,AO$15:AO$144))/60))</f>
        <v/>
      </c>
      <c r="N797" s="387"/>
      <c r="O797" s="387"/>
      <c r="P797" s="381" t="str">
        <f t="shared" si="49"/>
        <v/>
      </c>
      <c r="Q797" s="382" t="str">
        <f t="array" ref="Q797">IFERROR(INDEX($D$13:$D$1000,MATCH(0,COUNTIF($Q$13:Q796,$D$13:$D$1000&amp;"")+IF($D$13:$D$1000="",1,0),0)),"")</f>
        <v/>
      </c>
      <c r="R797" s="356" t="str">
        <f t="shared" si="50"/>
        <v/>
      </c>
      <c r="S797" s="383" t="str">
        <f t="shared" si="48"/>
        <v/>
      </c>
      <c r="T797" s="384" t="str">
        <f t="shared" si="51"/>
        <v/>
      </c>
      <c r="V797" s="385"/>
      <c r="W797" s="385"/>
      <c r="X797" s="386"/>
    </row>
    <row r="798" spans="2:24">
      <c r="B798" s="395"/>
      <c r="C798" s="371"/>
      <c r="D798" s="372" t="str">
        <f>IFERROR(INDEX('[11]Equipment List'!$B$2:$B$2038,MATCH(E798,'[11]Equipment List'!$A$2:$A$2038,0)),"")</f>
        <v/>
      </c>
      <c r="E798" s="388"/>
      <c r="F798" s="374"/>
      <c r="G798" s="375"/>
      <c r="H798" s="397"/>
      <c r="I798" s="377"/>
      <c r="J798" s="378"/>
      <c r="K798" s="379"/>
      <c r="L798" s="387"/>
      <c r="M798" s="380" t="str">
        <f t="array" ref="M798">IF(L798="","",(MAX(IF(AN$15:AN$144=B798,AO$15:AO$144))/60))</f>
        <v/>
      </c>
      <c r="N798" s="387"/>
      <c r="O798" s="387"/>
      <c r="P798" s="381" t="str">
        <f t="shared" si="49"/>
        <v/>
      </c>
      <c r="Q798" s="382" t="str">
        <f t="array" ref="Q798">IFERROR(INDEX($D$13:$D$1000,MATCH(0,COUNTIF($Q$13:Q797,$D$13:$D$1000&amp;"")+IF($D$13:$D$1000="",1,0),0)),"")</f>
        <v/>
      </c>
      <c r="R798" s="356" t="str">
        <f t="shared" si="50"/>
        <v/>
      </c>
      <c r="S798" s="383" t="str">
        <f t="shared" si="48"/>
        <v/>
      </c>
      <c r="T798" s="384" t="str">
        <f t="shared" si="51"/>
        <v/>
      </c>
      <c r="V798" s="385"/>
      <c r="W798" s="385"/>
      <c r="X798" s="386"/>
    </row>
    <row r="799" spans="2:24">
      <c r="B799" s="395"/>
      <c r="C799" s="371"/>
      <c r="D799" s="372" t="str">
        <f>IFERROR(INDEX('[11]Equipment List'!$B$2:$B$2038,MATCH(E799,'[11]Equipment List'!$A$2:$A$2038,0)),"")</f>
        <v/>
      </c>
      <c r="E799" s="388"/>
      <c r="F799" s="374"/>
      <c r="G799" s="375"/>
      <c r="H799" s="397"/>
      <c r="I799" s="377"/>
      <c r="J799" s="378"/>
      <c r="K799" s="379"/>
      <c r="L799" s="387"/>
      <c r="M799" s="380" t="str">
        <f t="array" ref="M799">IF(L799="","",(MAX(IF(AN$15:AN$144=B799,AO$15:AO$144))/60))</f>
        <v/>
      </c>
      <c r="N799" s="387"/>
      <c r="O799" s="387"/>
      <c r="P799" s="381" t="str">
        <f t="shared" si="49"/>
        <v/>
      </c>
      <c r="Q799" s="382" t="str">
        <f t="array" ref="Q799">IFERROR(INDEX($D$13:$D$1000,MATCH(0,COUNTIF($Q$13:Q798,$D$13:$D$1000&amp;"")+IF($D$13:$D$1000="",1,0),0)),"")</f>
        <v/>
      </c>
      <c r="R799" s="356" t="str">
        <f t="shared" si="50"/>
        <v/>
      </c>
      <c r="S799" s="383" t="str">
        <f t="shared" si="48"/>
        <v/>
      </c>
      <c r="T799" s="384" t="str">
        <f t="shared" si="51"/>
        <v/>
      </c>
      <c r="V799" s="385"/>
      <c r="W799" s="385"/>
      <c r="X799" s="386"/>
    </row>
    <row r="800" spans="2:24">
      <c r="B800" s="395"/>
      <c r="C800" s="371"/>
      <c r="D800" s="372" t="str">
        <f>IFERROR(INDEX('[11]Equipment List'!$B$2:$B$2038,MATCH(E800,'[11]Equipment List'!$A$2:$A$2038,0)),"")</f>
        <v/>
      </c>
      <c r="E800" s="388"/>
      <c r="F800" s="374"/>
      <c r="G800" s="375"/>
      <c r="H800" s="397"/>
      <c r="I800" s="377"/>
      <c r="J800" s="378"/>
      <c r="K800" s="379"/>
      <c r="L800" s="387"/>
      <c r="M800" s="380" t="str">
        <f t="array" ref="M800">IF(L800="","",(MAX(IF(AN$15:AN$144=B800,AO$15:AO$144))/60))</f>
        <v/>
      </c>
      <c r="N800" s="387"/>
      <c r="O800" s="387"/>
      <c r="P800" s="381" t="str">
        <f t="shared" si="49"/>
        <v/>
      </c>
      <c r="Q800" s="382" t="str">
        <f t="array" ref="Q800">IFERROR(INDEX($D$13:$D$1000,MATCH(0,COUNTIF($Q$13:Q799,$D$13:$D$1000&amp;"")+IF($D$13:$D$1000="",1,0),0)),"")</f>
        <v/>
      </c>
      <c r="R800" s="356" t="str">
        <f t="shared" si="50"/>
        <v/>
      </c>
      <c r="S800" s="383" t="str">
        <f t="shared" si="48"/>
        <v/>
      </c>
      <c r="T800" s="384" t="str">
        <f t="shared" si="51"/>
        <v/>
      </c>
      <c r="V800" s="385"/>
      <c r="W800" s="385"/>
      <c r="X800" s="386"/>
    </row>
    <row r="801" spans="2:24">
      <c r="B801" s="395"/>
      <c r="C801" s="371"/>
      <c r="D801" s="372" t="str">
        <f>IFERROR(INDEX('[11]Equipment List'!$B$2:$B$2038,MATCH(E801,'[11]Equipment List'!$A$2:$A$2038,0)),"")</f>
        <v/>
      </c>
      <c r="E801" s="388"/>
      <c r="F801" s="374"/>
      <c r="G801" s="375"/>
      <c r="H801" s="397"/>
      <c r="I801" s="377"/>
      <c r="J801" s="378"/>
      <c r="K801" s="379"/>
      <c r="L801" s="387"/>
      <c r="M801" s="380" t="str">
        <f t="array" ref="M801">IF(L801="","",(MAX(IF(AN$15:AN$144=B801,AO$15:AO$144))/60))</f>
        <v/>
      </c>
      <c r="N801" s="387"/>
      <c r="O801" s="387"/>
      <c r="P801" s="381" t="str">
        <f t="shared" si="49"/>
        <v/>
      </c>
      <c r="Q801" s="382" t="str">
        <f t="array" ref="Q801">IFERROR(INDEX($D$13:$D$1000,MATCH(0,COUNTIF($Q$13:Q800,$D$13:$D$1000&amp;"")+IF($D$13:$D$1000="",1,0),0)),"")</f>
        <v/>
      </c>
      <c r="R801" s="356" t="str">
        <f t="shared" si="50"/>
        <v/>
      </c>
      <c r="S801" s="383" t="str">
        <f t="shared" si="48"/>
        <v/>
      </c>
      <c r="T801" s="384" t="str">
        <f t="shared" si="51"/>
        <v/>
      </c>
      <c r="V801" s="385"/>
      <c r="W801" s="385"/>
      <c r="X801" s="386"/>
    </row>
    <row r="802" spans="2:24">
      <c r="B802" s="395"/>
      <c r="C802" s="371"/>
      <c r="D802" s="372" t="str">
        <f>IFERROR(INDEX('[11]Equipment List'!$B$2:$B$2038,MATCH(E802,'[11]Equipment List'!$A$2:$A$2038,0)),"")</f>
        <v/>
      </c>
      <c r="E802" s="388"/>
      <c r="F802" s="374"/>
      <c r="G802" s="375"/>
      <c r="H802" s="397"/>
      <c r="I802" s="377"/>
      <c r="J802" s="378"/>
      <c r="K802" s="379"/>
      <c r="L802" s="387"/>
      <c r="M802" s="380" t="str">
        <f t="array" ref="M802">IF(L802="","",(MAX(IF(AN$15:AN$144=B802,AO$15:AO$144))/60))</f>
        <v/>
      </c>
      <c r="N802" s="387"/>
      <c r="O802" s="387"/>
      <c r="P802" s="381" t="str">
        <f t="shared" si="49"/>
        <v/>
      </c>
      <c r="Q802" s="382" t="str">
        <f t="array" ref="Q802">IFERROR(INDEX($D$13:$D$1000,MATCH(0,COUNTIF($Q$13:Q801,$D$13:$D$1000&amp;"")+IF($D$13:$D$1000="",1,0),0)),"")</f>
        <v/>
      </c>
      <c r="R802" s="356" t="str">
        <f t="shared" si="50"/>
        <v/>
      </c>
      <c r="S802" s="383" t="str">
        <f t="shared" si="48"/>
        <v/>
      </c>
      <c r="T802" s="384" t="str">
        <f t="shared" si="51"/>
        <v/>
      </c>
      <c r="V802" s="385"/>
      <c r="W802" s="385"/>
      <c r="X802" s="386"/>
    </row>
    <row r="803" spans="2:24">
      <c r="B803" s="395"/>
      <c r="C803" s="371"/>
      <c r="D803" s="372" t="str">
        <f>IFERROR(INDEX('[11]Equipment List'!$B$2:$B$2038,MATCH(E803,'[11]Equipment List'!$A$2:$A$2038,0)),"")</f>
        <v/>
      </c>
      <c r="E803" s="388"/>
      <c r="F803" s="374"/>
      <c r="G803" s="375"/>
      <c r="H803" s="397"/>
      <c r="I803" s="377"/>
      <c r="J803" s="378"/>
      <c r="K803" s="379"/>
      <c r="L803" s="387"/>
      <c r="M803" s="380" t="str">
        <f t="array" ref="M803">IF(L803="","",(MAX(IF(AN$15:AN$144=B803,AO$15:AO$144))/60))</f>
        <v/>
      </c>
      <c r="N803" s="387"/>
      <c r="O803" s="387"/>
      <c r="P803" s="381" t="str">
        <f t="shared" si="49"/>
        <v/>
      </c>
      <c r="Q803" s="382" t="str">
        <f t="array" ref="Q803">IFERROR(INDEX($D$13:$D$1000,MATCH(0,COUNTIF($Q$13:Q802,$D$13:$D$1000&amp;"")+IF($D$13:$D$1000="",1,0),0)),"")</f>
        <v/>
      </c>
      <c r="R803" s="356" t="str">
        <f t="shared" si="50"/>
        <v/>
      </c>
      <c r="S803" s="383" t="str">
        <f t="shared" si="48"/>
        <v/>
      </c>
      <c r="T803" s="384" t="str">
        <f t="shared" si="51"/>
        <v/>
      </c>
      <c r="V803" s="385"/>
      <c r="W803" s="385"/>
      <c r="X803" s="386"/>
    </row>
    <row r="804" spans="2:24">
      <c r="B804" s="395"/>
      <c r="C804" s="371"/>
      <c r="D804" s="372" t="str">
        <f>IFERROR(INDEX('[11]Equipment List'!$B$2:$B$2038,MATCH(E804,'[11]Equipment List'!$A$2:$A$2038,0)),"")</f>
        <v/>
      </c>
      <c r="E804" s="388"/>
      <c r="F804" s="374"/>
      <c r="G804" s="375"/>
      <c r="H804" s="397"/>
      <c r="I804" s="377"/>
      <c r="J804" s="378"/>
      <c r="K804" s="379"/>
      <c r="L804" s="387"/>
      <c r="M804" s="380" t="str">
        <f t="array" ref="M804">IF(L804="","",(MAX(IF(AN$15:AN$144=B804,AO$15:AO$144))/60))</f>
        <v/>
      </c>
      <c r="N804" s="387"/>
      <c r="O804" s="387"/>
      <c r="P804" s="381" t="str">
        <f t="shared" si="49"/>
        <v/>
      </c>
      <c r="Q804" s="382" t="str">
        <f t="array" ref="Q804">IFERROR(INDEX($D$13:$D$1000,MATCH(0,COUNTIF($Q$13:Q803,$D$13:$D$1000&amp;"")+IF($D$13:$D$1000="",1,0),0)),"")</f>
        <v/>
      </c>
      <c r="R804" s="356" t="str">
        <f t="shared" si="50"/>
        <v/>
      </c>
      <c r="S804" s="383" t="str">
        <f t="shared" si="48"/>
        <v/>
      </c>
      <c r="T804" s="384" t="str">
        <f t="shared" si="51"/>
        <v/>
      </c>
      <c r="V804" s="385"/>
      <c r="W804" s="385"/>
      <c r="X804" s="386"/>
    </row>
    <row r="805" spans="2:24">
      <c r="B805" s="395"/>
      <c r="C805" s="371"/>
      <c r="D805" s="372" t="str">
        <f>IFERROR(INDEX('[11]Equipment List'!$B$2:$B$2038,MATCH(E805,'[11]Equipment List'!$A$2:$A$2038,0)),"")</f>
        <v/>
      </c>
      <c r="E805" s="388"/>
      <c r="F805" s="374"/>
      <c r="G805" s="375"/>
      <c r="H805" s="397"/>
      <c r="I805" s="377"/>
      <c r="J805" s="378"/>
      <c r="K805" s="379"/>
      <c r="L805" s="387"/>
      <c r="M805" s="380" t="str">
        <f t="array" ref="M805">IF(L805="","",(MAX(IF(AN$15:AN$144=B805,AO$15:AO$144))/60))</f>
        <v/>
      </c>
      <c r="N805" s="387"/>
      <c r="O805" s="387"/>
      <c r="P805" s="381" t="str">
        <f t="shared" si="49"/>
        <v/>
      </c>
      <c r="Q805" s="382" t="str">
        <f t="array" ref="Q805">IFERROR(INDEX($D$13:$D$1000,MATCH(0,COUNTIF($Q$13:Q804,$D$13:$D$1000&amp;"")+IF($D$13:$D$1000="",1,0),0)),"")</f>
        <v/>
      </c>
      <c r="R805" s="356" t="str">
        <f t="shared" si="50"/>
        <v/>
      </c>
      <c r="S805" s="383" t="str">
        <f t="shared" si="48"/>
        <v/>
      </c>
      <c r="T805" s="384" t="str">
        <f t="shared" si="51"/>
        <v/>
      </c>
      <c r="V805" s="385"/>
      <c r="W805" s="385"/>
      <c r="X805" s="386"/>
    </row>
    <row r="806" spans="2:24">
      <c r="B806" s="395"/>
      <c r="C806" s="371"/>
      <c r="D806" s="372" t="str">
        <f>IFERROR(INDEX('[11]Equipment List'!$B$2:$B$2038,MATCH(E806,'[11]Equipment List'!$A$2:$A$2038,0)),"")</f>
        <v/>
      </c>
      <c r="E806" s="388"/>
      <c r="F806" s="374"/>
      <c r="G806" s="375"/>
      <c r="H806" s="397"/>
      <c r="I806" s="377"/>
      <c r="J806" s="378"/>
      <c r="K806" s="379"/>
      <c r="L806" s="387"/>
      <c r="M806" s="380" t="str">
        <f t="array" ref="M806">IF(L806="","",(MAX(IF(AN$15:AN$144=B806,AO$15:AO$144))/60))</f>
        <v/>
      </c>
      <c r="N806" s="387"/>
      <c r="O806" s="387"/>
      <c r="P806" s="381" t="str">
        <f t="shared" si="49"/>
        <v/>
      </c>
      <c r="Q806" s="382" t="str">
        <f t="array" ref="Q806">IFERROR(INDEX($D$13:$D$1000,MATCH(0,COUNTIF($Q$13:Q805,$D$13:$D$1000&amp;"")+IF($D$13:$D$1000="",1,0),0)),"")</f>
        <v/>
      </c>
      <c r="R806" s="356" t="str">
        <f t="shared" si="50"/>
        <v/>
      </c>
      <c r="S806" s="383" t="str">
        <f t="shared" si="48"/>
        <v/>
      </c>
      <c r="T806" s="384" t="str">
        <f t="shared" si="51"/>
        <v/>
      </c>
      <c r="V806" s="385"/>
      <c r="W806" s="385"/>
      <c r="X806" s="386"/>
    </row>
    <row r="807" spans="2:24">
      <c r="B807" s="395"/>
      <c r="C807" s="371"/>
      <c r="D807" s="372" t="str">
        <f>IFERROR(INDEX('[11]Equipment List'!$B$2:$B$2038,MATCH(E807,'[11]Equipment List'!$A$2:$A$2038,0)),"")</f>
        <v/>
      </c>
      <c r="E807" s="388"/>
      <c r="F807" s="374"/>
      <c r="G807" s="375"/>
      <c r="H807" s="397"/>
      <c r="I807" s="377"/>
      <c r="J807" s="378"/>
      <c r="K807" s="379"/>
      <c r="L807" s="387"/>
      <c r="M807" s="380" t="str">
        <f t="array" ref="M807">IF(L807="","",(MAX(IF(AN$15:AN$144=B807,AO$15:AO$144))/60))</f>
        <v/>
      </c>
      <c r="N807" s="387"/>
      <c r="O807" s="387"/>
      <c r="P807" s="381" t="str">
        <f t="shared" si="49"/>
        <v/>
      </c>
      <c r="Q807" s="382" t="str">
        <f t="array" ref="Q807">IFERROR(INDEX($D$13:$D$1000,MATCH(0,COUNTIF($Q$13:Q806,$D$13:$D$1000&amp;"")+IF($D$13:$D$1000="",1,0),0)),"")</f>
        <v/>
      </c>
      <c r="R807" s="356" t="str">
        <f t="shared" si="50"/>
        <v/>
      </c>
      <c r="S807" s="383" t="str">
        <f t="shared" si="48"/>
        <v/>
      </c>
      <c r="T807" s="384" t="str">
        <f t="shared" si="51"/>
        <v/>
      </c>
      <c r="V807" s="385"/>
      <c r="W807" s="385"/>
      <c r="X807" s="386"/>
    </row>
    <row r="808" spans="2:24">
      <c r="B808" s="395"/>
      <c r="C808" s="371"/>
      <c r="D808" s="372" t="str">
        <f>IFERROR(INDEX('[11]Equipment List'!$B$2:$B$2038,MATCH(E808,'[11]Equipment List'!$A$2:$A$2038,0)),"")</f>
        <v/>
      </c>
      <c r="E808" s="388"/>
      <c r="F808" s="374"/>
      <c r="G808" s="375"/>
      <c r="H808" s="397"/>
      <c r="I808" s="377"/>
      <c r="J808" s="378"/>
      <c r="K808" s="379"/>
      <c r="L808" s="387"/>
      <c r="M808" s="380" t="str">
        <f t="array" ref="M808">IF(L808="","",(MAX(IF(AN$15:AN$144=B808,AO$15:AO$144))/60))</f>
        <v/>
      </c>
      <c r="N808" s="387"/>
      <c r="O808" s="387"/>
      <c r="P808" s="381" t="str">
        <f t="shared" si="49"/>
        <v/>
      </c>
      <c r="Q808" s="382" t="str">
        <f t="array" ref="Q808">IFERROR(INDEX($D$13:$D$1000,MATCH(0,COUNTIF($Q$13:Q807,$D$13:$D$1000&amp;"")+IF($D$13:$D$1000="",1,0),0)),"")</f>
        <v/>
      </c>
      <c r="R808" s="356" t="str">
        <f t="shared" si="50"/>
        <v/>
      </c>
      <c r="S808" s="383" t="str">
        <f t="shared" si="48"/>
        <v/>
      </c>
      <c r="T808" s="384" t="str">
        <f t="shared" si="51"/>
        <v/>
      </c>
      <c r="V808" s="385"/>
      <c r="W808" s="385"/>
      <c r="X808" s="386"/>
    </row>
    <row r="809" spans="2:24">
      <c r="B809" s="395"/>
      <c r="C809" s="371"/>
      <c r="D809" s="372" t="str">
        <f>IFERROR(INDEX('[11]Equipment List'!$B$2:$B$2038,MATCH(E809,'[11]Equipment List'!$A$2:$A$2038,0)),"")</f>
        <v/>
      </c>
      <c r="E809" s="388"/>
      <c r="F809" s="374"/>
      <c r="G809" s="375"/>
      <c r="H809" s="397"/>
      <c r="I809" s="377"/>
      <c r="J809" s="378"/>
      <c r="K809" s="379"/>
      <c r="L809" s="387"/>
      <c r="M809" s="380" t="str">
        <f t="array" ref="M809">IF(L809="","",(MAX(IF(AN$15:AN$144=B809,AO$15:AO$144))/60))</f>
        <v/>
      </c>
      <c r="N809" s="387"/>
      <c r="O809" s="387"/>
      <c r="P809" s="381" t="str">
        <f t="shared" si="49"/>
        <v/>
      </c>
      <c r="Q809" s="382" t="str">
        <f t="array" ref="Q809">IFERROR(INDEX($D$13:$D$1000,MATCH(0,COUNTIF($Q$13:Q808,$D$13:$D$1000&amp;"")+IF($D$13:$D$1000="",1,0),0)),"")</f>
        <v/>
      </c>
      <c r="R809" s="356" t="str">
        <f t="shared" si="50"/>
        <v/>
      </c>
      <c r="S809" s="383" t="str">
        <f t="shared" si="48"/>
        <v/>
      </c>
      <c r="T809" s="384" t="str">
        <f t="shared" si="51"/>
        <v/>
      </c>
      <c r="V809" s="385"/>
      <c r="W809" s="385"/>
      <c r="X809" s="386"/>
    </row>
    <row r="810" spans="2:24">
      <c r="B810" s="395"/>
      <c r="C810" s="371"/>
      <c r="D810" s="372" t="str">
        <f>IFERROR(INDEX('[11]Equipment List'!$B$2:$B$2038,MATCH(E810,'[11]Equipment List'!$A$2:$A$2038,0)),"")</f>
        <v/>
      </c>
      <c r="E810" s="388"/>
      <c r="F810" s="374"/>
      <c r="G810" s="375"/>
      <c r="H810" s="397"/>
      <c r="I810" s="377"/>
      <c r="J810" s="378"/>
      <c r="K810" s="379"/>
      <c r="L810" s="387"/>
      <c r="M810" s="380" t="str">
        <f t="array" ref="M810">IF(L810="","",(MAX(IF(AN$15:AN$144=B810,AO$15:AO$144))/60))</f>
        <v/>
      </c>
      <c r="N810" s="387"/>
      <c r="O810" s="387"/>
      <c r="P810" s="381" t="str">
        <f t="shared" si="49"/>
        <v/>
      </c>
      <c r="Q810" s="382" t="str">
        <f t="array" ref="Q810">IFERROR(INDEX($D$13:$D$1000,MATCH(0,COUNTIF($Q$13:Q809,$D$13:$D$1000&amp;"")+IF($D$13:$D$1000="",1,0),0)),"")</f>
        <v/>
      </c>
      <c r="R810" s="356" t="str">
        <f t="shared" si="50"/>
        <v/>
      </c>
      <c r="S810" s="383" t="str">
        <f t="shared" si="48"/>
        <v/>
      </c>
      <c r="T810" s="384" t="str">
        <f t="shared" si="51"/>
        <v/>
      </c>
      <c r="V810" s="385"/>
      <c r="W810" s="385"/>
      <c r="X810" s="386"/>
    </row>
    <row r="811" spans="2:24">
      <c r="B811" s="395"/>
      <c r="C811" s="371"/>
      <c r="D811" s="372" t="str">
        <f>IFERROR(INDEX('[11]Equipment List'!$B$2:$B$2038,MATCH(E811,'[11]Equipment List'!$A$2:$A$2038,0)),"")</f>
        <v/>
      </c>
      <c r="E811" s="388"/>
      <c r="F811" s="374"/>
      <c r="G811" s="375"/>
      <c r="H811" s="397"/>
      <c r="I811" s="377"/>
      <c r="J811" s="378"/>
      <c r="K811" s="379"/>
      <c r="L811" s="387"/>
      <c r="M811" s="380" t="str">
        <f t="array" ref="M811">IF(L811="","",(MAX(IF(AN$15:AN$144=B811,AO$15:AO$144))/60))</f>
        <v/>
      </c>
      <c r="N811" s="387"/>
      <c r="O811" s="387"/>
      <c r="P811" s="381" t="str">
        <f t="shared" si="49"/>
        <v/>
      </c>
      <c r="Q811" s="382" t="str">
        <f t="array" ref="Q811">IFERROR(INDEX($D$13:$D$1000,MATCH(0,COUNTIF($Q$13:Q810,$D$13:$D$1000&amp;"")+IF($D$13:$D$1000="",1,0),0)),"")</f>
        <v/>
      </c>
      <c r="R811" s="356" t="str">
        <f t="shared" si="50"/>
        <v/>
      </c>
      <c r="S811" s="383" t="str">
        <f t="shared" ref="S811:S874" si="52">IF($Q811="","",SUMIF($D$13:$D$1000,$Q811,I$13:I$1000))</f>
        <v/>
      </c>
      <c r="T811" s="384" t="str">
        <f t="shared" si="51"/>
        <v/>
      </c>
      <c r="V811" s="385"/>
      <c r="W811" s="385"/>
      <c r="X811" s="386"/>
    </row>
    <row r="812" spans="2:24">
      <c r="B812" s="395"/>
      <c r="C812" s="371"/>
      <c r="D812" s="372" t="str">
        <f>IFERROR(INDEX('[11]Equipment List'!$B$2:$B$2038,MATCH(E812,'[11]Equipment List'!$A$2:$A$2038,0)),"")</f>
        <v/>
      </c>
      <c r="E812" s="388"/>
      <c r="F812" s="374"/>
      <c r="G812" s="375"/>
      <c r="H812" s="397"/>
      <c r="I812" s="377"/>
      <c r="J812" s="378"/>
      <c r="K812" s="379"/>
      <c r="L812" s="387"/>
      <c r="M812" s="380" t="str">
        <f t="array" ref="M812">IF(L812="","",(MAX(IF(AN$15:AN$144=B812,AO$15:AO$144))/60))</f>
        <v/>
      </c>
      <c r="N812" s="387"/>
      <c r="O812" s="387"/>
      <c r="P812" s="381" t="str">
        <f t="shared" si="49"/>
        <v/>
      </c>
      <c r="Q812" s="382" t="str">
        <f t="array" ref="Q812">IFERROR(INDEX($D$13:$D$1000,MATCH(0,COUNTIF($Q$13:Q811,$D$13:$D$1000&amp;"")+IF($D$13:$D$1000="",1,0),0)),"")</f>
        <v/>
      </c>
      <c r="R812" s="356" t="str">
        <f t="shared" si="50"/>
        <v/>
      </c>
      <c r="S812" s="383" t="str">
        <f t="shared" si="52"/>
        <v/>
      </c>
      <c r="T812" s="384" t="str">
        <f t="shared" si="51"/>
        <v/>
      </c>
      <c r="V812" s="385"/>
      <c r="W812" s="385"/>
      <c r="X812" s="386"/>
    </row>
    <row r="813" spans="2:24">
      <c r="B813" s="395"/>
      <c r="C813" s="371"/>
      <c r="D813" s="372" t="str">
        <f>IFERROR(INDEX('[11]Equipment List'!$B$2:$B$2038,MATCH(E813,'[11]Equipment List'!$A$2:$A$2038,0)),"")</f>
        <v/>
      </c>
      <c r="E813" s="388"/>
      <c r="F813" s="374"/>
      <c r="G813" s="375"/>
      <c r="H813" s="397"/>
      <c r="I813" s="377"/>
      <c r="J813" s="378"/>
      <c r="K813" s="379"/>
      <c r="L813" s="387"/>
      <c r="M813" s="380" t="str">
        <f t="array" ref="M813">IF(L813="","",(MAX(IF(AN$15:AN$144=B813,AO$15:AO$144))/60))</f>
        <v/>
      </c>
      <c r="N813" s="387"/>
      <c r="O813" s="387"/>
      <c r="P813" s="381" t="str">
        <f t="shared" si="49"/>
        <v/>
      </c>
      <c r="Q813" s="382" t="str">
        <f t="array" ref="Q813">IFERROR(INDEX($D$13:$D$1000,MATCH(0,COUNTIF($Q$13:Q812,$D$13:$D$1000&amp;"")+IF($D$13:$D$1000="",1,0),0)),"")</f>
        <v/>
      </c>
      <c r="R813" s="356" t="str">
        <f t="shared" si="50"/>
        <v/>
      </c>
      <c r="S813" s="383" t="str">
        <f t="shared" si="52"/>
        <v/>
      </c>
      <c r="T813" s="384" t="str">
        <f t="shared" si="51"/>
        <v/>
      </c>
      <c r="V813" s="385"/>
      <c r="W813" s="385"/>
      <c r="X813" s="386"/>
    </row>
    <row r="814" spans="2:24">
      <c r="B814" s="395"/>
      <c r="C814" s="371"/>
      <c r="D814" s="372" t="str">
        <f>IFERROR(INDEX('[11]Equipment List'!$B$2:$B$2038,MATCH(E814,'[11]Equipment List'!$A$2:$A$2038,0)),"")</f>
        <v/>
      </c>
      <c r="E814" s="388"/>
      <c r="F814" s="374"/>
      <c r="G814" s="375"/>
      <c r="H814" s="397"/>
      <c r="I814" s="377"/>
      <c r="J814" s="378"/>
      <c r="K814" s="379"/>
      <c r="L814" s="387"/>
      <c r="M814" s="380" t="str">
        <f t="array" ref="M814">IF(L814="","",(MAX(IF(AN$15:AN$144=B814,AO$15:AO$144))/60))</f>
        <v/>
      </c>
      <c r="N814" s="387"/>
      <c r="O814" s="387"/>
      <c r="P814" s="381" t="str">
        <f t="shared" si="49"/>
        <v/>
      </c>
      <c r="Q814" s="382" t="str">
        <f t="array" ref="Q814">IFERROR(INDEX($D$13:$D$1000,MATCH(0,COUNTIF($Q$13:Q813,$D$13:$D$1000&amp;"")+IF($D$13:$D$1000="",1,0),0)),"")</f>
        <v/>
      </c>
      <c r="R814" s="356" t="str">
        <f t="shared" si="50"/>
        <v/>
      </c>
      <c r="S814" s="383" t="str">
        <f t="shared" si="52"/>
        <v/>
      </c>
      <c r="T814" s="384" t="str">
        <f t="shared" si="51"/>
        <v/>
      </c>
      <c r="V814" s="385"/>
      <c r="W814" s="385"/>
      <c r="X814" s="386"/>
    </row>
    <row r="815" spans="2:24">
      <c r="B815" s="395"/>
      <c r="C815" s="371"/>
      <c r="D815" s="372" t="str">
        <f>IFERROR(INDEX('[11]Equipment List'!$B$2:$B$2038,MATCH(E815,'[11]Equipment List'!$A$2:$A$2038,0)),"")</f>
        <v/>
      </c>
      <c r="E815" s="388"/>
      <c r="F815" s="374"/>
      <c r="G815" s="375"/>
      <c r="H815" s="397"/>
      <c r="I815" s="377"/>
      <c r="J815" s="378"/>
      <c r="K815" s="379"/>
      <c r="L815" s="387"/>
      <c r="M815" s="380" t="str">
        <f t="array" ref="M815">IF(L815="","",(MAX(IF(AN$15:AN$144=B815,AO$15:AO$144))/60))</f>
        <v/>
      </c>
      <c r="N815" s="387"/>
      <c r="O815" s="387"/>
      <c r="P815" s="381" t="str">
        <f t="shared" si="49"/>
        <v/>
      </c>
      <c r="Q815" s="382" t="str">
        <f t="array" ref="Q815">IFERROR(INDEX($D$13:$D$1000,MATCH(0,COUNTIF($Q$13:Q814,$D$13:$D$1000&amp;"")+IF($D$13:$D$1000="",1,0),0)),"")</f>
        <v/>
      </c>
      <c r="R815" s="356" t="str">
        <f t="shared" si="50"/>
        <v/>
      </c>
      <c r="S815" s="383" t="str">
        <f t="shared" si="52"/>
        <v/>
      </c>
      <c r="T815" s="384" t="str">
        <f t="shared" si="51"/>
        <v/>
      </c>
      <c r="V815" s="385"/>
      <c r="W815" s="385"/>
      <c r="X815" s="386"/>
    </row>
    <row r="816" spans="2:24">
      <c r="B816" s="395"/>
      <c r="C816" s="371"/>
      <c r="D816" s="372" t="str">
        <f>IFERROR(INDEX('[11]Equipment List'!$B$2:$B$2038,MATCH(E816,'[11]Equipment List'!$A$2:$A$2038,0)),"")</f>
        <v/>
      </c>
      <c r="E816" s="388"/>
      <c r="F816" s="374"/>
      <c r="G816" s="375"/>
      <c r="H816" s="397"/>
      <c r="I816" s="377"/>
      <c r="J816" s="378"/>
      <c r="K816" s="379"/>
      <c r="L816" s="387"/>
      <c r="M816" s="380" t="str">
        <f t="array" ref="M816">IF(L816="","",(MAX(IF(AN$15:AN$144=B816,AO$15:AO$144))/60))</f>
        <v/>
      </c>
      <c r="N816" s="387"/>
      <c r="O816" s="387"/>
      <c r="P816" s="381" t="str">
        <f t="shared" si="49"/>
        <v/>
      </c>
      <c r="Q816" s="382" t="str">
        <f t="array" ref="Q816">IFERROR(INDEX($D$13:$D$1000,MATCH(0,COUNTIF($Q$13:Q815,$D$13:$D$1000&amp;"")+IF($D$13:$D$1000="",1,0),0)),"")</f>
        <v/>
      </c>
      <c r="R816" s="356" t="str">
        <f t="shared" si="50"/>
        <v/>
      </c>
      <c r="S816" s="383" t="str">
        <f t="shared" si="52"/>
        <v/>
      </c>
      <c r="T816" s="384" t="str">
        <f t="shared" si="51"/>
        <v/>
      </c>
      <c r="V816" s="385"/>
      <c r="W816" s="385"/>
      <c r="X816" s="386"/>
    </row>
    <row r="817" spans="2:24">
      <c r="B817" s="395"/>
      <c r="C817" s="371"/>
      <c r="D817" s="372" t="str">
        <f>IFERROR(INDEX('[11]Equipment List'!$B$2:$B$2038,MATCH(E817,'[11]Equipment List'!$A$2:$A$2038,0)),"")</f>
        <v/>
      </c>
      <c r="E817" s="388"/>
      <c r="F817" s="374"/>
      <c r="G817" s="375"/>
      <c r="H817" s="397"/>
      <c r="I817" s="377"/>
      <c r="J817" s="378"/>
      <c r="K817" s="379"/>
      <c r="L817" s="387"/>
      <c r="M817" s="380" t="str">
        <f t="array" ref="M817">IF(L817="","",(MAX(IF(AN$15:AN$144=B817,AO$15:AO$144))/60))</f>
        <v/>
      </c>
      <c r="N817" s="387"/>
      <c r="O817" s="387"/>
      <c r="P817" s="381" t="str">
        <f t="shared" si="49"/>
        <v/>
      </c>
      <c r="Q817" s="382" t="str">
        <f t="array" ref="Q817">IFERROR(INDEX($D$13:$D$1000,MATCH(0,COUNTIF($Q$13:Q816,$D$13:$D$1000&amp;"")+IF($D$13:$D$1000="",1,0),0)),"")</f>
        <v/>
      </c>
      <c r="R817" s="356" t="str">
        <f t="shared" si="50"/>
        <v/>
      </c>
      <c r="S817" s="383" t="str">
        <f t="shared" si="52"/>
        <v/>
      </c>
      <c r="T817" s="384" t="str">
        <f t="shared" si="51"/>
        <v/>
      </c>
      <c r="V817" s="385"/>
      <c r="W817" s="385"/>
      <c r="X817" s="386"/>
    </row>
    <row r="818" spans="2:24">
      <c r="B818" s="395"/>
      <c r="C818" s="371"/>
      <c r="D818" s="372" t="str">
        <f>IFERROR(INDEX('[11]Equipment List'!$B$2:$B$2038,MATCH(E818,'[11]Equipment List'!$A$2:$A$2038,0)),"")</f>
        <v/>
      </c>
      <c r="E818" s="388"/>
      <c r="F818" s="374"/>
      <c r="G818" s="375"/>
      <c r="H818" s="397"/>
      <c r="I818" s="377"/>
      <c r="J818" s="378"/>
      <c r="K818" s="379"/>
      <c r="L818" s="387"/>
      <c r="M818" s="380" t="str">
        <f t="array" ref="M818">IF(L818="","",(MAX(IF(AN$15:AN$144=B818,AO$15:AO$144))/60))</f>
        <v/>
      </c>
      <c r="N818" s="387"/>
      <c r="O818" s="387"/>
      <c r="P818" s="381" t="str">
        <f t="shared" si="49"/>
        <v/>
      </c>
      <c r="Q818" s="382" t="str">
        <f t="array" ref="Q818">IFERROR(INDEX($D$13:$D$1000,MATCH(0,COUNTIF($Q$13:Q817,$D$13:$D$1000&amp;"")+IF($D$13:$D$1000="",1,0),0)),"")</f>
        <v/>
      </c>
      <c r="R818" s="356" t="str">
        <f t="shared" si="50"/>
        <v/>
      </c>
      <c r="S818" s="383" t="str">
        <f t="shared" si="52"/>
        <v/>
      </c>
      <c r="T818" s="384" t="str">
        <f t="shared" si="51"/>
        <v/>
      </c>
      <c r="V818" s="385"/>
      <c r="W818" s="385"/>
      <c r="X818" s="386"/>
    </row>
    <row r="819" spans="2:24">
      <c r="B819" s="395"/>
      <c r="C819" s="371"/>
      <c r="D819" s="372" t="str">
        <f>IFERROR(INDEX('[11]Equipment List'!$B$2:$B$2038,MATCH(E819,'[11]Equipment List'!$A$2:$A$2038,0)),"")</f>
        <v/>
      </c>
      <c r="E819" s="388"/>
      <c r="F819" s="374"/>
      <c r="G819" s="375"/>
      <c r="H819" s="397"/>
      <c r="I819" s="377"/>
      <c r="J819" s="378"/>
      <c r="K819" s="379"/>
      <c r="L819" s="387"/>
      <c r="M819" s="380" t="str">
        <f t="array" ref="M819">IF(L819="","",(MAX(IF(AN$15:AN$144=B819,AO$15:AO$144))/60))</f>
        <v/>
      </c>
      <c r="N819" s="387"/>
      <c r="O819" s="387"/>
      <c r="P819" s="381" t="str">
        <f t="shared" si="49"/>
        <v/>
      </c>
      <c r="Q819" s="382" t="str">
        <f t="array" ref="Q819">IFERROR(INDEX($D$13:$D$1000,MATCH(0,COUNTIF($Q$13:Q818,$D$13:$D$1000&amp;"")+IF($D$13:$D$1000="",1,0),0)),"")</f>
        <v/>
      </c>
      <c r="R819" s="356" t="str">
        <f t="shared" si="50"/>
        <v/>
      </c>
      <c r="S819" s="383" t="str">
        <f t="shared" si="52"/>
        <v/>
      </c>
      <c r="T819" s="384" t="str">
        <f t="shared" si="51"/>
        <v/>
      </c>
      <c r="V819" s="385"/>
      <c r="W819" s="385"/>
      <c r="X819" s="386"/>
    </row>
    <row r="820" spans="2:24">
      <c r="B820" s="395"/>
      <c r="C820" s="371"/>
      <c r="D820" s="372" t="str">
        <f>IFERROR(INDEX('[11]Equipment List'!$B$2:$B$2038,MATCH(E820,'[11]Equipment List'!$A$2:$A$2038,0)),"")</f>
        <v/>
      </c>
      <c r="E820" s="388"/>
      <c r="F820" s="374"/>
      <c r="G820" s="375"/>
      <c r="H820" s="397"/>
      <c r="I820" s="377"/>
      <c r="J820" s="378"/>
      <c r="K820" s="379"/>
      <c r="L820" s="387"/>
      <c r="M820" s="380" t="str">
        <f t="array" ref="M820">IF(L820="","",(MAX(IF(AN$15:AN$144=B820,AO$15:AO$144))/60))</f>
        <v/>
      </c>
      <c r="N820" s="387"/>
      <c r="O820" s="387"/>
      <c r="P820" s="381" t="str">
        <f t="shared" si="49"/>
        <v/>
      </c>
      <c r="Q820" s="382" t="str">
        <f t="array" ref="Q820">IFERROR(INDEX($D$13:$D$1000,MATCH(0,COUNTIF($Q$13:Q819,$D$13:$D$1000&amp;"")+IF($D$13:$D$1000="",1,0),0)),"")</f>
        <v/>
      </c>
      <c r="R820" s="356" t="str">
        <f t="shared" si="50"/>
        <v/>
      </c>
      <c r="S820" s="383" t="str">
        <f t="shared" si="52"/>
        <v/>
      </c>
      <c r="T820" s="384" t="str">
        <f t="shared" si="51"/>
        <v/>
      </c>
      <c r="V820" s="385"/>
      <c r="W820" s="385"/>
      <c r="X820" s="386"/>
    </row>
    <row r="821" spans="2:24">
      <c r="B821" s="395"/>
      <c r="C821" s="371"/>
      <c r="D821" s="372" t="str">
        <f>IFERROR(INDEX('[11]Equipment List'!$B$2:$B$2038,MATCH(E821,'[11]Equipment List'!$A$2:$A$2038,0)),"")</f>
        <v/>
      </c>
      <c r="E821" s="388"/>
      <c r="F821" s="374"/>
      <c r="G821" s="375"/>
      <c r="H821" s="397"/>
      <c r="I821" s="377"/>
      <c r="J821" s="378"/>
      <c r="K821" s="379"/>
      <c r="L821" s="387"/>
      <c r="M821" s="380" t="str">
        <f t="array" ref="M821">IF(L821="","",(MAX(IF(AN$15:AN$144=B821,AO$15:AO$144))/60))</f>
        <v/>
      </c>
      <c r="N821" s="387"/>
      <c r="O821" s="387"/>
      <c r="P821" s="381" t="str">
        <f t="shared" si="49"/>
        <v/>
      </c>
      <c r="Q821" s="382" t="str">
        <f t="array" ref="Q821">IFERROR(INDEX($D$13:$D$1000,MATCH(0,COUNTIF($Q$13:Q820,$D$13:$D$1000&amp;"")+IF($D$13:$D$1000="",1,0),0)),"")</f>
        <v/>
      </c>
      <c r="R821" s="356" t="str">
        <f t="shared" si="50"/>
        <v/>
      </c>
      <c r="S821" s="383" t="str">
        <f t="shared" si="52"/>
        <v/>
      </c>
      <c r="T821" s="384" t="str">
        <f t="shared" si="51"/>
        <v/>
      </c>
      <c r="V821" s="385"/>
      <c r="W821" s="385"/>
      <c r="X821" s="386"/>
    </row>
    <row r="822" spans="2:24">
      <c r="B822" s="395"/>
      <c r="C822" s="371"/>
      <c r="D822" s="372" t="str">
        <f>IFERROR(INDEX('[11]Equipment List'!$B$2:$B$2038,MATCH(E822,'[11]Equipment List'!$A$2:$A$2038,0)),"")</f>
        <v/>
      </c>
      <c r="E822" s="388"/>
      <c r="F822" s="374"/>
      <c r="G822" s="375"/>
      <c r="H822" s="397"/>
      <c r="I822" s="377"/>
      <c r="J822" s="378"/>
      <c r="K822" s="379"/>
      <c r="L822" s="387"/>
      <c r="M822" s="380" t="str">
        <f t="array" ref="M822">IF(L822="","",(MAX(IF(AN$15:AN$144=B822,AO$15:AO$144))/60))</f>
        <v/>
      </c>
      <c r="N822" s="387"/>
      <c r="O822" s="387"/>
      <c r="P822" s="381" t="str">
        <f t="shared" si="49"/>
        <v/>
      </c>
      <c r="Q822" s="382" t="str">
        <f t="array" ref="Q822">IFERROR(INDEX($D$13:$D$1000,MATCH(0,COUNTIF($Q$13:Q821,$D$13:$D$1000&amp;"")+IF($D$13:$D$1000="",1,0),0)),"")</f>
        <v/>
      </c>
      <c r="R822" s="356" t="str">
        <f t="shared" si="50"/>
        <v/>
      </c>
      <c r="S822" s="383" t="str">
        <f t="shared" si="52"/>
        <v/>
      </c>
      <c r="T822" s="384" t="str">
        <f t="shared" si="51"/>
        <v/>
      </c>
      <c r="V822" s="385"/>
      <c r="W822" s="385"/>
      <c r="X822" s="386"/>
    </row>
    <row r="823" spans="2:24">
      <c r="B823" s="395"/>
      <c r="C823" s="371"/>
      <c r="D823" s="372" t="str">
        <f>IFERROR(INDEX('[11]Equipment List'!$B$2:$B$2038,MATCH(E823,'[11]Equipment List'!$A$2:$A$2038,0)),"")</f>
        <v/>
      </c>
      <c r="E823" s="388"/>
      <c r="F823" s="374"/>
      <c r="G823" s="375"/>
      <c r="H823" s="397"/>
      <c r="I823" s="377"/>
      <c r="J823" s="378"/>
      <c r="K823" s="379"/>
      <c r="L823" s="387"/>
      <c r="M823" s="380" t="str">
        <f t="array" ref="M823">IF(L823="","",(MAX(IF(AN$15:AN$144=B823,AO$15:AO$144))/60))</f>
        <v/>
      </c>
      <c r="N823" s="387"/>
      <c r="O823" s="387"/>
      <c r="P823" s="381" t="str">
        <f t="shared" si="49"/>
        <v/>
      </c>
      <c r="Q823" s="382" t="str">
        <f t="array" ref="Q823">IFERROR(INDEX($D$13:$D$1000,MATCH(0,COUNTIF($Q$13:Q822,$D$13:$D$1000&amp;"")+IF($D$13:$D$1000="",1,0),0)),"")</f>
        <v/>
      </c>
      <c r="R823" s="356" t="str">
        <f t="shared" si="50"/>
        <v/>
      </c>
      <c r="S823" s="383" t="str">
        <f t="shared" si="52"/>
        <v/>
      </c>
      <c r="T823" s="384" t="str">
        <f t="shared" si="51"/>
        <v/>
      </c>
      <c r="V823" s="385"/>
      <c r="W823" s="385"/>
      <c r="X823" s="386"/>
    </row>
    <row r="824" spans="2:24">
      <c r="B824" s="395"/>
      <c r="C824" s="371"/>
      <c r="D824" s="372" t="str">
        <f>IFERROR(INDEX('[11]Equipment List'!$B$2:$B$2038,MATCH(E824,'[11]Equipment List'!$A$2:$A$2038,0)),"")</f>
        <v/>
      </c>
      <c r="E824" s="388"/>
      <c r="F824" s="374"/>
      <c r="G824" s="375"/>
      <c r="H824" s="397"/>
      <c r="I824" s="377"/>
      <c r="J824" s="378"/>
      <c r="K824" s="379"/>
      <c r="L824" s="387"/>
      <c r="M824" s="380" t="str">
        <f t="array" ref="M824">IF(L824="","",(MAX(IF(AN$15:AN$144=B824,AO$15:AO$144))/60))</f>
        <v/>
      </c>
      <c r="N824" s="387"/>
      <c r="O824" s="387"/>
      <c r="P824" s="381" t="str">
        <f t="shared" si="49"/>
        <v/>
      </c>
      <c r="Q824" s="382" t="str">
        <f t="array" ref="Q824">IFERROR(INDEX($D$13:$D$1000,MATCH(0,COUNTIF($Q$13:Q823,$D$13:$D$1000&amp;"")+IF($D$13:$D$1000="",1,0),0)),"")</f>
        <v/>
      </c>
      <c r="R824" s="356" t="str">
        <f t="shared" si="50"/>
        <v/>
      </c>
      <c r="S824" s="383" t="str">
        <f t="shared" si="52"/>
        <v/>
      </c>
      <c r="T824" s="384" t="str">
        <f t="shared" si="51"/>
        <v/>
      </c>
      <c r="V824" s="385"/>
      <c r="W824" s="385"/>
      <c r="X824" s="386"/>
    </row>
    <row r="825" spans="2:24">
      <c r="B825" s="395"/>
      <c r="C825" s="371"/>
      <c r="D825" s="372" t="str">
        <f>IFERROR(INDEX('[11]Equipment List'!$B$2:$B$2038,MATCH(E825,'[11]Equipment List'!$A$2:$A$2038,0)),"")</f>
        <v/>
      </c>
      <c r="E825" s="388"/>
      <c r="F825" s="374"/>
      <c r="G825" s="375"/>
      <c r="H825" s="397"/>
      <c r="I825" s="377"/>
      <c r="J825" s="378"/>
      <c r="K825" s="379"/>
      <c r="L825" s="387"/>
      <c r="M825" s="380" t="str">
        <f t="array" ref="M825">IF(L825="","",(MAX(IF(AN$15:AN$144=B825,AO$15:AO$144))/60))</f>
        <v/>
      </c>
      <c r="N825" s="387"/>
      <c r="O825" s="387"/>
      <c r="P825" s="381" t="str">
        <f t="shared" si="49"/>
        <v/>
      </c>
      <c r="Q825" s="382" t="str">
        <f t="array" ref="Q825">IFERROR(INDEX($D$13:$D$1000,MATCH(0,COUNTIF($Q$13:Q824,$D$13:$D$1000&amp;"")+IF($D$13:$D$1000="",1,0),0)),"")</f>
        <v/>
      </c>
      <c r="R825" s="356" t="str">
        <f t="shared" si="50"/>
        <v/>
      </c>
      <c r="S825" s="383" t="str">
        <f t="shared" si="52"/>
        <v/>
      </c>
      <c r="T825" s="384" t="str">
        <f t="shared" si="51"/>
        <v/>
      </c>
      <c r="V825" s="385"/>
      <c r="W825" s="385"/>
      <c r="X825" s="386"/>
    </row>
    <row r="826" spans="2:24">
      <c r="B826" s="395"/>
      <c r="C826" s="371"/>
      <c r="D826" s="372" t="str">
        <f>IFERROR(INDEX('[11]Equipment List'!$B$2:$B$2038,MATCH(E826,'[11]Equipment List'!$A$2:$A$2038,0)),"")</f>
        <v/>
      </c>
      <c r="E826" s="388"/>
      <c r="F826" s="374"/>
      <c r="G826" s="375"/>
      <c r="H826" s="397"/>
      <c r="I826" s="377"/>
      <c r="J826" s="378"/>
      <c r="K826" s="379"/>
      <c r="L826" s="387"/>
      <c r="M826" s="380" t="str">
        <f t="array" ref="M826">IF(L826="","",(MAX(IF(AN$15:AN$144=B826,AO$15:AO$144))/60))</f>
        <v/>
      </c>
      <c r="N826" s="387"/>
      <c r="O826" s="387"/>
      <c r="P826" s="381" t="str">
        <f t="shared" si="49"/>
        <v/>
      </c>
      <c r="Q826" s="382" t="str">
        <f t="array" ref="Q826">IFERROR(INDEX($D$13:$D$1000,MATCH(0,COUNTIF($Q$13:Q825,$D$13:$D$1000&amp;"")+IF($D$13:$D$1000="",1,0),0)),"")</f>
        <v/>
      </c>
      <c r="R826" s="356" t="str">
        <f t="shared" si="50"/>
        <v/>
      </c>
      <c r="S826" s="383" t="str">
        <f t="shared" si="52"/>
        <v/>
      </c>
      <c r="T826" s="384" t="str">
        <f t="shared" si="51"/>
        <v/>
      </c>
      <c r="V826" s="385"/>
      <c r="W826" s="385"/>
      <c r="X826" s="386"/>
    </row>
    <row r="827" spans="2:24">
      <c r="B827" s="395"/>
      <c r="C827" s="371"/>
      <c r="D827" s="372" t="str">
        <f>IFERROR(INDEX('[11]Equipment List'!$B$2:$B$2038,MATCH(E827,'[11]Equipment List'!$A$2:$A$2038,0)),"")</f>
        <v/>
      </c>
      <c r="E827" s="388"/>
      <c r="F827" s="374"/>
      <c r="G827" s="375"/>
      <c r="H827" s="397"/>
      <c r="I827" s="377"/>
      <c r="J827" s="378"/>
      <c r="K827" s="379"/>
      <c r="L827" s="387"/>
      <c r="M827" s="380" t="str">
        <f t="array" ref="M827">IF(L827="","",(MAX(IF(AN$15:AN$144=B827,AO$15:AO$144))/60))</f>
        <v/>
      </c>
      <c r="N827" s="387"/>
      <c r="O827" s="387"/>
      <c r="P827" s="381" t="str">
        <f t="shared" si="49"/>
        <v/>
      </c>
      <c r="Q827" s="382" t="str">
        <f t="array" ref="Q827">IFERROR(INDEX($D$13:$D$1000,MATCH(0,COUNTIF($Q$13:Q826,$D$13:$D$1000&amp;"")+IF($D$13:$D$1000="",1,0),0)),"")</f>
        <v/>
      </c>
      <c r="R827" s="356" t="str">
        <f t="shared" si="50"/>
        <v/>
      </c>
      <c r="S827" s="383" t="str">
        <f t="shared" si="52"/>
        <v/>
      </c>
      <c r="T827" s="384" t="str">
        <f t="shared" si="51"/>
        <v/>
      </c>
      <c r="V827" s="385"/>
      <c r="W827" s="385"/>
      <c r="X827" s="386"/>
    </row>
    <row r="828" spans="2:24">
      <c r="B828" s="395"/>
      <c r="C828" s="371"/>
      <c r="D828" s="372" t="str">
        <f>IFERROR(INDEX('[11]Equipment List'!$B$2:$B$2038,MATCH(E828,'[11]Equipment List'!$A$2:$A$2038,0)),"")</f>
        <v/>
      </c>
      <c r="E828" s="388"/>
      <c r="F828" s="374"/>
      <c r="G828" s="375"/>
      <c r="H828" s="397"/>
      <c r="I828" s="377"/>
      <c r="J828" s="378"/>
      <c r="K828" s="379"/>
      <c r="L828" s="387"/>
      <c r="M828" s="380" t="str">
        <f t="array" ref="M828">IF(L828="","",(MAX(IF(AN$15:AN$144=B828,AO$15:AO$144))/60))</f>
        <v/>
      </c>
      <c r="N828" s="387"/>
      <c r="O828" s="387"/>
      <c r="P828" s="381" t="str">
        <f t="shared" si="49"/>
        <v/>
      </c>
      <c r="Q828" s="382" t="str">
        <f t="array" ref="Q828">IFERROR(INDEX($D$13:$D$1000,MATCH(0,COUNTIF($Q$13:Q827,$D$13:$D$1000&amp;"")+IF($D$13:$D$1000="",1,0),0)),"")</f>
        <v/>
      </c>
      <c r="R828" s="356" t="str">
        <f t="shared" si="50"/>
        <v/>
      </c>
      <c r="S828" s="383" t="str">
        <f t="shared" si="52"/>
        <v/>
      </c>
      <c r="T828" s="384" t="str">
        <f t="shared" si="51"/>
        <v/>
      </c>
      <c r="V828" s="385"/>
      <c r="W828" s="385"/>
      <c r="X828" s="386"/>
    </row>
    <row r="829" spans="2:24">
      <c r="B829" s="395"/>
      <c r="C829" s="371"/>
      <c r="D829" s="372" t="str">
        <f>IFERROR(INDEX('[11]Equipment List'!$B$2:$B$2038,MATCH(E829,'[11]Equipment List'!$A$2:$A$2038,0)),"")</f>
        <v/>
      </c>
      <c r="E829" s="388"/>
      <c r="F829" s="374"/>
      <c r="G829" s="375"/>
      <c r="H829" s="397"/>
      <c r="I829" s="377"/>
      <c r="J829" s="378"/>
      <c r="K829" s="379"/>
      <c r="L829" s="387"/>
      <c r="M829" s="380" t="str">
        <f t="array" ref="M829">IF(L829="","",(MAX(IF(AN$15:AN$144=B829,AO$15:AO$144))/60))</f>
        <v/>
      </c>
      <c r="N829" s="387"/>
      <c r="O829" s="387"/>
      <c r="P829" s="381" t="str">
        <f t="shared" si="49"/>
        <v/>
      </c>
      <c r="Q829" s="382" t="str">
        <f t="array" ref="Q829">IFERROR(INDEX($D$13:$D$1000,MATCH(0,COUNTIF($Q$13:Q828,$D$13:$D$1000&amp;"")+IF($D$13:$D$1000="",1,0),0)),"")</f>
        <v/>
      </c>
      <c r="R829" s="356" t="str">
        <f t="shared" si="50"/>
        <v/>
      </c>
      <c r="S829" s="383" t="str">
        <f t="shared" si="52"/>
        <v/>
      </c>
      <c r="T829" s="384" t="str">
        <f t="shared" si="51"/>
        <v/>
      </c>
      <c r="V829" s="385"/>
      <c r="W829" s="385"/>
      <c r="X829" s="386"/>
    </row>
    <row r="830" spans="2:24">
      <c r="B830" s="395"/>
      <c r="C830" s="371"/>
      <c r="D830" s="372" t="str">
        <f>IFERROR(INDEX('[11]Equipment List'!$B$2:$B$2038,MATCH(E830,'[11]Equipment List'!$A$2:$A$2038,0)),"")</f>
        <v/>
      </c>
      <c r="E830" s="388"/>
      <c r="F830" s="374"/>
      <c r="G830" s="375"/>
      <c r="H830" s="397"/>
      <c r="I830" s="377"/>
      <c r="J830" s="378"/>
      <c r="K830" s="379"/>
      <c r="L830" s="387"/>
      <c r="M830" s="380" t="str">
        <f t="array" ref="M830">IF(L830="","",(MAX(IF(AN$15:AN$144=B830,AO$15:AO$144))/60))</f>
        <v/>
      </c>
      <c r="N830" s="387"/>
      <c r="O830" s="387"/>
      <c r="P830" s="381" t="str">
        <f t="shared" si="49"/>
        <v/>
      </c>
      <c r="Q830" s="382" t="str">
        <f t="array" ref="Q830">IFERROR(INDEX($D$13:$D$1000,MATCH(0,COUNTIF($Q$13:Q829,$D$13:$D$1000&amp;"")+IF($D$13:$D$1000="",1,0),0)),"")</f>
        <v/>
      </c>
      <c r="R830" s="356" t="str">
        <f t="shared" si="50"/>
        <v/>
      </c>
      <c r="S830" s="383" t="str">
        <f t="shared" si="52"/>
        <v/>
      </c>
      <c r="T830" s="384" t="str">
        <f t="shared" si="51"/>
        <v/>
      </c>
      <c r="V830" s="385"/>
      <c r="W830" s="385"/>
      <c r="X830" s="386"/>
    </row>
    <row r="831" spans="2:24">
      <c r="B831" s="395"/>
      <c r="C831" s="371"/>
      <c r="D831" s="372" t="str">
        <f>IFERROR(INDEX('[11]Equipment List'!$B$2:$B$2038,MATCH(E831,'[11]Equipment List'!$A$2:$A$2038,0)),"")</f>
        <v/>
      </c>
      <c r="E831" s="388"/>
      <c r="F831" s="374"/>
      <c r="G831" s="375"/>
      <c r="H831" s="397"/>
      <c r="I831" s="377"/>
      <c r="J831" s="378"/>
      <c r="K831" s="379"/>
      <c r="L831" s="387"/>
      <c r="M831" s="380" t="str">
        <f t="array" ref="M831">IF(L831="","",(MAX(IF(AN$15:AN$144=B831,AO$15:AO$144))/60))</f>
        <v/>
      </c>
      <c r="N831" s="387"/>
      <c r="O831" s="387"/>
      <c r="P831" s="381" t="str">
        <f t="shared" si="49"/>
        <v/>
      </c>
      <c r="Q831" s="382" t="str">
        <f t="array" ref="Q831">IFERROR(INDEX($D$13:$D$1000,MATCH(0,COUNTIF($Q$13:Q830,$D$13:$D$1000&amp;"")+IF($D$13:$D$1000="",1,0),0)),"")</f>
        <v/>
      </c>
      <c r="R831" s="356" t="str">
        <f t="shared" si="50"/>
        <v/>
      </c>
      <c r="S831" s="383" t="str">
        <f t="shared" si="52"/>
        <v/>
      </c>
      <c r="T831" s="384" t="str">
        <f t="shared" si="51"/>
        <v/>
      </c>
      <c r="V831" s="385"/>
      <c r="W831" s="385"/>
      <c r="X831" s="386"/>
    </row>
    <row r="832" spans="2:24">
      <c r="B832" s="395"/>
      <c r="C832" s="371"/>
      <c r="D832" s="372" t="str">
        <f>IFERROR(INDEX('[11]Equipment List'!$B$2:$B$2038,MATCH(E832,'[11]Equipment List'!$A$2:$A$2038,0)),"")</f>
        <v/>
      </c>
      <c r="E832" s="388"/>
      <c r="F832" s="374"/>
      <c r="G832" s="375"/>
      <c r="H832" s="397"/>
      <c r="I832" s="377"/>
      <c r="J832" s="378"/>
      <c r="K832" s="379"/>
      <c r="L832" s="387"/>
      <c r="M832" s="380" t="str">
        <f t="array" ref="M832">IF(L832="","",(MAX(IF(AN$15:AN$144=B832,AO$15:AO$144))/60))</f>
        <v/>
      </c>
      <c r="N832" s="387"/>
      <c r="O832" s="387"/>
      <c r="P832" s="381" t="str">
        <f t="shared" si="49"/>
        <v/>
      </c>
      <c r="Q832" s="382" t="str">
        <f t="array" ref="Q832">IFERROR(INDEX($D$13:$D$1000,MATCH(0,COUNTIF($Q$13:Q831,$D$13:$D$1000&amp;"")+IF($D$13:$D$1000="",1,0),0)),"")</f>
        <v/>
      </c>
      <c r="R832" s="356" t="str">
        <f t="shared" si="50"/>
        <v/>
      </c>
      <c r="S832" s="383" t="str">
        <f t="shared" si="52"/>
        <v/>
      </c>
      <c r="T832" s="384" t="str">
        <f t="shared" si="51"/>
        <v/>
      </c>
      <c r="V832" s="385"/>
      <c r="W832" s="385"/>
      <c r="X832" s="386"/>
    </row>
    <row r="833" spans="2:24">
      <c r="B833" s="395"/>
      <c r="C833" s="371"/>
      <c r="D833" s="372" t="str">
        <f>IFERROR(INDEX('[11]Equipment List'!$B$2:$B$2038,MATCH(E833,'[11]Equipment List'!$A$2:$A$2038,0)),"")</f>
        <v/>
      </c>
      <c r="E833" s="388"/>
      <c r="F833" s="374"/>
      <c r="G833" s="375"/>
      <c r="H833" s="397"/>
      <c r="I833" s="377"/>
      <c r="J833" s="378"/>
      <c r="K833" s="379"/>
      <c r="L833" s="387"/>
      <c r="M833" s="380" t="str">
        <f t="array" ref="M833">IF(L833="","",(MAX(IF(AN$15:AN$144=B833,AO$15:AO$144))/60))</f>
        <v/>
      </c>
      <c r="N833" s="387"/>
      <c r="O833" s="387"/>
      <c r="P833" s="381" t="str">
        <f t="shared" si="49"/>
        <v/>
      </c>
      <c r="Q833" s="382" t="str">
        <f t="array" ref="Q833">IFERROR(INDEX($D$13:$D$1000,MATCH(0,COUNTIF($Q$13:Q832,$D$13:$D$1000&amp;"")+IF($D$13:$D$1000="",1,0),0)),"")</f>
        <v/>
      </c>
      <c r="R833" s="356" t="str">
        <f t="shared" si="50"/>
        <v/>
      </c>
      <c r="S833" s="383" t="str">
        <f t="shared" si="52"/>
        <v/>
      </c>
      <c r="T833" s="384" t="str">
        <f t="shared" si="51"/>
        <v/>
      </c>
      <c r="V833" s="385"/>
      <c r="W833" s="385"/>
      <c r="X833" s="386"/>
    </row>
    <row r="834" spans="2:24">
      <c r="B834" s="395"/>
      <c r="C834" s="371"/>
      <c r="D834" s="372" t="str">
        <f>IFERROR(INDEX('[11]Equipment List'!$B$2:$B$2038,MATCH(E834,'[11]Equipment List'!$A$2:$A$2038,0)),"")</f>
        <v/>
      </c>
      <c r="E834" s="388"/>
      <c r="F834" s="374"/>
      <c r="G834" s="375"/>
      <c r="H834" s="397"/>
      <c r="I834" s="377"/>
      <c r="J834" s="378"/>
      <c r="K834" s="379"/>
      <c r="L834" s="387"/>
      <c r="M834" s="380" t="str">
        <f t="array" ref="M834">IF(L834="","",(MAX(IF(AN$15:AN$144=B834,AO$15:AO$144))/60))</f>
        <v/>
      </c>
      <c r="N834" s="387"/>
      <c r="O834" s="387"/>
      <c r="P834" s="381" t="str">
        <f t="shared" si="49"/>
        <v/>
      </c>
      <c r="Q834" s="382" t="str">
        <f t="array" ref="Q834">IFERROR(INDEX($D$13:$D$1000,MATCH(0,COUNTIF($Q$13:Q833,$D$13:$D$1000&amp;"")+IF($D$13:$D$1000="",1,0),0)),"")</f>
        <v/>
      </c>
      <c r="R834" s="356" t="str">
        <f t="shared" si="50"/>
        <v/>
      </c>
      <c r="S834" s="383" t="str">
        <f t="shared" si="52"/>
        <v/>
      </c>
      <c r="T834" s="384" t="str">
        <f t="shared" si="51"/>
        <v/>
      </c>
      <c r="V834" s="385"/>
      <c r="W834" s="385"/>
      <c r="X834" s="386"/>
    </row>
    <row r="835" spans="2:24">
      <c r="B835" s="395"/>
      <c r="C835" s="371"/>
      <c r="D835" s="372" t="str">
        <f>IFERROR(INDEX('[11]Equipment List'!$B$2:$B$2038,MATCH(E835,'[11]Equipment List'!$A$2:$A$2038,0)),"")</f>
        <v/>
      </c>
      <c r="E835" s="388"/>
      <c r="F835" s="374"/>
      <c r="G835" s="375"/>
      <c r="H835" s="397"/>
      <c r="I835" s="377"/>
      <c r="J835" s="378"/>
      <c r="K835" s="379"/>
      <c r="L835" s="387"/>
      <c r="M835" s="380" t="str">
        <f t="array" ref="M835">IF(L835="","",(MAX(IF(AN$15:AN$144=B835,AO$15:AO$144))/60))</f>
        <v/>
      </c>
      <c r="N835" s="387"/>
      <c r="O835" s="387"/>
      <c r="P835" s="381" t="str">
        <f t="shared" si="49"/>
        <v/>
      </c>
      <c r="Q835" s="382" t="str">
        <f t="array" ref="Q835">IFERROR(INDEX($D$13:$D$1000,MATCH(0,COUNTIF($Q$13:Q834,$D$13:$D$1000&amp;"")+IF($D$13:$D$1000="",1,0),0)),"")</f>
        <v/>
      </c>
      <c r="R835" s="356" t="str">
        <f t="shared" si="50"/>
        <v/>
      </c>
      <c r="S835" s="383" t="str">
        <f t="shared" si="52"/>
        <v/>
      </c>
      <c r="T835" s="384" t="str">
        <f t="shared" si="51"/>
        <v/>
      </c>
      <c r="V835" s="385"/>
      <c r="W835" s="385"/>
      <c r="X835" s="386"/>
    </row>
    <row r="836" spans="2:24">
      <c r="B836" s="395"/>
      <c r="C836" s="371"/>
      <c r="D836" s="372" t="str">
        <f>IFERROR(INDEX('[11]Equipment List'!$B$2:$B$2038,MATCH(E836,'[11]Equipment List'!$A$2:$A$2038,0)),"")</f>
        <v/>
      </c>
      <c r="E836" s="388"/>
      <c r="F836" s="374"/>
      <c r="G836" s="375"/>
      <c r="H836" s="397"/>
      <c r="I836" s="377"/>
      <c r="J836" s="378"/>
      <c r="K836" s="379"/>
      <c r="L836" s="387"/>
      <c r="M836" s="380" t="str">
        <f t="array" ref="M836">IF(L836="","",(MAX(IF(AN$15:AN$144=B836,AO$15:AO$144))/60))</f>
        <v/>
      </c>
      <c r="N836" s="387"/>
      <c r="O836" s="387"/>
      <c r="P836" s="381" t="str">
        <f t="shared" si="49"/>
        <v/>
      </c>
      <c r="Q836" s="382" t="str">
        <f t="array" ref="Q836">IFERROR(INDEX($D$13:$D$1000,MATCH(0,COUNTIF($Q$13:Q835,$D$13:$D$1000&amp;"")+IF($D$13:$D$1000="",1,0),0)),"")</f>
        <v/>
      </c>
      <c r="R836" s="356" t="str">
        <f t="shared" si="50"/>
        <v/>
      </c>
      <c r="S836" s="383" t="str">
        <f t="shared" si="52"/>
        <v/>
      </c>
      <c r="T836" s="384" t="str">
        <f t="shared" si="51"/>
        <v/>
      </c>
      <c r="V836" s="385"/>
      <c r="W836" s="385"/>
      <c r="X836" s="386"/>
    </row>
    <row r="837" spans="2:24">
      <c r="B837" s="395"/>
      <c r="C837" s="371"/>
      <c r="D837" s="372" t="str">
        <f>IFERROR(INDEX('[11]Equipment List'!$B$2:$B$2038,MATCH(E837,'[11]Equipment List'!$A$2:$A$2038,0)),"")</f>
        <v/>
      </c>
      <c r="E837" s="388"/>
      <c r="F837" s="374"/>
      <c r="G837" s="375"/>
      <c r="H837" s="397"/>
      <c r="I837" s="377"/>
      <c r="J837" s="378"/>
      <c r="K837" s="379"/>
      <c r="L837" s="387"/>
      <c r="M837" s="380" t="str">
        <f t="array" ref="M837">IF(L837="","",(MAX(IF(AN$15:AN$144=B837,AO$15:AO$144))/60))</f>
        <v/>
      </c>
      <c r="N837" s="387"/>
      <c r="O837" s="387"/>
      <c r="P837" s="381" t="str">
        <f t="shared" si="49"/>
        <v/>
      </c>
      <c r="Q837" s="382" t="str">
        <f t="array" ref="Q837">IFERROR(INDEX($D$13:$D$1000,MATCH(0,COUNTIF($Q$13:Q836,$D$13:$D$1000&amp;"")+IF($D$13:$D$1000="",1,0),0)),"")</f>
        <v/>
      </c>
      <c r="R837" s="356" t="str">
        <f t="shared" si="50"/>
        <v/>
      </c>
      <c r="S837" s="383" t="str">
        <f t="shared" si="52"/>
        <v/>
      </c>
      <c r="T837" s="384" t="str">
        <f t="shared" si="51"/>
        <v/>
      </c>
      <c r="V837" s="385"/>
      <c r="W837" s="385"/>
      <c r="X837" s="386"/>
    </row>
    <row r="838" spans="2:24">
      <c r="B838" s="395"/>
      <c r="C838" s="371"/>
      <c r="D838" s="372" t="str">
        <f>IFERROR(INDEX('[11]Equipment List'!$B$2:$B$2038,MATCH(E838,'[11]Equipment List'!$A$2:$A$2038,0)),"")</f>
        <v/>
      </c>
      <c r="E838" s="388"/>
      <c r="F838" s="374"/>
      <c r="G838" s="375"/>
      <c r="H838" s="397"/>
      <c r="I838" s="377"/>
      <c r="J838" s="378"/>
      <c r="K838" s="379"/>
      <c r="L838" s="387"/>
      <c r="M838" s="380" t="str">
        <f t="array" ref="M838">IF(L838="","",(MAX(IF(AN$15:AN$144=B838,AO$15:AO$144))/60))</f>
        <v/>
      </c>
      <c r="N838" s="387"/>
      <c r="O838" s="387"/>
      <c r="P838" s="381" t="str">
        <f t="shared" si="49"/>
        <v/>
      </c>
      <c r="Q838" s="382" t="str">
        <f t="array" ref="Q838">IFERROR(INDEX($D$13:$D$1000,MATCH(0,COUNTIF($Q$13:Q837,$D$13:$D$1000&amp;"")+IF($D$13:$D$1000="",1,0),0)),"")</f>
        <v/>
      </c>
      <c r="R838" s="356" t="str">
        <f t="shared" si="50"/>
        <v/>
      </c>
      <c r="S838" s="383" t="str">
        <f t="shared" si="52"/>
        <v/>
      </c>
      <c r="T838" s="384" t="str">
        <f t="shared" si="51"/>
        <v/>
      </c>
      <c r="V838" s="385"/>
      <c r="W838" s="385"/>
      <c r="X838" s="386"/>
    </row>
    <row r="839" spans="2:24">
      <c r="B839" s="395"/>
      <c r="C839" s="371"/>
      <c r="D839" s="372" t="str">
        <f>IFERROR(INDEX('[11]Equipment List'!$B$2:$B$2038,MATCH(E839,'[11]Equipment List'!$A$2:$A$2038,0)),"")</f>
        <v/>
      </c>
      <c r="E839" s="388"/>
      <c r="F839" s="374"/>
      <c r="G839" s="375"/>
      <c r="H839" s="397"/>
      <c r="I839" s="377"/>
      <c r="J839" s="378"/>
      <c r="K839" s="379"/>
      <c r="L839" s="387"/>
      <c r="M839" s="380" t="str">
        <f t="array" ref="M839">IF(L839="","",(MAX(IF(AN$15:AN$144=B839,AO$15:AO$144))/60))</f>
        <v/>
      </c>
      <c r="N839" s="387"/>
      <c r="O839" s="387"/>
      <c r="P839" s="381" t="str">
        <f t="shared" si="49"/>
        <v/>
      </c>
      <c r="Q839" s="382" t="str">
        <f t="array" ref="Q839">IFERROR(INDEX($D$13:$D$1000,MATCH(0,COUNTIF($Q$13:Q838,$D$13:$D$1000&amp;"")+IF($D$13:$D$1000="",1,0),0)),"")</f>
        <v/>
      </c>
      <c r="R839" s="356" t="str">
        <f t="shared" si="50"/>
        <v/>
      </c>
      <c r="S839" s="383" t="str">
        <f t="shared" si="52"/>
        <v/>
      </c>
      <c r="T839" s="384" t="str">
        <f t="shared" si="51"/>
        <v/>
      </c>
      <c r="V839" s="385"/>
      <c r="W839" s="385"/>
      <c r="X839" s="386"/>
    </row>
    <row r="840" spans="2:24">
      <c r="B840" s="395"/>
      <c r="C840" s="371"/>
      <c r="D840" s="372" t="str">
        <f>IFERROR(INDEX('[11]Equipment List'!$B$2:$B$2038,MATCH(E840,'[11]Equipment List'!$A$2:$A$2038,0)),"")</f>
        <v/>
      </c>
      <c r="E840" s="388"/>
      <c r="F840" s="374"/>
      <c r="G840" s="375"/>
      <c r="H840" s="397"/>
      <c r="I840" s="377"/>
      <c r="J840" s="378"/>
      <c r="K840" s="379"/>
      <c r="L840" s="387"/>
      <c r="M840" s="380" t="str">
        <f t="array" ref="M840">IF(L840="","",(MAX(IF(AN$15:AN$144=B840,AO$15:AO$144))/60))</f>
        <v/>
      </c>
      <c r="N840" s="387"/>
      <c r="O840" s="387"/>
      <c r="P840" s="381" t="str">
        <f t="shared" si="49"/>
        <v/>
      </c>
      <c r="Q840" s="382" t="str">
        <f t="array" ref="Q840">IFERROR(INDEX($D$13:$D$1000,MATCH(0,COUNTIF($Q$13:Q839,$D$13:$D$1000&amp;"")+IF($D$13:$D$1000="",1,0),0)),"")</f>
        <v/>
      </c>
      <c r="R840" s="356" t="str">
        <f t="shared" si="50"/>
        <v/>
      </c>
      <c r="S840" s="383" t="str">
        <f t="shared" si="52"/>
        <v/>
      </c>
      <c r="T840" s="384" t="str">
        <f t="shared" si="51"/>
        <v/>
      </c>
      <c r="V840" s="385"/>
      <c r="W840" s="385"/>
      <c r="X840" s="386"/>
    </row>
    <row r="841" spans="2:24">
      <c r="B841" s="395"/>
      <c r="C841" s="371"/>
      <c r="D841" s="372" t="str">
        <f>IFERROR(INDEX('[11]Equipment List'!$B$2:$B$2038,MATCH(E841,'[11]Equipment List'!$A$2:$A$2038,0)),"")</f>
        <v/>
      </c>
      <c r="E841" s="388"/>
      <c r="F841" s="374"/>
      <c r="G841" s="375"/>
      <c r="H841" s="397"/>
      <c r="I841" s="377"/>
      <c r="J841" s="378"/>
      <c r="K841" s="379"/>
      <c r="L841" s="387"/>
      <c r="M841" s="380" t="str">
        <f t="array" ref="M841">IF(L841="","",(MAX(IF(AN$15:AN$144=B841,AO$15:AO$144))/60))</f>
        <v/>
      </c>
      <c r="N841" s="387"/>
      <c r="O841" s="387"/>
      <c r="P841" s="381" t="str">
        <f t="shared" si="49"/>
        <v/>
      </c>
      <c r="Q841" s="382" t="str">
        <f t="array" ref="Q841">IFERROR(INDEX($D$13:$D$1000,MATCH(0,COUNTIF($Q$13:Q840,$D$13:$D$1000&amp;"")+IF($D$13:$D$1000="",1,0),0)),"")</f>
        <v/>
      </c>
      <c r="R841" s="356" t="str">
        <f t="shared" si="50"/>
        <v/>
      </c>
      <c r="S841" s="383" t="str">
        <f t="shared" si="52"/>
        <v/>
      </c>
      <c r="T841" s="384" t="str">
        <f t="shared" si="51"/>
        <v/>
      </c>
      <c r="V841" s="385"/>
      <c r="W841" s="385"/>
      <c r="X841" s="386"/>
    </row>
    <row r="842" spans="2:24">
      <c r="B842" s="395"/>
      <c r="C842" s="371"/>
      <c r="D842" s="372" t="str">
        <f>IFERROR(INDEX('[11]Equipment List'!$B$2:$B$2038,MATCH(E842,'[11]Equipment List'!$A$2:$A$2038,0)),"")</f>
        <v/>
      </c>
      <c r="E842" s="388"/>
      <c r="F842" s="374"/>
      <c r="G842" s="375"/>
      <c r="H842" s="397"/>
      <c r="I842" s="377"/>
      <c r="J842" s="378"/>
      <c r="K842" s="379"/>
      <c r="L842" s="387"/>
      <c r="M842" s="380" t="str">
        <f t="array" ref="M842">IF(L842="","",(MAX(IF(AN$15:AN$144=B842,AO$15:AO$144))/60))</f>
        <v/>
      </c>
      <c r="N842" s="387"/>
      <c r="O842" s="387"/>
      <c r="P842" s="381" t="str">
        <f t="shared" si="49"/>
        <v/>
      </c>
      <c r="Q842" s="382" t="str">
        <f t="array" ref="Q842">IFERROR(INDEX($D$13:$D$1000,MATCH(0,COUNTIF($Q$13:Q841,$D$13:$D$1000&amp;"")+IF($D$13:$D$1000="",1,0),0)),"")</f>
        <v/>
      </c>
      <c r="R842" s="356" t="str">
        <f t="shared" si="50"/>
        <v/>
      </c>
      <c r="S842" s="383" t="str">
        <f t="shared" si="52"/>
        <v/>
      </c>
      <c r="T842" s="384" t="str">
        <f t="shared" si="51"/>
        <v/>
      </c>
      <c r="V842" s="385"/>
      <c r="W842" s="385"/>
      <c r="X842" s="386"/>
    </row>
    <row r="843" spans="2:24">
      <c r="B843" s="395"/>
      <c r="C843" s="371"/>
      <c r="D843" s="372" t="str">
        <f>IFERROR(INDEX('[11]Equipment List'!$B$2:$B$2038,MATCH(E843,'[11]Equipment List'!$A$2:$A$2038,0)),"")</f>
        <v/>
      </c>
      <c r="E843" s="388"/>
      <c r="F843" s="374"/>
      <c r="G843" s="375"/>
      <c r="H843" s="397"/>
      <c r="I843" s="377"/>
      <c r="J843" s="378"/>
      <c r="K843" s="379"/>
      <c r="L843" s="387"/>
      <c r="M843" s="380" t="str">
        <f t="array" ref="M843">IF(L843="","",(MAX(IF(AN$15:AN$144=B843,AO$15:AO$144))/60))</f>
        <v/>
      </c>
      <c r="N843" s="387"/>
      <c r="O843" s="387"/>
      <c r="P843" s="381" t="str">
        <f t="shared" si="49"/>
        <v/>
      </c>
      <c r="Q843" s="382" t="str">
        <f t="array" ref="Q843">IFERROR(INDEX($D$13:$D$1000,MATCH(0,COUNTIF($Q$13:Q842,$D$13:$D$1000&amp;"")+IF($D$13:$D$1000="",1,0),0)),"")</f>
        <v/>
      </c>
      <c r="R843" s="356" t="str">
        <f t="shared" si="50"/>
        <v/>
      </c>
      <c r="S843" s="383" t="str">
        <f t="shared" si="52"/>
        <v/>
      </c>
      <c r="T843" s="384" t="str">
        <f t="shared" si="51"/>
        <v/>
      </c>
      <c r="V843" s="385"/>
      <c r="W843" s="385"/>
      <c r="X843" s="386"/>
    </row>
    <row r="844" spans="2:24">
      <c r="B844" s="395"/>
      <c r="C844" s="371"/>
      <c r="D844" s="372" t="str">
        <f>IFERROR(INDEX('[11]Equipment List'!$B$2:$B$2038,MATCH(E844,'[11]Equipment List'!$A$2:$A$2038,0)),"")</f>
        <v/>
      </c>
      <c r="E844" s="388"/>
      <c r="F844" s="374"/>
      <c r="G844" s="375"/>
      <c r="H844" s="397"/>
      <c r="I844" s="377"/>
      <c r="J844" s="378"/>
      <c r="K844" s="379"/>
      <c r="L844" s="387"/>
      <c r="M844" s="380" t="str">
        <f t="array" ref="M844">IF(L844="","",(MAX(IF(AN$15:AN$144=B844,AO$15:AO$144))/60))</f>
        <v/>
      </c>
      <c r="N844" s="387"/>
      <c r="O844" s="387"/>
      <c r="P844" s="381" t="str">
        <f t="shared" ref="P844:P907" si="53">IFERROR((((K844/5/250/$F$8)+(N844*$F$9))/$S$4)*(M844/60),"")</f>
        <v/>
      </c>
      <c r="Q844" s="382" t="str">
        <f t="array" ref="Q844">IFERROR(INDEX($D$13:$D$1000,MATCH(0,COUNTIF($Q$13:Q843,$D$13:$D$1000&amp;"")+IF($D$13:$D$1000="",1,0),0)),"")</f>
        <v/>
      </c>
      <c r="R844" s="356" t="str">
        <f t="shared" si="50"/>
        <v/>
      </c>
      <c r="S844" s="383" t="str">
        <f t="shared" si="52"/>
        <v/>
      </c>
      <c r="T844" s="384" t="str">
        <f t="shared" si="51"/>
        <v/>
      </c>
      <c r="V844" s="385"/>
      <c r="W844" s="385"/>
      <c r="X844" s="386"/>
    </row>
    <row r="845" spans="2:24">
      <c r="B845" s="395"/>
      <c r="C845" s="371"/>
      <c r="D845" s="372" t="str">
        <f>IFERROR(INDEX('[11]Equipment List'!$B$2:$B$2038,MATCH(E845,'[11]Equipment List'!$A$2:$A$2038,0)),"")</f>
        <v/>
      </c>
      <c r="E845" s="388"/>
      <c r="F845" s="374"/>
      <c r="G845" s="375"/>
      <c r="H845" s="397"/>
      <c r="I845" s="377"/>
      <c r="J845" s="378"/>
      <c r="K845" s="379"/>
      <c r="L845" s="387"/>
      <c r="M845" s="380" t="str">
        <f t="array" ref="M845">IF(L845="","",(MAX(IF(AN$15:AN$144=B845,AO$15:AO$144))/60))</f>
        <v/>
      </c>
      <c r="N845" s="387"/>
      <c r="O845" s="387"/>
      <c r="P845" s="381" t="str">
        <f t="shared" si="53"/>
        <v/>
      </c>
      <c r="Q845" s="382" t="str">
        <f t="array" ref="Q845">IFERROR(INDEX($D$13:$D$1000,MATCH(0,COUNTIF($Q$13:Q844,$D$13:$D$1000&amp;"")+IF($D$13:$D$1000="",1,0),0)),"")</f>
        <v/>
      </c>
      <c r="R845" s="356" t="str">
        <f t="shared" ref="R845:R908" si="54">IF(Q845="","",COUNTIF($D$13:$D$1000,$Q845))</f>
        <v/>
      </c>
      <c r="S845" s="383" t="str">
        <f t="shared" si="52"/>
        <v/>
      </c>
      <c r="T845" s="384" t="str">
        <f t="shared" ref="T845:T908" si="55">IF($Q845="","",SUMIF($D$13:$D$1000,$Q845,N$13:N$1000))</f>
        <v/>
      </c>
      <c r="V845" s="385"/>
      <c r="W845" s="385"/>
      <c r="X845" s="386"/>
    </row>
    <row r="846" spans="2:24">
      <c r="B846" s="395"/>
      <c r="C846" s="371"/>
      <c r="D846" s="372" t="str">
        <f>IFERROR(INDEX('[11]Equipment List'!$B$2:$B$2038,MATCH(E846,'[11]Equipment List'!$A$2:$A$2038,0)),"")</f>
        <v/>
      </c>
      <c r="E846" s="388"/>
      <c r="F846" s="374"/>
      <c r="G846" s="375"/>
      <c r="H846" s="397"/>
      <c r="I846" s="377"/>
      <c r="J846" s="378"/>
      <c r="K846" s="379"/>
      <c r="L846" s="387"/>
      <c r="M846" s="380" t="str">
        <f t="array" ref="M846">IF(L846="","",(MAX(IF(AN$15:AN$144=B846,AO$15:AO$144))/60))</f>
        <v/>
      </c>
      <c r="N846" s="387"/>
      <c r="O846" s="387"/>
      <c r="P846" s="381" t="str">
        <f t="shared" si="53"/>
        <v/>
      </c>
      <c r="Q846" s="382" t="str">
        <f t="array" ref="Q846">IFERROR(INDEX($D$13:$D$1000,MATCH(0,COUNTIF($Q$13:Q845,$D$13:$D$1000&amp;"")+IF($D$13:$D$1000="",1,0),0)),"")</f>
        <v/>
      </c>
      <c r="R846" s="356" t="str">
        <f t="shared" si="54"/>
        <v/>
      </c>
      <c r="S846" s="383" t="str">
        <f t="shared" si="52"/>
        <v/>
      </c>
      <c r="T846" s="384" t="str">
        <f t="shared" si="55"/>
        <v/>
      </c>
      <c r="V846" s="385"/>
      <c r="W846" s="385"/>
      <c r="X846" s="386"/>
    </row>
    <row r="847" spans="2:24">
      <c r="B847" s="395"/>
      <c r="C847" s="371"/>
      <c r="D847" s="372" t="str">
        <f>IFERROR(INDEX('[11]Equipment List'!$B$2:$B$2038,MATCH(E847,'[11]Equipment List'!$A$2:$A$2038,0)),"")</f>
        <v/>
      </c>
      <c r="E847" s="388"/>
      <c r="F847" s="374"/>
      <c r="G847" s="375"/>
      <c r="H847" s="397"/>
      <c r="I847" s="377"/>
      <c r="J847" s="378"/>
      <c r="K847" s="379"/>
      <c r="L847" s="387"/>
      <c r="M847" s="380" t="str">
        <f t="array" ref="M847">IF(L847="","",(MAX(IF(AN$15:AN$144=B847,AO$15:AO$144))/60))</f>
        <v/>
      </c>
      <c r="N847" s="387"/>
      <c r="O847" s="387"/>
      <c r="P847" s="381" t="str">
        <f t="shared" si="53"/>
        <v/>
      </c>
      <c r="Q847" s="382" t="str">
        <f t="array" ref="Q847">IFERROR(INDEX($D$13:$D$1000,MATCH(0,COUNTIF($Q$13:Q846,$D$13:$D$1000&amp;"")+IF($D$13:$D$1000="",1,0),0)),"")</f>
        <v/>
      </c>
      <c r="R847" s="356" t="str">
        <f t="shared" si="54"/>
        <v/>
      </c>
      <c r="S847" s="383" t="str">
        <f t="shared" si="52"/>
        <v/>
      </c>
      <c r="T847" s="384" t="str">
        <f t="shared" si="55"/>
        <v/>
      </c>
      <c r="V847" s="385"/>
      <c r="W847" s="385"/>
      <c r="X847" s="386"/>
    </row>
    <row r="848" spans="2:24">
      <c r="B848" s="395"/>
      <c r="C848" s="371"/>
      <c r="D848" s="372" t="str">
        <f>IFERROR(INDEX('[11]Equipment List'!$B$2:$B$2038,MATCH(E848,'[11]Equipment List'!$A$2:$A$2038,0)),"")</f>
        <v/>
      </c>
      <c r="E848" s="388"/>
      <c r="F848" s="374"/>
      <c r="G848" s="375"/>
      <c r="H848" s="397"/>
      <c r="I848" s="377"/>
      <c r="J848" s="378"/>
      <c r="K848" s="379"/>
      <c r="L848" s="387"/>
      <c r="M848" s="380" t="str">
        <f t="array" ref="M848">IF(L848="","",(MAX(IF(AN$15:AN$144=B848,AO$15:AO$144))/60))</f>
        <v/>
      </c>
      <c r="N848" s="387"/>
      <c r="O848" s="387"/>
      <c r="P848" s="381" t="str">
        <f t="shared" si="53"/>
        <v/>
      </c>
      <c r="Q848" s="382" t="str">
        <f t="array" ref="Q848">IFERROR(INDEX($D$13:$D$1000,MATCH(0,COUNTIF($Q$13:Q847,$D$13:$D$1000&amp;"")+IF($D$13:$D$1000="",1,0),0)),"")</f>
        <v/>
      </c>
      <c r="R848" s="356" t="str">
        <f t="shared" si="54"/>
        <v/>
      </c>
      <c r="S848" s="383" t="str">
        <f t="shared" si="52"/>
        <v/>
      </c>
      <c r="T848" s="384" t="str">
        <f t="shared" si="55"/>
        <v/>
      </c>
      <c r="V848" s="385"/>
      <c r="W848" s="385"/>
      <c r="X848" s="386"/>
    </row>
    <row r="849" spans="2:24">
      <c r="B849" s="395"/>
      <c r="C849" s="371"/>
      <c r="D849" s="372" t="str">
        <f>IFERROR(INDEX('[11]Equipment List'!$B$2:$B$2038,MATCH(E849,'[11]Equipment List'!$A$2:$A$2038,0)),"")</f>
        <v/>
      </c>
      <c r="E849" s="388"/>
      <c r="F849" s="374"/>
      <c r="G849" s="375"/>
      <c r="H849" s="397"/>
      <c r="I849" s="377"/>
      <c r="J849" s="378"/>
      <c r="K849" s="379"/>
      <c r="L849" s="387"/>
      <c r="M849" s="380" t="str">
        <f t="array" ref="M849">IF(L849="","",(MAX(IF(AN$15:AN$144=B849,AO$15:AO$144))/60))</f>
        <v/>
      </c>
      <c r="N849" s="387"/>
      <c r="O849" s="387"/>
      <c r="P849" s="381" t="str">
        <f t="shared" si="53"/>
        <v/>
      </c>
      <c r="Q849" s="382" t="str">
        <f t="array" ref="Q849">IFERROR(INDEX($D$13:$D$1000,MATCH(0,COUNTIF($Q$13:Q848,$D$13:$D$1000&amp;"")+IF($D$13:$D$1000="",1,0),0)),"")</f>
        <v/>
      </c>
      <c r="R849" s="356" t="str">
        <f t="shared" si="54"/>
        <v/>
      </c>
      <c r="S849" s="383" t="str">
        <f t="shared" si="52"/>
        <v/>
      </c>
      <c r="T849" s="384" t="str">
        <f t="shared" si="55"/>
        <v/>
      </c>
      <c r="V849" s="385"/>
      <c r="W849" s="385"/>
      <c r="X849" s="386"/>
    </row>
    <row r="850" spans="2:24">
      <c r="B850" s="395"/>
      <c r="C850" s="371"/>
      <c r="D850" s="372" t="str">
        <f>IFERROR(INDEX('[11]Equipment List'!$B$2:$B$2038,MATCH(E850,'[11]Equipment List'!$A$2:$A$2038,0)),"")</f>
        <v/>
      </c>
      <c r="E850" s="388"/>
      <c r="F850" s="374"/>
      <c r="G850" s="375"/>
      <c r="H850" s="397"/>
      <c r="I850" s="377"/>
      <c r="J850" s="378"/>
      <c r="K850" s="379"/>
      <c r="L850" s="387"/>
      <c r="M850" s="380" t="str">
        <f t="array" ref="M850">IF(L850="","",(MAX(IF(AN$15:AN$144=B850,AO$15:AO$144))/60))</f>
        <v/>
      </c>
      <c r="N850" s="387"/>
      <c r="O850" s="387"/>
      <c r="P850" s="381" t="str">
        <f t="shared" si="53"/>
        <v/>
      </c>
      <c r="Q850" s="382" t="str">
        <f t="array" ref="Q850">IFERROR(INDEX($D$13:$D$1000,MATCH(0,COUNTIF($Q$13:Q849,$D$13:$D$1000&amp;"")+IF($D$13:$D$1000="",1,0),0)),"")</f>
        <v/>
      </c>
      <c r="R850" s="356" t="str">
        <f t="shared" si="54"/>
        <v/>
      </c>
      <c r="S850" s="383" t="str">
        <f t="shared" si="52"/>
        <v/>
      </c>
      <c r="T850" s="384" t="str">
        <f t="shared" si="55"/>
        <v/>
      </c>
      <c r="V850" s="385"/>
      <c r="W850" s="385"/>
      <c r="X850" s="386"/>
    </row>
    <row r="851" spans="2:24">
      <c r="B851" s="395"/>
      <c r="C851" s="371"/>
      <c r="D851" s="372" t="str">
        <f>IFERROR(INDEX('[11]Equipment List'!$B$2:$B$2038,MATCH(E851,'[11]Equipment List'!$A$2:$A$2038,0)),"")</f>
        <v/>
      </c>
      <c r="E851" s="388"/>
      <c r="F851" s="374"/>
      <c r="G851" s="375"/>
      <c r="H851" s="397"/>
      <c r="I851" s="377"/>
      <c r="J851" s="378"/>
      <c r="K851" s="379"/>
      <c r="L851" s="387"/>
      <c r="M851" s="380" t="str">
        <f t="array" ref="M851">IF(L851="","",(MAX(IF(AN$15:AN$144=B851,AO$15:AO$144))/60))</f>
        <v/>
      </c>
      <c r="N851" s="387"/>
      <c r="O851" s="387"/>
      <c r="P851" s="381" t="str">
        <f t="shared" si="53"/>
        <v/>
      </c>
      <c r="Q851" s="382" t="str">
        <f t="array" ref="Q851">IFERROR(INDEX($D$13:$D$1000,MATCH(0,COUNTIF($Q$13:Q850,$D$13:$D$1000&amp;"")+IF($D$13:$D$1000="",1,0),0)),"")</f>
        <v/>
      </c>
      <c r="R851" s="356" t="str">
        <f t="shared" si="54"/>
        <v/>
      </c>
      <c r="S851" s="383" t="str">
        <f t="shared" si="52"/>
        <v/>
      </c>
      <c r="T851" s="384" t="str">
        <f t="shared" si="55"/>
        <v/>
      </c>
      <c r="V851" s="385"/>
      <c r="W851" s="385"/>
      <c r="X851" s="386"/>
    </row>
    <row r="852" spans="2:24">
      <c r="B852" s="395"/>
      <c r="C852" s="371"/>
      <c r="D852" s="372" t="str">
        <f>IFERROR(INDEX('[11]Equipment List'!$B$2:$B$2038,MATCH(E852,'[11]Equipment List'!$A$2:$A$2038,0)),"")</f>
        <v/>
      </c>
      <c r="E852" s="388"/>
      <c r="F852" s="374"/>
      <c r="G852" s="375"/>
      <c r="H852" s="397"/>
      <c r="I852" s="377"/>
      <c r="J852" s="378"/>
      <c r="K852" s="379"/>
      <c r="L852" s="387"/>
      <c r="M852" s="380" t="str">
        <f t="array" ref="M852">IF(L852="","",(MAX(IF(AN$15:AN$144=B852,AO$15:AO$144))/60))</f>
        <v/>
      </c>
      <c r="N852" s="387"/>
      <c r="O852" s="387"/>
      <c r="P852" s="381" t="str">
        <f t="shared" si="53"/>
        <v/>
      </c>
      <c r="Q852" s="382" t="str">
        <f t="array" ref="Q852">IFERROR(INDEX($D$13:$D$1000,MATCH(0,COUNTIF($Q$13:Q851,$D$13:$D$1000&amp;"")+IF($D$13:$D$1000="",1,0),0)),"")</f>
        <v/>
      </c>
      <c r="R852" s="356" t="str">
        <f t="shared" si="54"/>
        <v/>
      </c>
      <c r="S852" s="383" t="str">
        <f t="shared" si="52"/>
        <v/>
      </c>
      <c r="T852" s="384" t="str">
        <f t="shared" si="55"/>
        <v/>
      </c>
      <c r="V852" s="385"/>
      <c r="W852" s="385"/>
      <c r="X852" s="386"/>
    </row>
    <row r="853" spans="2:24">
      <c r="B853" s="395"/>
      <c r="C853" s="371"/>
      <c r="D853" s="372" t="str">
        <f>IFERROR(INDEX('[11]Equipment List'!$B$2:$B$2038,MATCH(E853,'[11]Equipment List'!$A$2:$A$2038,0)),"")</f>
        <v/>
      </c>
      <c r="E853" s="388"/>
      <c r="F853" s="374"/>
      <c r="G853" s="375"/>
      <c r="H853" s="397"/>
      <c r="I853" s="377"/>
      <c r="J853" s="378"/>
      <c r="K853" s="379"/>
      <c r="L853" s="387"/>
      <c r="M853" s="380" t="str">
        <f t="array" ref="M853">IF(L853="","",(MAX(IF(AN$15:AN$144=B853,AO$15:AO$144))/60))</f>
        <v/>
      </c>
      <c r="N853" s="387"/>
      <c r="O853" s="387"/>
      <c r="P853" s="381" t="str">
        <f t="shared" si="53"/>
        <v/>
      </c>
      <c r="Q853" s="382" t="str">
        <f t="array" ref="Q853">IFERROR(INDEX($D$13:$D$1000,MATCH(0,COUNTIF($Q$13:Q852,$D$13:$D$1000&amp;"")+IF($D$13:$D$1000="",1,0),0)),"")</f>
        <v/>
      </c>
      <c r="R853" s="356" t="str">
        <f t="shared" si="54"/>
        <v/>
      </c>
      <c r="S853" s="383" t="str">
        <f t="shared" si="52"/>
        <v/>
      </c>
      <c r="T853" s="384" t="str">
        <f t="shared" si="55"/>
        <v/>
      </c>
      <c r="V853" s="385"/>
      <c r="W853" s="385"/>
      <c r="X853" s="386"/>
    </row>
    <row r="854" spans="2:24">
      <c r="B854" s="395"/>
      <c r="C854" s="371"/>
      <c r="D854" s="372" t="str">
        <f>IFERROR(INDEX('[11]Equipment List'!$B$2:$B$2038,MATCH(E854,'[11]Equipment List'!$A$2:$A$2038,0)),"")</f>
        <v/>
      </c>
      <c r="E854" s="388"/>
      <c r="F854" s="374"/>
      <c r="G854" s="375"/>
      <c r="H854" s="397"/>
      <c r="I854" s="377"/>
      <c r="J854" s="378"/>
      <c r="K854" s="379"/>
      <c r="L854" s="387"/>
      <c r="M854" s="380" t="str">
        <f t="array" ref="M854">IF(L854="","",(MAX(IF(AN$15:AN$144=B854,AO$15:AO$144))/60))</f>
        <v/>
      </c>
      <c r="N854" s="387"/>
      <c r="O854" s="387"/>
      <c r="P854" s="381" t="str">
        <f t="shared" si="53"/>
        <v/>
      </c>
      <c r="Q854" s="382" t="str">
        <f t="array" ref="Q854">IFERROR(INDEX($D$13:$D$1000,MATCH(0,COUNTIF($Q$13:Q853,$D$13:$D$1000&amp;"")+IF($D$13:$D$1000="",1,0),0)),"")</f>
        <v/>
      </c>
      <c r="R854" s="356" t="str">
        <f t="shared" si="54"/>
        <v/>
      </c>
      <c r="S854" s="383" t="str">
        <f t="shared" si="52"/>
        <v/>
      </c>
      <c r="T854" s="384" t="str">
        <f t="shared" si="55"/>
        <v/>
      </c>
      <c r="V854" s="385"/>
      <c r="W854" s="385"/>
      <c r="X854" s="386"/>
    </row>
    <row r="855" spans="2:24">
      <c r="B855" s="395"/>
      <c r="C855" s="371"/>
      <c r="D855" s="372" t="str">
        <f>IFERROR(INDEX('[11]Equipment List'!$B$2:$B$2038,MATCH(E855,'[11]Equipment List'!$A$2:$A$2038,0)),"")</f>
        <v/>
      </c>
      <c r="E855" s="388"/>
      <c r="F855" s="374"/>
      <c r="G855" s="375"/>
      <c r="H855" s="397"/>
      <c r="I855" s="377"/>
      <c r="J855" s="378"/>
      <c r="K855" s="379"/>
      <c r="L855" s="387"/>
      <c r="M855" s="380" t="str">
        <f t="array" ref="M855">IF(L855="","",(MAX(IF(AN$15:AN$144=B855,AO$15:AO$144))/60))</f>
        <v/>
      </c>
      <c r="N855" s="387"/>
      <c r="O855" s="387"/>
      <c r="P855" s="381" t="str">
        <f t="shared" si="53"/>
        <v/>
      </c>
      <c r="Q855" s="382" t="str">
        <f t="array" ref="Q855">IFERROR(INDEX($D$13:$D$1000,MATCH(0,COUNTIF($Q$13:Q854,$D$13:$D$1000&amp;"")+IF($D$13:$D$1000="",1,0),0)),"")</f>
        <v/>
      </c>
      <c r="R855" s="356" t="str">
        <f t="shared" si="54"/>
        <v/>
      </c>
      <c r="S855" s="383" t="str">
        <f t="shared" si="52"/>
        <v/>
      </c>
      <c r="T855" s="384" t="str">
        <f t="shared" si="55"/>
        <v/>
      </c>
      <c r="V855" s="385"/>
      <c r="W855" s="385"/>
      <c r="X855" s="386"/>
    </row>
    <row r="856" spans="2:24">
      <c r="B856" s="395"/>
      <c r="C856" s="371"/>
      <c r="D856" s="372" t="str">
        <f>IFERROR(INDEX('[11]Equipment List'!$B$2:$B$2038,MATCH(E856,'[11]Equipment List'!$A$2:$A$2038,0)),"")</f>
        <v/>
      </c>
      <c r="E856" s="388"/>
      <c r="F856" s="374"/>
      <c r="G856" s="375"/>
      <c r="H856" s="397"/>
      <c r="I856" s="377"/>
      <c r="J856" s="378"/>
      <c r="K856" s="379"/>
      <c r="L856" s="387"/>
      <c r="M856" s="380" t="str">
        <f t="array" ref="M856">IF(L856="","",(MAX(IF(AN$15:AN$144=B856,AO$15:AO$144))/60))</f>
        <v/>
      </c>
      <c r="N856" s="387"/>
      <c r="O856" s="387"/>
      <c r="P856" s="381" t="str">
        <f t="shared" si="53"/>
        <v/>
      </c>
      <c r="Q856" s="382" t="str">
        <f t="array" ref="Q856">IFERROR(INDEX($D$13:$D$1000,MATCH(0,COUNTIF($Q$13:Q855,$D$13:$D$1000&amp;"")+IF($D$13:$D$1000="",1,0),0)),"")</f>
        <v/>
      </c>
      <c r="R856" s="356" t="str">
        <f t="shared" si="54"/>
        <v/>
      </c>
      <c r="S856" s="383" t="str">
        <f t="shared" si="52"/>
        <v/>
      </c>
      <c r="T856" s="384" t="str">
        <f t="shared" si="55"/>
        <v/>
      </c>
      <c r="V856" s="385"/>
      <c r="W856" s="385"/>
      <c r="X856" s="386"/>
    </row>
    <row r="857" spans="2:24">
      <c r="B857" s="395"/>
      <c r="C857" s="371"/>
      <c r="D857" s="372" t="str">
        <f>IFERROR(INDEX('[11]Equipment List'!$B$2:$B$2038,MATCH(E857,'[11]Equipment List'!$A$2:$A$2038,0)),"")</f>
        <v/>
      </c>
      <c r="E857" s="388"/>
      <c r="F857" s="374"/>
      <c r="G857" s="375"/>
      <c r="H857" s="397"/>
      <c r="I857" s="377"/>
      <c r="J857" s="378"/>
      <c r="K857" s="379"/>
      <c r="L857" s="387"/>
      <c r="M857" s="380" t="str">
        <f t="array" ref="M857">IF(L857="","",(MAX(IF(AN$15:AN$144=B857,AO$15:AO$144))/60))</f>
        <v/>
      </c>
      <c r="N857" s="387"/>
      <c r="O857" s="387"/>
      <c r="P857" s="381" t="str">
        <f t="shared" si="53"/>
        <v/>
      </c>
      <c r="Q857" s="382" t="str">
        <f t="array" ref="Q857">IFERROR(INDEX($D$13:$D$1000,MATCH(0,COUNTIF($Q$13:Q856,$D$13:$D$1000&amp;"")+IF($D$13:$D$1000="",1,0),0)),"")</f>
        <v/>
      </c>
      <c r="R857" s="356" t="str">
        <f t="shared" si="54"/>
        <v/>
      </c>
      <c r="S857" s="383" t="str">
        <f t="shared" si="52"/>
        <v/>
      </c>
      <c r="T857" s="384" t="str">
        <f t="shared" si="55"/>
        <v/>
      </c>
      <c r="V857" s="385"/>
      <c r="W857" s="385"/>
      <c r="X857" s="386"/>
    </row>
    <row r="858" spans="2:24">
      <c r="B858" s="395"/>
      <c r="C858" s="371"/>
      <c r="D858" s="372" t="str">
        <f>IFERROR(INDEX('[11]Equipment List'!$B$2:$B$2038,MATCH(E858,'[11]Equipment List'!$A$2:$A$2038,0)),"")</f>
        <v/>
      </c>
      <c r="E858" s="388"/>
      <c r="F858" s="374"/>
      <c r="G858" s="375"/>
      <c r="H858" s="397"/>
      <c r="I858" s="377"/>
      <c r="J858" s="378"/>
      <c r="K858" s="379"/>
      <c r="L858" s="387"/>
      <c r="M858" s="380" t="str">
        <f t="array" ref="M858">IF(L858="","",(MAX(IF(AN$15:AN$144=B858,AO$15:AO$144))/60))</f>
        <v/>
      </c>
      <c r="N858" s="387"/>
      <c r="O858" s="387"/>
      <c r="P858" s="381" t="str">
        <f t="shared" si="53"/>
        <v/>
      </c>
      <c r="Q858" s="382" t="str">
        <f t="array" ref="Q858">IFERROR(INDEX($D$13:$D$1000,MATCH(0,COUNTIF($Q$13:Q857,$D$13:$D$1000&amp;"")+IF($D$13:$D$1000="",1,0),0)),"")</f>
        <v/>
      </c>
      <c r="R858" s="356" t="str">
        <f t="shared" si="54"/>
        <v/>
      </c>
      <c r="S858" s="383" t="str">
        <f t="shared" si="52"/>
        <v/>
      </c>
      <c r="T858" s="384" t="str">
        <f t="shared" si="55"/>
        <v/>
      </c>
      <c r="V858" s="385"/>
      <c r="W858" s="385"/>
      <c r="X858" s="386"/>
    </row>
    <row r="859" spans="2:24">
      <c r="B859" s="395"/>
      <c r="C859" s="371"/>
      <c r="D859" s="372" t="str">
        <f>IFERROR(INDEX('[11]Equipment List'!$B$2:$B$2038,MATCH(E859,'[11]Equipment List'!$A$2:$A$2038,0)),"")</f>
        <v/>
      </c>
      <c r="E859" s="388"/>
      <c r="F859" s="374"/>
      <c r="G859" s="375"/>
      <c r="H859" s="397"/>
      <c r="I859" s="377"/>
      <c r="J859" s="378"/>
      <c r="K859" s="379"/>
      <c r="L859" s="387"/>
      <c r="M859" s="380" t="str">
        <f t="array" ref="M859">IF(L859="","",(MAX(IF(AN$15:AN$144=B859,AO$15:AO$144))/60))</f>
        <v/>
      </c>
      <c r="N859" s="387"/>
      <c r="O859" s="387"/>
      <c r="P859" s="381" t="str">
        <f t="shared" si="53"/>
        <v/>
      </c>
      <c r="Q859" s="382" t="str">
        <f t="array" ref="Q859">IFERROR(INDEX($D$13:$D$1000,MATCH(0,COUNTIF($Q$13:Q858,$D$13:$D$1000&amp;"")+IF($D$13:$D$1000="",1,0),0)),"")</f>
        <v/>
      </c>
      <c r="R859" s="356" t="str">
        <f t="shared" si="54"/>
        <v/>
      </c>
      <c r="S859" s="383" t="str">
        <f t="shared" si="52"/>
        <v/>
      </c>
      <c r="T859" s="384" t="str">
        <f t="shared" si="55"/>
        <v/>
      </c>
      <c r="V859" s="385"/>
      <c r="W859" s="385"/>
      <c r="X859" s="386"/>
    </row>
    <row r="860" spans="2:24">
      <c r="B860" s="395"/>
      <c r="C860" s="371"/>
      <c r="D860" s="372" t="str">
        <f>IFERROR(INDEX('[11]Equipment List'!$B$2:$B$2038,MATCH(E860,'[11]Equipment List'!$A$2:$A$2038,0)),"")</f>
        <v/>
      </c>
      <c r="E860" s="388"/>
      <c r="F860" s="374"/>
      <c r="G860" s="375"/>
      <c r="H860" s="397"/>
      <c r="I860" s="377"/>
      <c r="J860" s="378"/>
      <c r="K860" s="379"/>
      <c r="L860" s="387"/>
      <c r="M860" s="380" t="str">
        <f t="array" ref="M860">IF(L860="","",(MAX(IF(AN$15:AN$144=B860,AO$15:AO$144))/60))</f>
        <v/>
      </c>
      <c r="N860" s="387"/>
      <c r="O860" s="387"/>
      <c r="P860" s="381" t="str">
        <f t="shared" si="53"/>
        <v/>
      </c>
      <c r="Q860" s="382" t="str">
        <f t="array" ref="Q860">IFERROR(INDEX($D$13:$D$1000,MATCH(0,COUNTIF($Q$13:Q859,$D$13:$D$1000&amp;"")+IF($D$13:$D$1000="",1,0),0)),"")</f>
        <v/>
      </c>
      <c r="R860" s="356" t="str">
        <f t="shared" si="54"/>
        <v/>
      </c>
      <c r="S860" s="383" t="str">
        <f t="shared" si="52"/>
        <v/>
      </c>
      <c r="T860" s="384" t="str">
        <f t="shared" si="55"/>
        <v/>
      </c>
      <c r="V860" s="385"/>
      <c r="W860" s="385"/>
      <c r="X860" s="386"/>
    </row>
    <row r="861" spans="2:24">
      <c r="B861" s="395"/>
      <c r="C861" s="371"/>
      <c r="D861" s="372" t="str">
        <f>IFERROR(INDEX('[11]Equipment List'!$B$2:$B$2038,MATCH(E861,'[11]Equipment List'!$A$2:$A$2038,0)),"")</f>
        <v/>
      </c>
      <c r="E861" s="388"/>
      <c r="F861" s="374"/>
      <c r="G861" s="375"/>
      <c r="H861" s="397"/>
      <c r="I861" s="377"/>
      <c r="J861" s="378"/>
      <c r="K861" s="379"/>
      <c r="L861" s="387"/>
      <c r="M861" s="380" t="str">
        <f t="array" ref="M861">IF(L861="","",(MAX(IF(AN$15:AN$144=B861,AO$15:AO$144))/60))</f>
        <v/>
      </c>
      <c r="N861" s="387"/>
      <c r="O861" s="387"/>
      <c r="P861" s="381" t="str">
        <f t="shared" si="53"/>
        <v/>
      </c>
      <c r="Q861" s="382" t="str">
        <f t="array" ref="Q861">IFERROR(INDEX($D$13:$D$1000,MATCH(0,COUNTIF($Q$13:Q860,$D$13:$D$1000&amp;"")+IF($D$13:$D$1000="",1,0),0)),"")</f>
        <v/>
      </c>
      <c r="R861" s="356" t="str">
        <f t="shared" si="54"/>
        <v/>
      </c>
      <c r="S861" s="383" t="str">
        <f t="shared" si="52"/>
        <v/>
      </c>
      <c r="T861" s="384" t="str">
        <f t="shared" si="55"/>
        <v/>
      </c>
      <c r="V861" s="385"/>
      <c r="W861" s="385"/>
      <c r="X861" s="386"/>
    </row>
    <row r="862" spans="2:24">
      <c r="B862" s="395"/>
      <c r="C862" s="371"/>
      <c r="D862" s="372" t="str">
        <f>IFERROR(INDEX('[11]Equipment List'!$B$2:$B$2038,MATCH(E862,'[11]Equipment List'!$A$2:$A$2038,0)),"")</f>
        <v/>
      </c>
      <c r="E862" s="388"/>
      <c r="F862" s="374"/>
      <c r="G862" s="375"/>
      <c r="H862" s="397"/>
      <c r="I862" s="377"/>
      <c r="J862" s="378"/>
      <c r="K862" s="379"/>
      <c r="L862" s="387"/>
      <c r="M862" s="380" t="str">
        <f t="array" ref="M862">IF(L862="","",(MAX(IF(AN$15:AN$144=B862,AO$15:AO$144))/60))</f>
        <v/>
      </c>
      <c r="N862" s="387"/>
      <c r="O862" s="387"/>
      <c r="P862" s="381" t="str">
        <f t="shared" si="53"/>
        <v/>
      </c>
      <c r="Q862" s="382" t="str">
        <f t="array" ref="Q862">IFERROR(INDEX($D$13:$D$1000,MATCH(0,COUNTIF($Q$13:Q861,$D$13:$D$1000&amp;"")+IF($D$13:$D$1000="",1,0),0)),"")</f>
        <v/>
      </c>
      <c r="R862" s="356" t="str">
        <f t="shared" si="54"/>
        <v/>
      </c>
      <c r="S862" s="383" t="str">
        <f t="shared" si="52"/>
        <v/>
      </c>
      <c r="T862" s="384" t="str">
        <f t="shared" si="55"/>
        <v/>
      </c>
      <c r="V862" s="385"/>
      <c r="W862" s="385"/>
      <c r="X862" s="386"/>
    </row>
    <row r="863" spans="2:24">
      <c r="B863" s="395"/>
      <c r="C863" s="371"/>
      <c r="D863" s="372" t="str">
        <f>IFERROR(INDEX('[11]Equipment List'!$B$2:$B$2038,MATCH(E863,'[11]Equipment List'!$A$2:$A$2038,0)),"")</f>
        <v/>
      </c>
      <c r="E863" s="388"/>
      <c r="F863" s="374"/>
      <c r="G863" s="375"/>
      <c r="H863" s="397"/>
      <c r="I863" s="377"/>
      <c r="J863" s="378"/>
      <c r="K863" s="379"/>
      <c r="L863" s="387"/>
      <c r="M863" s="380" t="str">
        <f t="array" ref="M863">IF(L863="","",(MAX(IF(AN$15:AN$144=B863,AO$15:AO$144))/60))</f>
        <v/>
      </c>
      <c r="N863" s="387"/>
      <c r="O863" s="387"/>
      <c r="P863" s="381" t="str">
        <f t="shared" si="53"/>
        <v/>
      </c>
      <c r="Q863" s="382" t="str">
        <f t="array" ref="Q863">IFERROR(INDEX($D$13:$D$1000,MATCH(0,COUNTIF($Q$13:Q862,$D$13:$D$1000&amp;"")+IF($D$13:$D$1000="",1,0),0)),"")</f>
        <v/>
      </c>
      <c r="R863" s="356" t="str">
        <f t="shared" si="54"/>
        <v/>
      </c>
      <c r="S863" s="383" t="str">
        <f t="shared" si="52"/>
        <v/>
      </c>
      <c r="T863" s="384" t="str">
        <f t="shared" si="55"/>
        <v/>
      </c>
      <c r="V863" s="385"/>
      <c r="W863" s="385"/>
      <c r="X863" s="386"/>
    </row>
    <row r="864" spans="2:24">
      <c r="B864" s="395"/>
      <c r="C864" s="371"/>
      <c r="D864" s="372" t="str">
        <f>IFERROR(INDEX('[11]Equipment List'!$B$2:$B$2038,MATCH(E864,'[11]Equipment List'!$A$2:$A$2038,0)),"")</f>
        <v/>
      </c>
      <c r="E864" s="388"/>
      <c r="F864" s="374"/>
      <c r="G864" s="375"/>
      <c r="H864" s="397"/>
      <c r="I864" s="377"/>
      <c r="J864" s="378"/>
      <c r="K864" s="379"/>
      <c r="L864" s="387"/>
      <c r="M864" s="380" t="str">
        <f t="array" ref="M864">IF(L864="","",(MAX(IF(AN$15:AN$144=B864,AO$15:AO$144))/60))</f>
        <v/>
      </c>
      <c r="N864" s="387"/>
      <c r="O864" s="387"/>
      <c r="P864" s="381" t="str">
        <f t="shared" si="53"/>
        <v/>
      </c>
      <c r="Q864" s="382" t="str">
        <f t="array" ref="Q864">IFERROR(INDEX($D$13:$D$1000,MATCH(0,COUNTIF($Q$13:Q863,$D$13:$D$1000&amp;"")+IF($D$13:$D$1000="",1,0),0)),"")</f>
        <v/>
      </c>
      <c r="R864" s="356" t="str">
        <f t="shared" si="54"/>
        <v/>
      </c>
      <c r="S864" s="383" t="str">
        <f t="shared" si="52"/>
        <v/>
      </c>
      <c r="T864" s="384" t="str">
        <f t="shared" si="55"/>
        <v/>
      </c>
      <c r="V864" s="385"/>
      <c r="W864" s="385"/>
      <c r="X864" s="386"/>
    </row>
    <row r="865" spans="2:24">
      <c r="B865" s="395"/>
      <c r="C865" s="371"/>
      <c r="D865" s="372" t="str">
        <f>IFERROR(INDEX('[11]Equipment List'!$B$2:$B$2038,MATCH(E865,'[11]Equipment List'!$A$2:$A$2038,0)),"")</f>
        <v/>
      </c>
      <c r="E865" s="388"/>
      <c r="F865" s="374"/>
      <c r="G865" s="375"/>
      <c r="H865" s="397"/>
      <c r="I865" s="377"/>
      <c r="J865" s="378"/>
      <c r="K865" s="379"/>
      <c r="L865" s="387"/>
      <c r="M865" s="380" t="str">
        <f t="array" ref="M865">IF(L865="","",(MAX(IF(AN$15:AN$144=B865,AO$15:AO$144))/60))</f>
        <v/>
      </c>
      <c r="N865" s="387"/>
      <c r="O865" s="387"/>
      <c r="P865" s="381" t="str">
        <f t="shared" si="53"/>
        <v/>
      </c>
      <c r="Q865" s="382" t="str">
        <f t="array" ref="Q865">IFERROR(INDEX($D$13:$D$1000,MATCH(0,COUNTIF($Q$13:Q864,$D$13:$D$1000&amp;"")+IF($D$13:$D$1000="",1,0),0)),"")</f>
        <v/>
      </c>
      <c r="R865" s="356" t="str">
        <f t="shared" si="54"/>
        <v/>
      </c>
      <c r="S865" s="383" t="str">
        <f t="shared" si="52"/>
        <v/>
      </c>
      <c r="T865" s="384" t="str">
        <f t="shared" si="55"/>
        <v/>
      </c>
      <c r="V865" s="385"/>
      <c r="W865" s="385"/>
      <c r="X865" s="386"/>
    </row>
    <row r="866" spans="2:24">
      <c r="B866" s="395"/>
      <c r="C866" s="371"/>
      <c r="D866" s="372" t="str">
        <f>IFERROR(INDEX('[11]Equipment List'!$B$2:$B$2038,MATCH(E866,'[11]Equipment List'!$A$2:$A$2038,0)),"")</f>
        <v/>
      </c>
      <c r="E866" s="388"/>
      <c r="F866" s="374"/>
      <c r="G866" s="375"/>
      <c r="H866" s="397"/>
      <c r="I866" s="377"/>
      <c r="J866" s="378"/>
      <c r="K866" s="379"/>
      <c r="L866" s="387"/>
      <c r="M866" s="380" t="str">
        <f t="array" ref="M866">IF(L866="","",(MAX(IF(AN$15:AN$144=B866,AO$15:AO$144))/60))</f>
        <v/>
      </c>
      <c r="N866" s="387"/>
      <c r="O866" s="387"/>
      <c r="P866" s="381" t="str">
        <f t="shared" si="53"/>
        <v/>
      </c>
      <c r="Q866" s="382" t="str">
        <f t="array" ref="Q866">IFERROR(INDEX($D$13:$D$1000,MATCH(0,COUNTIF($Q$13:Q865,$D$13:$D$1000&amp;"")+IF($D$13:$D$1000="",1,0),0)),"")</f>
        <v/>
      </c>
      <c r="R866" s="356" t="str">
        <f t="shared" si="54"/>
        <v/>
      </c>
      <c r="S866" s="383" t="str">
        <f t="shared" si="52"/>
        <v/>
      </c>
      <c r="T866" s="384" t="str">
        <f t="shared" si="55"/>
        <v/>
      </c>
      <c r="V866" s="385"/>
      <c r="W866" s="385"/>
      <c r="X866" s="386"/>
    </row>
    <row r="867" spans="2:24">
      <c r="B867" s="395"/>
      <c r="C867" s="371"/>
      <c r="D867" s="372" t="str">
        <f>IFERROR(INDEX('[11]Equipment List'!$B$2:$B$2038,MATCH(E867,'[11]Equipment List'!$A$2:$A$2038,0)),"")</f>
        <v/>
      </c>
      <c r="E867" s="388"/>
      <c r="F867" s="374"/>
      <c r="G867" s="375"/>
      <c r="H867" s="397"/>
      <c r="I867" s="377"/>
      <c r="J867" s="378"/>
      <c r="K867" s="379"/>
      <c r="L867" s="387"/>
      <c r="M867" s="380" t="str">
        <f t="array" ref="M867">IF(L867="","",(MAX(IF(AN$15:AN$144=B867,AO$15:AO$144))/60))</f>
        <v/>
      </c>
      <c r="N867" s="387"/>
      <c r="O867" s="387"/>
      <c r="P867" s="381" t="str">
        <f t="shared" si="53"/>
        <v/>
      </c>
      <c r="Q867" s="382" t="str">
        <f t="array" ref="Q867">IFERROR(INDEX($D$13:$D$1000,MATCH(0,COUNTIF($Q$13:Q866,$D$13:$D$1000&amp;"")+IF($D$13:$D$1000="",1,0),0)),"")</f>
        <v/>
      </c>
      <c r="R867" s="356" t="str">
        <f t="shared" si="54"/>
        <v/>
      </c>
      <c r="S867" s="383" t="str">
        <f t="shared" si="52"/>
        <v/>
      </c>
      <c r="T867" s="384" t="str">
        <f t="shared" si="55"/>
        <v/>
      </c>
      <c r="V867" s="385"/>
      <c r="W867" s="385"/>
      <c r="X867" s="386"/>
    </row>
    <row r="868" spans="2:24">
      <c r="B868" s="395"/>
      <c r="C868" s="371"/>
      <c r="D868" s="372" t="str">
        <f>IFERROR(INDEX('[11]Equipment List'!$B$2:$B$2038,MATCH(E868,'[11]Equipment List'!$A$2:$A$2038,0)),"")</f>
        <v/>
      </c>
      <c r="E868" s="388"/>
      <c r="F868" s="374"/>
      <c r="G868" s="375"/>
      <c r="H868" s="397"/>
      <c r="I868" s="377"/>
      <c r="J868" s="378"/>
      <c r="K868" s="379"/>
      <c r="L868" s="387"/>
      <c r="M868" s="380" t="str">
        <f t="array" ref="M868">IF(L868="","",(MAX(IF(AN$15:AN$144=B868,AO$15:AO$144))/60))</f>
        <v/>
      </c>
      <c r="N868" s="387"/>
      <c r="O868" s="387"/>
      <c r="P868" s="381" t="str">
        <f t="shared" si="53"/>
        <v/>
      </c>
      <c r="Q868" s="382" t="str">
        <f t="array" ref="Q868">IFERROR(INDEX($D$13:$D$1000,MATCH(0,COUNTIF($Q$13:Q867,$D$13:$D$1000&amp;"")+IF($D$13:$D$1000="",1,0),0)),"")</f>
        <v/>
      </c>
      <c r="R868" s="356" t="str">
        <f t="shared" si="54"/>
        <v/>
      </c>
      <c r="S868" s="383" t="str">
        <f t="shared" si="52"/>
        <v/>
      </c>
      <c r="T868" s="384" t="str">
        <f t="shared" si="55"/>
        <v/>
      </c>
      <c r="V868" s="385"/>
      <c r="W868" s="385"/>
      <c r="X868" s="386"/>
    </row>
    <row r="869" spans="2:24">
      <c r="B869" s="395"/>
      <c r="C869" s="371"/>
      <c r="D869" s="372" t="str">
        <f>IFERROR(INDEX('[11]Equipment List'!$B$2:$B$2038,MATCH(E869,'[11]Equipment List'!$A$2:$A$2038,0)),"")</f>
        <v/>
      </c>
      <c r="E869" s="388"/>
      <c r="F869" s="374"/>
      <c r="G869" s="375"/>
      <c r="H869" s="397"/>
      <c r="I869" s="377"/>
      <c r="J869" s="378"/>
      <c r="K869" s="379"/>
      <c r="L869" s="387"/>
      <c r="M869" s="380" t="str">
        <f t="array" ref="M869">IF(L869="","",(MAX(IF(AN$15:AN$144=B869,AO$15:AO$144))/60))</f>
        <v/>
      </c>
      <c r="N869" s="387"/>
      <c r="O869" s="387"/>
      <c r="P869" s="381" t="str">
        <f t="shared" si="53"/>
        <v/>
      </c>
      <c r="Q869" s="382" t="str">
        <f t="array" ref="Q869">IFERROR(INDEX($D$13:$D$1000,MATCH(0,COUNTIF($Q$13:Q868,$D$13:$D$1000&amp;"")+IF($D$13:$D$1000="",1,0),0)),"")</f>
        <v/>
      </c>
      <c r="R869" s="356" t="str">
        <f t="shared" si="54"/>
        <v/>
      </c>
      <c r="S869" s="383" t="str">
        <f t="shared" si="52"/>
        <v/>
      </c>
      <c r="T869" s="384" t="str">
        <f t="shared" si="55"/>
        <v/>
      </c>
      <c r="V869" s="385"/>
      <c r="W869" s="385"/>
      <c r="X869" s="386"/>
    </row>
    <row r="870" spans="2:24">
      <c r="B870" s="395"/>
      <c r="C870" s="371"/>
      <c r="D870" s="372" t="str">
        <f>IFERROR(INDEX('[11]Equipment List'!$B$2:$B$2038,MATCH(E870,'[11]Equipment List'!$A$2:$A$2038,0)),"")</f>
        <v/>
      </c>
      <c r="E870" s="388"/>
      <c r="F870" s="374"/>
      <c r="G870" s="375"/>
      <c r="H870" s="397"/>
      <c r="I870" s="377"/>
      <c r="J870" s="378"/>
      <c r="K870" s="379"/>
      <c r="L870" s="387"/>
      <c r="M870" s="380" t="str">
        <f t="array" ref="M870">IF(L870="","",(MAX(IF(AN$15:AN$144=B870,AO$15:AO$144))/60))</f>
        <v/>
      </c>
      <c r="N870" s="387"/>
      <c r="O870" s="387"/>
      <c r="P870" s="381" t="str">
        <f t="shared" si="53"/>
        <v/>
      </c>
      <c r="Q870" s="382" t="str">
        <f t="array" ref="Q870">IFERROR(INDEX($D$13:$D$1000,MATCH(0,COUNTIF($Q$13:Q869,$D$13:$D$1000&amp;"")+IF($D$13:$D$1000="",1,0),0)),"")</f>
        <v/>
      </c>
      <c r="R870" s="356" t="str">
        <f t="shared" si="54"/>
        <v/>
      </c>
      <c r="S870" s="383" t="str">
        <f t="shared" si="52"/>
        <v/>
      </c>
      <c r="T870" s="384" t="str">
        <f t="shared" si="55"/>
        <v/>
      </c>
      <c r="V870" s="385"/>
      <c r="W870" s="385"/>
      <c r="X870" s="386"/>
    </row>
    <row r="871" spans="2:24">
      <c r="B871" s="395"/>
      <c r="C871" s="371"/>
      <c r="D871" s="372" t="str">
        <f>IFERROR(INDEX('[11]Equipment List'!$B$2:$B$2038,MATCH(E871,'[11]Equipment List'!$A$2:$A$2038,0)),"")</f>
        <v/>
      </c>
      <c r="E871" s="388"/>
      <c r="F871" s="374"/>
      <c r="G871" s="375"/>
      <c r="H871" s="397"/>
      <c r="I871" s="377"/>
      <c r="J871" s="378"/>
      <c r="K871" s="379"/>
      <c r="L871" s="387"/>
      <c r="M871" s="380" t="str">
        <f t="array" ref="M871">IF(L871="","",(MAX(IF(AN$15:AN$144=B871,AO$15:AO$144))/60))</f>
        <v/>
      </c>
      <c r="N871" s="387"/>
      <c r="O871" s="387"/>
      <c r="P871" s="381" t="str">
        <f t="shared" si="53"/>
        <v/>
      </c>
      <c r="Q871" s="382" t="str">
        <f t="array" ref="Q871">IFERROR(INDEX($D$13:$D$1000,MATCH(0,COUNTIF($Q$13:Q870,$D$13:$D$1000&amp;"")+IF($D$13:$D$1000="",1,0),0)),"")</f>
        <v/>
      </c>
      <c r="R871" s="356" t="str">
        <f t="shared" si="54"/>
        <v/>
      </c>
      <c r="S871" s="383" t="str">
        <f t="shared" si="52"/>
        <v/>
      </c>
      <c r="T871" s="384" t="str">
        <f t="shared" si="55"/>
        <v/>
      </c>
      <c r="V871" s="385"/>
      <c r="W871" s="385"/>
      <c r="X871" s="386"/>
    </row>
    <row r="872" spans="2:24">
      <c r="B872" s="395"/>
      <c r="C872" s="371"/>
      <c r="D872" s="372" t="str">
        <f>IFERROR(INDEX('[11]Equipment List'!$B$2:$B$2038,MATCH(E872,'[11]Equipment List'!$A$2:$A$2038,0)),"")</f>
        <v/>
      </c>
      <c r="E872" s="388"/>
      <c r="F872" s="374"/>
      <c r="G872" s="375"/>
      <c r="H872" s="397"/>
      <c r="I872" s="377"/>
      <c r="J872" s="378"/>
      <c r="K872" s="379"/>
      <c r="L872" s="387"/>
      <c r="M872" s="380" t="str">
        <f t="array" ref="M872">IF(L872="","",(MAX(IF(AN$15:AN$144=B872,AO$15:AO$144))/60))</f>
        <v/>
      </c>
      <c r="N872" s="387"/>
      <c r="O872" s="387"/>
      <c r="P872" s="381" t="str">
        <f t="shared" si="53"/>
        <v/>
      </c>
      <c r="Q872" s="382" t="str">
        <f t="array" ref="Q872">IFERROR(INDEX($D$13:$D$1000,MATCH(0,COUNTIF($Q$13:Q871,$D$13:$D$1000&amp;"")+IF($D$13:$D$1000="",1,0),0)),"")</f>
        <v/>
      </c>
      <c r="R872" s="356" t="str">
        <f t="shared" si="54"/>
        <v/>
      </c>
      <c r="S872" s="383" t="str">
        <f t="shared" si="52"/>
        <v/>
      </c>
      <c r="T872" s="384" t="str">
        <f t="shared" si="55"/>
        <v/>
      </c>
      <c r="V872" s="385"/>
      <c r="W872" s="385"/>
      <c r="X872" s="386"/>
    </row>
    <row r="873" spans="2:24">
      <c r="B873" s="395"/>
      <c r="C873" s="371"/>
      <c r="D873" s="372" t="str">
        <f>IFERROR(INDEX('[11]Equipment List'!$B$2:$B$2038,MATCH(E873,'[11]Equipment List'!$A$2:$A$2038,0)),"")</f>
        <v/>
      </c>
      <c r="E873" s="388"/>
      <c r="F873" s="374"/>
      <c r="G873" s="375"/>
      <c r="H873" s="397"/>
      <c r="I873" s="377"/>
      <c r="J873" s="378"/>
      <c r="K873" s="379"/>
      <c r="L873" s="387"/>
      <c r="M873" s="380" t="str">
        <f t="array" ref="M873">IF(L873="","",(MAX(IF(AN$15:AN$144=B873,AO$15:AO$144))/60))</f>
        <v/>
      </c>
      <c r="N873" s="387"/>
      <c r="O873" s="387"/>
      <c r="P873" s="381" t="str">
        <f t="shared" si="53"/>
        <v/>
      </c>
      <c r="Q873" s="382" t="str">
        <f t="array" ref="Q873">IFERROR(INDEX($D$13:$D$1000,MATCH(0,COUNTIF($Q$13:Q872,$D$13:$D$1000&amp;"")+IF($D$13:$D$1000="",1,0),0)),"")</f>
        <v/>
      </c>
      <c r="R873" s="356" t="str">
        <f t="shared" si="54"/>
        <v/>
      </c>
      <c r="S873" s="383" t="str">
        <f t="shared" si="52"/>
        <v/>
      </c>
      <c r="T873" s="384" t="str">
        <f t="shared" si="55"/>
        <v/>
      </c>
      <c r="V873" s="385"/>
      <c r="W873" s="385"/>
      <c r="X873" s="386"/>
    </row>
    <row r="874" spans="2:24">
      <c r="B874" s="395"/>
      <c r="C874" s="371"/>
      <c r="D874" s="372" t="str">
        <f>IFERROR(INDEX('[11]Equipment List'!$B$2:$B$2038,MATCH(E874,'[11]Equipment List'!$A$2:$A$2038,0)),"")</f>
        <v/>
      </c>
      <c r="E874" s="388"/>
      <c r="F874" s="374"/>
      <c r="G874" s="375"/>
      <c r="H874" s="397"/>
      <c r="I874" s="377"/>
      <c r="J874" s="378"/>
      <c r="K874" s="379"/>
      <c r="L874" s="387"/>
      <c r="M874" s="380" t="str">
        <f t="array" ref="M874">IF(L874="","",(MAX(IF(AN$15:AN$144=B874,AO$15:AO$144))/60))</f>
        <v/>
      </c>
      <c r="N874" s="387"/>
      <c r="O874" s="387"/>
      <c r="P874" s="381" t="str">
        <f t="shared" si="53"/>
        <v/>
      </c>
      <c r="Q874" s="382" t="str">
        <f t="array" ref="Q874">IFERROR(INDEX($D$13:$D$1000,MATCH(0,COUNTIF($Q$13:Q873,$D$13:$D$1000&amp;"")+IF($D$13:$D$1000="",1,0),0)),"")</f>
        <v/>
      </c>
      <c r="R874" s="356" t="str">
        <f t="shared" si="54"/>
        <v/>
      </c>
      <c r="S874" s="383" t="str">
        <f t="shared" si="52"/>
        <v/>
      </c>
      <c r="T874" s="384" t="str">
        <f t="shared" si="55"/>
        <v/>
      </c>
      <c r="V874" s="385"/>
      <c r="W874" s="385"/>
      <c r="X874" s="386"/>
    </row>
    <row r="875" spans="2:24">
      <c r="B875" s="395"/>
      <c r="C875" s="371"/>
      <c r="D875" s="372" t="str">
        <f>IFERROR(INDEX('[11]Equipment List'!$B$2:$B$2038,MATCH(E875,'[11]Equipment List'!$A$2:$A$2038,0)),"")</f>
        <v/>
      </c>
      <c r="E875" s="388"/>
      <c r="F875" s="374"/>
      <c r="G875" s="375"/>
      <c r="H875" s="397"/>
      <c r="I875" s="377"/>
      <c r="J875" s="378"/>
      <c r="K875" s="379"/>
      <c r="L875" s="387"/>
      <c r="M875" s="380" t="str">
        <f t="array" ref="M875">IF(L875="","",(MAX(IF(AN$15:AN$144=B875,AO$15:AO$144))/60))</f>
        <v/>
      </c>
      <c r="N875" s="387"/>
      <c r="O875" s="387"/>
      <c r="P875" s="381" t="str">
        <f t="shared" si="53"/>
        <v/>
      </c>
      <c r="Q875" s="382" t="str">
        <f t="array" ref="Q875">IFERROR(INDEX($D$13:$D$1000,MATCH(0,COUNTIF($Q$13:Q874,$D$13:$D$1000&amp;"")+IF($D$13:$D$1000="",1,0),0)),"")</f>
        <v/>
      </c>
      <c r="R875" s="356" t="str">
        <f t="shared" si="54"/>
        <v/>
      </c>
      <c r="S875" s="383" t="str">
        <f t="shared" ref="S875:S938" si="56">IF($Q875="","",SUMIF($D$13:$D$1000,$Q875,I$13:I$1000))</f>
        <v/>
      </c>
      <c r="T875" s="384" t="str">
        <f t="shared" si="55"/>
        <v/>
      </c>
      <c r="V875" s="385"/>
      <c r="W875" s="385"/>
      <c r="X875" s="386"/>
    </row>
    <row r="876" spans="2:24">
      <c r="B876" s="395"/>
      <c r="C876" s="371"/>
      <c r="D876" s="372" t="str">
        <f>IFERROR(INDEX('[11]Equipment List'!$B$2:$B$2038,MATCH(E876,'[11]Equipment List'!$A$2:$A$2038,0)),"")</f>
        <v/>
      </c>
      <c r="E876" s="388"/>
      <c r="F876" s="374"/>
      <c r="G876" s="375"/>
      <c r="H876" s="397"/>
      <c r="I876" s="377"/>
      <c r="J876" s="378"/>
      <c r="K876" s="379"/>
      <c r="L876" s="387"/>
      <c r="M876" s="380" t="str">
        <f t="array" ref="M876">IF(L876="","",(MAX(IF(AN$15:AN$144=B876,AO$15:AO$144))/60))</f>
        <v/>
      </c>
      <c r="N876" s="387"/>
      <c r="O876" s="387"/>
      <c r="P876" s="381" t="str">
        <f t="shared" si="53"/>
        <v/>
      </c>
      <c r="Q876" s="382" t="str">
        <f t="array" ref="Q876">IFERROR(INDEX($D$13:$D$1000,MATCH(0,COUNTIF($Q$13:Q875,$D$13:$D$1000&amp;"")+IF($D$13:$D$1000="",1,0),0)),"")</f>
        <v/>
      </c>
      <c r="R876" s="356" t="str">
        <f t="shared" si="54"/>
        <v/>
      </c>
      <c r="S876" s="383" t="str">
        <f t="shared" si="56"/>
        <v/>
      </c>
      <c r="T876" s="384" t="str">
        <f t="shared" si="55"/>
        <v/>
      </c>
      <c r="V876" s="385"/>
      <c r="W876" s="385"/>
      <c r="X876" s="386"/>
    </row>
    <row r="877" spans="2:24">
      <c r="B877" s="395"/>
      <c r="C877" s="371"/>
      <c r="D877" s="372" t="str">
        <f>IFERROR(INDEX('[11]Equipment List'!$B$2:$B$2038,MATCH(E877,'[11]Equipment List'!$A$2:$A$2038,0)),"")</f>
        <v/>
      </c>
      <c r="E877" s="388"/>
      <c r="F877" s="374"/>
      <c r="G877" s="375"/>
      <c r="H877" s="397"/>
      <c r="I877" s="377"/>
      <c r="J877" s="378"/>
      <c r="K877" s="379"/>
      <c r="L877" s="387"/>
      <c r="M877" s="380" t="str">
        <f t="array" ref="M877">IF(L877="","",(MAX(IF(AN$15:AN$144=B877,AO$15:AO$144))/60))</f>
        <v/>
      </c>
      <c r="N877" s="387"/>
      <c r="O877" s="387"/>
      <c r="P877" s="381" t="str">
        <f t="shared" si="53"/>
        <v/>
      </c>
      <c r="Q877" s="382" t="str">
        <f t="array" ref="Q877">IFERROR(INDEX($D$13:$D$1000,MATCH(0,COUNTIF($Q$13:Q876,$D$13:$D$1000&amp;"")+IF($D$13:$D$1000="",1,0),0)),"")</f>
        <v/>
      </c>
      <c r="R877" s="356" t="str">
        <f t="shared" si="54"/>
        <v/>
      </c>
      <c r="S877" s="383" t="str">
        <f t="shared" si="56"/>
        <v/>
      </c>
      <c r="T877" s="384" t="str">
        <f t="shared" si="55"/>
        <v/>
      </c>
      <c r="V877" s="385"/>
      <c r="W877" s="385"/>
      <c r="X877" s="386"/>
    </row>
    <row r="878" spans="2:24">
      <c r="B878" s="395"/>
      <c r="C878" s="371"/>
      <c r="D878" s="372" t="str">
        <f>IFERROR(INDEX('[11]Equipment List'!$B$2:$B$2038,MATCH(E878,'[11]Equipment List'!$A$2:$A$2038,0)),"")</f>
        <v/>
      </c>
      <c r="E878" s="388"/>
      <c r="F878" s="374"/>
      <c r="G878" s="375"/>
      <c r="H878" s="397"/>
      <c r="I878" s="377"/>
      <c r="J878" s="378"/>
      <c r="K878" s="379"/>
      <c r="L878" s="387"/>
      <c r="M878" s="380" t="str">
        <f t="array" ref="M878">IF(L878="","",(MAX(IF(AN$15:AN$144=B878,AO$15:AO$144))/60))</f>
        <v/>
      </c>
      <c r="N878" s="387"/>
      <c r="O878" s="387"/>
      <c r="P878" s="381" t="str">
        <f t="shared" si="53"/>
        <v/>
      </c>
      <c r="Q878" s="382" t="str">
        <f t="array" ref="Q878">IFERROR(INDEX($D$13:$D$1000,MATCH(0,COUNTIF($Q$13:Q877,$D$13:$D$1000&amp;"")+IF($D$13:$D$1000="",1,0),0)),"")</f>
        <v/>
      </c>
      <c r="R878" s="356" t="str">
        <f t="shared" si="54"/>
        <v/>
      </c>
      <c r="S878" s="383" t="str">
        <f t="shared" si="56"/>
        <v/>
      </c>
      <c r="T878" s="384" t="str">
        <f t="shared" si="55"/>
        <v/>
      </c>
      <c r="V878" s="385"/>
      <c r="W878" s="385"/>
      <c r="X878" s="386"/>
    </row>
    <row r="879" spans="2:24">
      <c r="B879" s="395"/>
      <c r="C879" s="371"/>
      <c r="D879" s="372" t="str">
        <f>IFERROR(INDEX('[11]Equipment List'!$B$2:$B$2038,MATCH(E879,'[11]Equipment List'!$A$2:$A$2038,0)),"")</f>
        <v/>
      </c>
      <c r="E879" s="388"/>
      <c r="F879" s="374"/>
      <c r="G879" s="375"/>
      <c r="H879" s="397"/>
      <c r="I879" s="377"/>
      <c r="J879" s="378"/>
      <c r="K879" s="379"/>
      <c r="L879" s="387"/>
      <c r="M879" s="380" t="str">
        <f t="array" ref="M879">IF(L879="","",(MAX(IF(AN$15:AN$144=B879,AO$15:AO$144))/60))</f>
        <v/>
      </c>
      <c r="N879" s="387"/>
      <c r="O879" s="387"/>
      <c r="P879" s="381" t="str">
        <f t="shared" si="53"/>
        <v/>
      </c>
      <c r="Q879" s="382" t="str">
        <f t="array" ref="Q879">IFERROR(INDEX($D$13:$D$1000,MATCH(0,COUNTIF($Q$13:Q878,$D$13:$D$1000&amp;"")+IF($D$13:$D$1000="",1,0),0)),"")</f>
        <v/>
      </c>
      <c r="R879" s="356" t="str">
        <f t="shared" si="54"/>
        <v/>
      </c>
      <c r="S879" s="383" t="str">
        <f t="shared" si="56"/>
        <v/>
      </c>
      <c r="T879" s="384" t="str">
        <f t="shared" si="55"/>
        <v/>
      </c>
      <c r="V879" s="385"/>
      <c r="W879" s="385"/>
      <c r="X879" s="386"/>
    </row>
    <row r="880" spans="2:24">
      <c r="B880" s="395"/>
      <c r="C880" s="371"/>
      <c r="D880" s="372" t="str">
        <f>IFERROR(INDEX('[11]Equipment List'!$B$2:$B$2038,MATCH(E880,'[11]Equipment List'!$A$2:$A$2038,0)),"")</f>
        <v/>
      </c>
      <c r="E880" s="388"/>
      <c r="F880" s="374"/>
      <c r="G880" s="375"/>
      <c r="H880" s="397"/>
      <c r="I880" s="377"/>
      <c r="J880" s="378"/>
      <c r="K880" s="379"/>
      <c r="L880" s="387"/>
      <c r="M880" s="380" t="str">
        <f t="array" ref="M880">IF(L880="","",(MAX(IF(AN$15:AN$144=B880,AO$15:AO$144))/60))</f>
        <v/>
      </c>
      <c r="N880" s="387"/>
      <c r="O880" s="387"/>
      <c r="P880" s="381" t="str">
        <f t="shared" si="53"/>
        <v/>
      </c>
      <c r="Q880" s="382" t="str">
        <f t="array" ref="Q880">IFERROR(INDEX($D$13:$D$1000,MATCH(0,COUNTIF($Q$13:Q879,$D$13:$D$1000&amp;"")+IF($D$13:$D$1000="",1,0),0)),"")</f>
        <v/>
      </c>
      <c r="R880" s="356" t="str">
        <f t="shared" si="54"/>
        <v/>
      </c>
      <c r="S880" s="383" t="str">
        <f t="shared" si="56"/>
        <v/>
      </c>
      <c r="T880" s="384" t="str">
        <f t="shared" si="55"/>
        <v/>
      </c>
      <c r="V880" s="385"/>
      <c r="W880" s="385"/>
      <c r="X880" s="386"/>
    </row>
    <row r="881" spans="2:24">
      <c r="B881" s="395"/>
      <c r="C881" s="371"/>
      <c r="D881" s="372" t="str">
        <f>IFERROR(INDEX('[11]Equipment List'!$B$2:$B$2038,MATCH(E881,'[11]Equipment List'!$A$2:$A$2038,0)),"")</f>
        <v/>
      </c>
      <c r="E881" s="388"/>
      <c r="F881" s="374"/>
      <c r="G881" s="375"/>
      <c r="H881" s="397"/>
      <c r="I881" s="377"/>
      <c r="J881" s="378"/>
      <c r="K881" s="379"/>
      <c r="L881" s="387"/>
      <c r="M881" s="380" t="str">
        <f t="array" ref="M881">IF(L881="","",(MAX(IF(AN$15:AN$144=B881,AO$15:AO$144))/60))</f>
        <v/>
      </c>
      <c r="N881" s="387"/>
      <c r="O881" s="387"/>
      <c r="P881" s="381" t="str">
        <f t="shared" si="53"/>
        <v/>
      </c>
      <c r="Q881" s="382" t="str">
        <f t="array" ref="Q881">IFERROR(INDEX($D$13:$D$1000,MATCH(0,COUNTIF($Q$13:Q880,$D$13:$D$1000&amp;"")+IF($D$13:$D$1000="",1,0),0)),"")</f>
        <v/>
      </c>
      <c r="R881" s="356" t="str">
        <f t="shared" si="54"/>
        <v/>
      </c>
      <c r="S881" s="383" t="str">
        <f t="shared" si="56"/>
        <v/>
      </c>
      <c r="T881" s="384" t="str">
        <f t="shared" si="55"/>
        <v/>
      </c>
      <c r="V881" s="385"/>
      <c r="W881" s="385"/>
      <c r="X881" s="386"/>
    </row>
    <row r="882" spans="2:24">
      <c r="B882" s="395"/>
      <c r="C882" s="371"/>
      <c r="D882" s="372" t="str">
        <f>IFERROR(INDEX('[11]Equipment List'!$B$2:$B$2038,MATCH(E882,'[11]Equipment List'!$A$2:$A$2038,0)),"")</f>
        <v/>
      </c>
      <c r="E882" s="388"/>
      <c r="F882" s="374"/>
      <c r="G882" s="375"/>
      <c r="H882" s="397"/>
      <c r="I882" s="377"/>
      <c r="J882" s="378"/>
      <c r="K882" s="379"/>
      <c r="L882" s="387"/>
      <c r="M882" s="380" t="str">
        <f t="array" ref="M882">IF(L882="","",(MAX(IF(AN$15:AN$144=B882,AO$15:AO$144))/60))</f>
        <v/>
      </c>
      <c r="N882" s="387"/>
      <c r="O882" s="387"/>
      <c r="P882" s="381" t="str">
        <f t="shared" si="53"/>
        <v/>
      </c>
      <c r="Q882" s="382" t="str">
        <f t="array" ref="Q882">IFERROR(INDEX($D$13:$D$1000,MATCH(0,COUNTIF($Q$13:Q881,$D$13:$D$1000&amp;"")+IF($D$13:$D$1000="",1,0),0)),"")</f>
        <v/>
      </c>
      <c r="R882" s="356" t="str">
        <f t="shared" si="54"/>
        <v/>
      </c>
      <c r="S882" s="383" t="str">
        <f t="shared" si="56"/>
        <v/>
      </c>
      <c r="T882" s="384" t="str">
        <f t="shared" si="55"/>
        <v/>
      </c>
      <c r="V882" s="385"/>
      <c r="W882" s="385"/>
      <c r="X882" s="386"/>
    </row>
    <row r="883" spans="2:24">
      <c r="B883" s="395"/>
      <c r="C883" s="371"/>
      <c r="D883" s="372" t="str">
        <f>IFERROR(INDEX('[11]Equipment List'!$B$2:$B$2038,MATCH(E883,'[11]Equipment List'!$A$2:$A$2038,0)),"")</f>
        <v/>
      </c>
      <c r="E883" s="388"/>
      <c r="F883" s="374"/>
      <c r="G883" s="375"/>
      <c r="H883" s="397"/>
      <c r="I883" s="377"/>
      <c r="J883" s="378"/>
      <c r="K883" s="379"/>
      <c r="L883" s="387"/>
      <c r="M883" s="380" t="str">
        <f t="array" ref="M883">IF(L883="","",(MAX(IF(AN$15:AN$144=B883,AO$15:AO$144))/60))</f>
        <v/>
      </c>
      <c r="N883" s="387"/>
      <c r="O883" s="387"/>
      <c r="P883" s="381" t="str">
        <f t="shared" si="53"/>
        <v/>
      </c>
      <c r="Q883" s="382" t="str">
        <f t="array" ref="Q883">IFERROR(INDEX($D$13:$D$1000,MATCH(0,COUNTIF($Q$13:Q882,$D$13:$D$1000&amp;"")+IF($D$13:$D$1000="",1,0),0)),"")</f>
        <v/>
      </c>
      <c r="R883" s="356" t="str">
        <f t="shared" si="54"/>
        <v/>
      </c>
      <c r="S883" s="383" t="str">
        <f t="shared" si="56"/>
        <v/>
      </c>
      <c r="T883" s="384" t="str">
        <f t="shared" si="55"/>
        <v/>
      </c>
      <c r="V883" s="385"/>
      <c r="W883" s="385"/>
      <c r="X883" s="386"/>
    </row>
    <row r="884" spans="2:24">
      <c r="B884" s="395"/>
      <c r="C884" s="371"/>
      <c r="D884" s="372" t="str">
        <f>IFERROR(INDEX('[11]Equipment List'!$B$2:$B$2038,MATCH(E884,'[11]Equipment List'!$A$2:$A$2038,0)),"")</f>
        <v/>
      </c>
      <c r="E884" s="388"/>
      <c r="F884" s="374"/>
      <c r="G884" s="375"/>
      <c r="H884" s="397"/>
      <c r="I884" s="377"/>
      <c r="J884" s="378"/>
      <c r="K884" s="379"/>
      <c r="L884" s="387"/>
      <c r="M884" s="380" t="str">
        <f t="array" ref="M884">IF(L884="","",(MAX(IF(AN$15:AN$144=B884,AO$15:AO$144))/60))</f>
        <v/>
      </c>
      <c r="N884" s="387"/>
      <c r="O884" s="387"/>
      <c r="P884" s="381" t="str">
        <f t="shared" si="53"/>
        <v/>
      </c>
      <c r="Q884" s="382" t="str">
        <f t="array" ref="Q884">IFERROR(INDEX($D$13:$D$1000,MATCH(0,COUNTIF($Q$13:Q883,$D$13:$D$1000&amp;"")+IF($D$13:$D$1000="",1,0),0)),"")</f>
        <v/>
      </c>
      <c r="R884" s="356" t="str">
        <f t="shared" si="54"/>
        <v/>
      </c>
      <c r="S884" s="383" t="str">
        <f t="shared" si="56"/>
        <v/>
      </c>
      <c r="T884" s="384" t="str">
        <f t="shared" si="55"/>
        <v/>
      </c>
      <c r="V884" s="385"/>
      <c r="W884" s="385"/>
      <c r="X884" s="386"/>
    </row>
    <row r="885" spans="2:24">
      <c r="B885" s="395"/>
      <c r="C885" s="371"/>
      <c r="D885" s="372" t="str">
        <f>IFERROR(INDEX('[11]Equipment List'!$B$2:$B$2038,MATCH(E885,'[11]Equipment List'!$A$2:$A$2038,0)),"")</f>
        <v/>
      </c>
      <c r="E885" s="388"/>
      <c r="F885" s="374"/>
      <c r="G885" s="375"/>
      <c r="H885" s="397"/>
      <c r="I885" s="377"/>
      <c r="J885" s="378"/>
      <c r="K885" s="379"/>
      <c r="L885" s="387"/>
      <c r="M885" s="380" t="str">
        <f t="array" ref="M885">IF(L885="","",(MAX(IF(AN$15:AN$144=B885,AO$15:AO$144))/60))</f>
        <v/>
      </c>
      <c r="N885" s="387"/>
      <c r="O885" s="387"/>
      <c r="P885" s="381" t="str">
        <f t="shared" si="53"/>
        <v/>
      </c>
      <c r="Q885" s="382" t="str">
        <f t="array" ref="Q885">IFERROR(INDEX($D$13:$D$1000,MATCH(0,COUNTIF($Q$13:Q884,$D$13:$D$1000&amp;"")+IF($D$13:$D$1000="",1,0),0)),"")</f>
        <v/>
      </c>
      <c r="R885" s="356" t="str">
        <f t="shared" si="54"/>
        <v/>
      </c>
      <c r="S885" s="383" t="str">
        <f t="shared" si="56"/>
        <v/>
      </c>
      <c r="T885" s="384" t="str">
        <f t="shared" si="55"/>
        <v/>
      </c>
      <c r="V885" s="385"/>
      <c r="W885" s="385"/>
      <c r="X885" s="386"/>
    </row>
    <row r="886" spans="2:24">
      <c r="B886" s="395"/>
      <c r="C886" s="371"/>
      <c r="D886" s="372" t="str">
        <f>IFERROR(INDEX('[11]Equipment List'!$B$2:$B$2038,MATCH(E886,'[11]Equipment List'!$A$2:$A$2038,0)),"")</f>
        <v/>
      </c>
      <c r="E886" s="388"/>
      <c r="F886" s="374"/>
      <c r="G886" s="375"/>
      <c r="H886" s="397"/>
      <c r="I886" s="377"/>
      <c r="J886" s="378"/>
      <c r="K886" s="379"/>
      <c r="L886" s="387"/>
      <c r="M886" s="380" t="str">
        <f t="array" ref="M886">IF(L886="","",(MAX(IF(AN$15:AN$144=B886,AO$15:AO$144))/60))</f>
        <v/>
      </c>
      <c r="N886" s="387"/>
      <c r="O886" s="387"/>
      <c r="P886" s="381" t="str">
        <f t="shared" si="53"/>
        <v/>
      </c>
      <c r="Q886" s="382" t="str">
        <f t="array" ref="Q886">IFERROR(INDEX($D$13:$D$1000,MATCH(0,COUNTIF($Q$13:Q885,$D$13:$D$1000&amp;"")+IF($D$13:$D$1000="",1,0),0)),"")</f>
        <v/>
      </c>
      <c r="R886" s="356" t="str">
        <f t="shared" si="54"/>
        <v/>
      </c>
      <c r="S886" s="383" t="str">
        <f t="shared" si="56"/>
        <v/>
      </c>
      <c r="T886" s="384" t="str">
        <f t="shared" si="55"/>
        <v/>
      </c>
      <c r="V886" s="385"/>
      <c r="W886" s="385"/>
      <c r="X886" s="386"/>
    </row>
    <row r="887" spans="2:24">
      <c r="B887" s="395"/>
      <c r="C887" s="371"/>
      <c r="D887" s="372" t="str">
        <f>IFERROR(INDEX('[11]Equipment List'!$B$2:$B$2038,MATCH(E887,'[11]Equipment List'!$A$2:$A$2038,0)),"")</f>
        <v/>
      </c>
      <c r="E887" s="388"/>
      <c r="F887" s="374"/>
      <c r="G887" s="375"/>
      <c r="H887" s="397"/>
      <c r="I887" s="377"/>
      <c r="J887" s="378"/>
      <c r="K887" s="379"/>
      <c r="L887" s="387"/>
      <c r="M887" s="380" t="str">
        <f t="array" ref="M887">IF(L887="","",(MAX(IF(AN$15:AN$144=B887,AO$15:AO$144))/60))</f>
        <v/>
      </c>
      <c r="N887" s="387"/>
      <c r="O887" s="387"/>
      <c r="P887" s="381" t="str">
        <f t="shared" si="53"/>
        <v/>
      </c>
      <c r="Q887" s="382" t="str">
        <f t="array" ref="Q887">IFERROR(INDEX($D$13:$D$1000,MATCH(0,COUNTIF($Q$13:Q886,$D$13:$D$1000&amp;"")+IF($D$13:$D$1000="",1,0),0)),"")</f>
        <v/>
      </c>
      <c r="R887" s="356" t="str">
        <f t="shared" si="54"/>
        <v/>
      </c>
      <c r="S887" s="383" t="str">
        <f t="shared" si="56"/>
        <v/>
      </c>
      <c r="T887" s="384" t="str">
        <f t="shared" si="55"/>
        <v/>
      </c>
      <c r="V887" s="385"/>
      <c r="W887" s="385"/>
      <c r="X887" s="386"/>
    </row>
    <row r="888" spans="2:24">
      <c r="B888" s="395"/>
      <c r="C888" s="371"/>
      <c r="D888" s="372" t="str">
        <f>IFERROR(INDEX('[11]Equipment List'!$B$2:$B$2038,MATCH(E888,'[11]Equipment List'!$A$2:$A$2038,0)),"")</f>
        <v/>
      </c>
      <c r="E888" s="388"/>
      <c r="F888" s="374"/>
      <c r="G888" s="375"/>
      <c r="H888" s="397"/>
      <c r="I888" s="377"/>
      <c r="J888" s="378"/>
      <c r="K888" s="379"/>
      <c r="L888" s="387"/>
      <c r="M888" s="380" t="str">
        <f t="array" ref="M888">IF(L888="","",(MAX(IF(AN$15:AN$144=B888,AO$15:AO$144))/60))</f>
        <v/>
      </c>
      <c r="N888" s="387"/>
      <c r="O888" s="387"/>
      <c r="P888" s="381" t="str">
        <f t="shared" si="53"/>
        <v/>
      </c>
      <c r="Q888" s="382" t="str">
        <f t="array" ref="Q888">IFERROR(INDEX($D$13:$D$1000,MATCH(0,COUNTIF($Q$13:Q887,$D$13:$D$1000&amp;"")+IF($D$13:$D$1000="",1,0),0)),"")</f>
        <v/>
      </c>
      <c r="R888" s="356" t="str">
        <f t="shared" si="54"/>
        <v/>
      </c>
      <c r="S888" s="383" t="str">
        <f t="shared" si="56"/>
        <v/>
      </c>
      <c r="T888" s="384" t="str">
        <f t="shared" si="55"/>
        <v/>
      </c>
      <c r="V888" s="385"/>
      <c r="W888" s="385"/>
      <c r="X888" s="386"/>
    </row>
    <row r="889" spans="2:24">
      <c r="B889" s="395"/>
      <c r="C889" s="371"/>
      <c r="D889" s="372" t="str">
        <f>IFERROR(INDEX('[11]Equipment List'!$B$2:$B$2038,MATCH(E889,'[11]Equipment List'!$A$2:$A$2038,0)),"")</f>
        <v/>
      </c>
      <c r="E889" s="388"/>
      <c r="F889" s="374"/>
      <c r="G889" s="375"/>
      <c r="H889" s="397"/>
      <c r="I889" s="377"/>
      <c r="J889" s="378"/>
      <c r="K889" s="379"/>
      <c r="L889" s="387"/>
      <c r="M889" s="380" t="str">
        <f t="array" ref="M889">IF(L889="","",(MAX(IF(AN$15:AN$144=B889,AO$15:AO$144))/60))</f>
        <v/>
      </c>
      <c r="N889" s="387"/>
      <c r="O889" s="387"/>
      <c r="P889" s="381" t="str">
        <f t="shared" si="53"/>
        <v/>
      </c>
      <c r="Q889" s="382" t="str">
        <f t="array" ref="Q889">IFERROR(INDEX($D$13:$D$1000,MATCH(0,COUNTIF($Q$13:Q888,$D$13:$D$1000&amp;"")+IF($D$13:$D$1000="",1,0),0)),"")</f>
        <v/>
      </c>
      <c r="R889" s="356" t="str">
        <f t="shared" si="54"/>
        <v/>
      </c>
      <c r="S889" s="383" t="str">
        <f t="shared" si="56"/>
        <v/>
      </c>
      <c r="T889" s="384" t="str">
        <f t="shared" si="55"/>
        <v/>
      </c>
      <c r="V889" s="385"/>
      <c r="W889" s="385"/>
      <c r="X889" s="386"/>
    </row>
    <row r="890" spans="2:24">
      <c r="B890" s="395"/>
      <c r="C890" s="371"/>
      <c r="D890" s="372" t="str">
        <f>IFERROR(INDEX('[11]Equipment List'!$B$2:$B$2038,MATCH(E890,'[11]Equipment List'!$A$2:$A$2038,0)),"")</f>
        <v/>
      </c>
      <c r="E890" s="388"/>
      <c r="F890" s="374"/>
      <c r="G890" s="375"/>
      <c r="H890" s="397"/>
      <c r="I890" s="377"/>
      <c r="J890" s="378"/>
      <c r="K890" s="379"/>
      <c r="L890" s="387"/>
      <c r="M890" s="380" t="str">
        <f t="array" ref="M890">IF(L890="","",(MAX(IF(AN$15:AN$144=B890,AO$15:AO$144))/60))</f>
        <v/>
      </c>
      <c r="N890" s="387"/>
      <c r="O890" s="387"/>
      <c r="P890" s="381" t="str">
        <f t="shared" si="53"/>
        <v/>
      </c>
      <c r="Q890" s="382" t="str">
        <f t="array" ref="Q890">IFERROR(INDEX($D$13:$D$1000,MATCH(0,COUNTIF($Q$13:Q889,$D$13:$D$1000&amp;"")+IF($D$13:$D$1000="",1,0),0)),"")</f>
        <v/>
      </c>
      <c r="R890" s="356" t="str">
        <f t="shared" si="54"/>
        <v/>
      </c>
      <c r="S890" s="383" t="str">
        <f t="shared" si="56"/>
        <v/>
      </c>
      <c r="T890" s="384" t="str">
        <f t="shared" si="55"/>
        <v/>
      </c>
      <c r="V890" s="385"/>
      <c r="W890" s="385"/>
      <c r="X890" s="386"/>
    </row>
    <row r="891" spans="2:24">
      <c r="B891" s="395"/>
      <c r="C891" s="371"/>
      <c r="D891" s="372" t="str">
        <f>IFERROR(INDEX('[11]Equipment List'!$B$2:$B$2038,MATCH(E891,'[11]Equipment List'!$A$2:$A$2038,0)),"")</f>
        <v/>
      </c>
      <c r="E891" s="388"/>
      <c r="F891" s="374"/>
      <c r="G891" s="375"/>
      <c r="H891" s="397"/>
      <c r="I891" s="377"/>
      <c r="J891" s="378"/>
      <c r="K891" s="379"/>
      <c r="L891" s="387"/>
      <c r="M891" s="380" t="str">
        <f t="array" ref="M891">IF(L891="","",(MAX(IF(AN$15:AN$144=B891,AO$15:AO$144))/60))</f>
        <v/>
      </c>
      <c r="N891" s="387"/>
      <c r="O891" s="387"/>
      <c r="P891" s="381" t="str">
        <f t="shared" si="53"/>
        <v/>
      </c>
      <c r="Q891" s="382" t="str">
        <f t="array" ref="Q891">IFERROR(INDEX($D$13:$D$1000,MATCH(0,COUNTIF($Q$13:Q890,$D$13:$D$1000&amp;"")+IF($D$13:$D$1000="",1,0),0)),"")</f>
        <v/>
      </c>
      <c r="R891" s="356" t="str">
        <f t="shared" si="54"/>
        <v/>
      </c>
      <c r="S891" s="383" t="str">
        <f t="shared" si="56"/>
        <v/>
      </c>
      <c r="T891" s="384" t="str">
        <f t="shared" si="55"/>
        <v/>
      </c>
      <c r="V891" s="385"/>
      <c r="W891" s="385"/>
      <c r="X891" s="386"/>
    </row>
    <row r="892" spans="2:24">
      <c r="B892" s="395"/>
      <c r="C892" s="371"/>
      <c r="D892" s="372" t="str">
        <f>IFERROR(INDEX('[11]Equipment List'!$B$2:$B$2038,MATCH(E892,'[11]Equipment List'!$A$2:$A$2038,0)),"")</f>
        <v/>
      </c>
      <c r="E892" s="388"/>
      <c r="F892" s="374"/>
      <c r="G892" s="375"/>
      <c r="H892" s="397"/>
      <c r="I892" s="377"/>
      <c r="J892" s="378"/>
      <c r="K892" s="379"/>
      <c r="L892" s="387"/>
      <c r="M892" s="380" t="str">
        <f t="array" ref="M892">IF(L892="","",(MAX(IF(AN$15:AN$144=B892,AO$15:AO$144))/60))</f>
        <v/>
      </c>
      <c r="N892" s="387"/>
      <c r="O892" s="387"/>
      <c r="P892" s="381" t="str">
        <f t="shared" si="53"/>
        <v/>
      </c>
      <c r="Q892" s="382" t="str">
        <f t="array" ref="Q892">IFERROR(INDEX($D$13:$D$1000,MATCH(0,COUNTIF($Q$13:Q891,$D$13:$D$1000&amp;"")+IF($D$13:$D$1000="",1,0),0)),"")</f>
        <v/>
      </c>
      <c r="R892" s="356" t="str">
        <f t="shared" si="54"/>
        <v/>
      </c>
      <c r="S892" s="383" t="str">
        <f t="shared" si="56"/>
        <v/>
      </c>
      <c r="T892" s="384" t="str">
        <f t="shared" si="55"/>
        <v/>
      </c>
      <c r="V892" s="385"/>
      <c r="W892" s="385"/>
      <c r="X892" s="386"/>
    </row>
    <row r="893" spans="2:24">
      <c r="B893" s="395"/>
      <c r="C893" s="371"/>
      <c r="D893" s="372" t="str">
        <f>IFERROR(INDEX('[11]Equipment List'!$B$2:$B$2038,MATCH(E893,'[11]Equipment List'!$A$2:$A$2038,0)),"")</f>
        <v/>
      </c>
      <c r="E893" s="388"/>
      <c r="F893" s="374"/>
      <c r="G893" s="375"/>
      <c r="H893" s="397"/>
      <c r="I893" s="377"/>
      <c r="J893" s="378"/>
      <c r="K893" s="379"/>
      <c r="L893" s="387"/>
      <c r="M893" s="380" t="str">
        <f t="array" ref="M893">IF(L893="","",(MAX(IF(AN$15:AN$144=B893,AO$15:AO$144))/60))</f>
        <v/>
      </c>
      <c r="N893" s="387"/>
      <c r="O893" s="387"/>
      <c r="P893" s="381" t="str">
        <f t="shared" si="53"/>
        <v/>
      </c>
      <c r="Q893" s="382" t="str">
        <f t="array" ref="Q893">IFERROR(INDEX($D$13:$D$1000,MATCH(0,COUNTIF($Q$13:Q892,$D$13:$D$1000&amp;"")+IF($D$13:$D$1000="",1,0),0)),"")</f>
        <v/>
      </c>
      <c r="R893" s="356" t="str">
        <f t="shared" si="54"/>
        <v/>
      </c>
      <c r="S893" s="383" t="str">
        <f t="shared" si="56"/>
        <v/>
      </c>
      <c r="T893" s="384" t="str">
        <f t="shared" si="55"/>
        <v/>
      </c>
      <c r="V893" s="385"/>
      <c r="W893" s="385"/>
      <c r="X893" s="386"/>
    </row>
    <row r="894" spans="2:24">
      <c r="B894" s="395"/>
      <c r="C894" s="371"/>
      <c r="D894" s="372" t="str">
        <f>IFERROR(INDEX('[11]Equipment List'!$B$2:$B$2038,MATCH(E894,'[11]Equipment List'!$A$2:$A$2038,0)),"")</f>
        <v/>
      </c>
      <c r="E894" s="388"/>
      <c r="F894" s="374"/>
      <c r="G894" s="375"/>
      <c r="H894" s="397"/>
      <c r="I894" s="377"/>
      <c r="J894" s="378"/>
      <c r="K894" s="379"/>
      <c r="L894" s="387"/>
      <c r="M894" s="380" t="str">
        <f t="array" ref="M894">IF(L894="","",(MAX(IF(AN$15:AN$144=B894,AO$15:AO$144))/60))</f>
        <v/>
      </c>
      <c r="N894" s="387"/>
      <c r="O894" s="387"/>
      <c r="P894" s="381" t="str">
        <f t="shared" si="53"/>
        <v/>
      </c>
      <c r="Q894" s="382" t="str">
        <f t="array" ref="Q894">IFERROR(INDEX($D$13:$D$1000,MATCH(0,COUNTIF($Q$13:Q893,$D$13:$D$1000&amp;"")+IF($D$13:$D$1000="",1,0),0)),"")</f>
        <v/>
      </c>
      <c r="R894" s="356" t="str">
        <f t="shared" si="54"/>
        <v/>
      </c>
      <c r="S894" s="383" t="str">
        <f t="shared" si="56"/>
        <v/>
      </c>
      <c r="T894" s="384" t="str">
        <f t="shared" si="55"/>
        <v/>
      </c>
      <c r="V894" s="385"/>
      <c r="W894" s="385"/>
      <c r="X894" s="386"/>
    </row>
    <row r="895" spans="2:24">
      <c r="B895" s="395"/>
      <c r="C895" s="371"/>
      <c r="D895" s="372" t="str">
        <f>IFERROR(INDEX('[11]Equipment List'!$B$2:$B$2038,MATCH(E895,'[11]Equipment List'!$A$2:$A$2038,0)),"")</f>
        <v/>
      </c>
      <c r="E895" s="388"/>
      <c r="F895" s="374"/>
      <c r="G895" s="375"/>
      <c r="H895" s="397"/>
      <c r="I895" s="377"/>
      <c r="J895" s="378"/>
      <c r="K895" s="379"/>
      <c r="L895" s="387"/>
      <c r="M895" s="380" t="str">
        <f t="array" ref="M895">IF(L895="","",(MAX(IF(AN$15:AN$144=B895,AO$15:AO$144))/60))</f>
        <v/>
      </c>
      <c r="N895" s="387"/>
      <c r="O895" s="387"/>
      <c r="P895" s="381" t="str">
        <f t="shared" si="53"/>
        <v/>
      </c>
      <c r="Q895" s="382" t="str">
        <f t="array" ref="Q895">IFERROR(INDEX($D$13:$D$1000,MATCH(0,COUNTIF($Q$13:Q894,$D$13:$D$1000&amp;"")+IF($D$13:$D$1000="",1,0),0)),"")</f>
        <v/>
      </c>
      <c r="R895" s="356" t="str">
        <f t="shared" si="54"/>
        <v/>
      </c>
      <c r="S895" s="383" t="str">
        <f t="shared" si="56"/>
        <v/>
      </c>
      <c r="T895" s="384" t="str">
        <f t="shared" si="55"/>
        <v/>
      </c>
      <c r="V895" s="385"/>
      <c r="W895" s="385"/>
      <c r="X895" s="386"/>
    </row>
    <row r="896" spans="2:24">
      <c r="B896" s="395"/>
      <c r="C896" s="371"/>
      <c r="D896" s="372" t="str">
        <f>IFERROR(INDEX('[11]Equipment List'!$B$2:$B$2038,MATCH(E896,'[11]Equipment List'!$A$2:$A$2038,0)),"")</f>
        <v/>
      </c>
      <c r="E896" s="388"/>
      <c r="F896" s="374"/>
      <c r="G896" s="375"/>
      <c r="H896" s="397"/>
      <c r="I896" s="377"/>
      <c r="J896" s="378"/>
      <c r="K896" s="379"/>
      <c r="L896" s="387"/>
      <c r="M896" s="380" t="str">
        <f t="array" ref="M896">IF(L896="","",(MAX(IF(AN$15:AN$144=B896,AO$15:AO$144))/60))</f>
        <v/>
      </c>
      <c r="N896" s="387"/>
      <c r="O896" s="387"/>
      <c r="P896" s="381" t="str">
        <f t="shared" si="53"/>
        <v/>
      </c>
      <c r="Q896" s="382" t="str">
        <f t="array" ref="Q896">IFERROR(INDEX($D$13:$D$1000,MATCH(0,COUNTIF($Q$13:Q895,$D$13:$D$1000&amp;"")+IF($D$13:$D$1000="",1,0),0)),"")</f>
        <v/>
      </c>
      <c r="R896" s="356" t="str">
        <f t="shared" si="54"/>
        <v/>
      </c>
      <c r="S896" s="383" t="str">
        <f t="shared" si="56"/>
        <v/>
      </c>
      <c r="T896" s="384" t="str">
        <f t="shared" si="55"/>
        <v/>
      </c>
      <c r="V896" s="385"/>
      <c r="W896" s="385"/>
      <c r="X896" s="386"/>
    </row>
    <row r="897" spans="2:24">
      <c r="B897" s="395"/>
      <c r="C897" s="371"/>
      <c r="D897" s="372" t="str">
        <f>IFERROR(INDEX('[11]Equipment List'!$B$2:$B$2038,MATCH(E897,'[11]Equipment List'!$A$2:$A$2038,0)),"")</f>
        <v/>
      </c>
      <c r="E897" s="388"/>
      <c r="F897" s="374"/>
      <c r="G897" s="375"/>
      <c r="H897" s="397"/>
      <c r="I897" s="377"/>
      <c r="J897" s="378"/>
      <c r="K897" s="379"/>
      <c r="L897" s="387"/>
      <c r="M897" s="380" t="str">
        <f t="array" ref="M897">IF(L897="","",(MAX(IF(AN$15:AN$144=B897,AO$15:AO$144))/60))</f>
        <v/>
      </c>
      <c r="N897" s="387"/>
      <c r="O897" s="387"/>
      <c r="P897" s="381" t="str">
        <f t="shared" si="53"/>
        <v/>
      </c>
      <c r="Q897" s="382" t="str">
        <f t="array" ref="Q897">IFERROR(INDEX($D$13:$D$1000,MATCH(0,COUNTIF($Q$13:Q896,$D$13:$D$1000&amp;"")+IF($D$13:$D$1000="",1,0),0)),"")</f>
        <v/>
      </c>
      <c r="R897" s="356" t="str">
        <f t="shared" si="54"/>
        <v/>
      </c>
      <c r="S897" s="383" t="str">
        <f t="shared" si="56"/>
        <v/>
      </c>
      <c r="T897" s="384" t="str">
        <f t="shared" si="55"/>
        <v/>
      </c>
      <c r="V897" s="385"/>
      <c r="W897" s="385"/>
      <c r="X897" s="386"/>
    </row>
    <row r="898" spans="2:24">
      <c r="B898" s="395"/>
      <c r="C898" s="371"/>
      <c r="D898" s="372" t="str">
        <f>IFERROR(INDEX('[11]Equipment List'!$B$2:$B$2038,MATCH(E898,'[11]Equipment List'!$A$2:$A$2038,0)),"")</f>
        <v/>
      </c>
      <c r="E898" s="388"/>
      <c r="F898" s="374"/>
      <c r="G898" s="375"/>
      <c r="H898" s="397"/>
      <c r="I898" s="377"/>
      <c r="J898" s="378"/>
      <c r="K898" s="379"/>
      <c r="L898" s="387"/>
      <c r="M898" s="380" t="str">
        <f t="array" ref="M898">IF(L898="","",(MAX(IF(AN$15:AN$144=B898,AO$15:AO$144))/60))</f>
        <v/>
      </c>
      <c r="N898" s="387"/>
      <c r="O898" s="387"/>
      <c r="P898" s="381" t="str">
        <f t="shared" si="53"/>
        <v/>
      </c>
      <c r="Q898" s="382" t="str">
        <f t="array" ref="Q898">IFERROR(INDEX($D$13:$D$1000,MATCH(0,COUNTIF($Q$13:Q897,$D$13:$D$1000&amp;"")+IF($D$13:$D$1000="",1,0),0)),"")</f>
        <v/>
      </c>
      <c r="R898" s="356" t="str">
        <f t="shared" si="54"/>
        <v/>
      </c>
      <c r="S898" s="383" t="str">
        <f t="shared" si="56"/>
        <v/>
      </c>
      <c r="T898" s="384" t="str">
        <f t="shared" si="55"/>
        <v/>
      </c>
      <c r="V898" s="385"/>
      <c r="W898" s="385"/>
      <c r="X898" s="386"/>
    </row>
    <row r="899" spans="2:24">
      <c r="B899" s="395"/>
      <c r="C899" s="371"/>
      <c r="D899" s="372" t="str">
        <f>IFERROR(INDEX('[11]Equipment List'!$B$2:$B$2038,MATCH(E899,'[11]Equipment List'!$A$2:$A$2038,0)),"")</f>
        <v/>
      </c>
      <c r="E899" s="388"/>
      <c r="F899" s="374"/>
      <c r="G899" s="375"/>
      <c r="H899" s="397"/>
      <c r="I899" s="377"/>
      <c r="J899" s="378"/>
      <c r="K899" s="379"/>
      <c r="L899" s="387"/>
      <c r="M899" s="380" t="str">
        <f t="array" ref="M899">IF(L899="","",(MAX(IF(AN$15:AN$144=B899,AO$15:AO$144))/60))</f>
        <v/>
      </c>
      <c r="N899" s="387"/>
      <c r="O899" s="387"/>
      <c r="P899" s="381" t="str">
        <f t="shared" si="53"/>
        <v/>
      </c>
      <c r="Q899" s="382" t="str">
        <f t="array" ref="Q899">IFERROR(INDEX($D$13:$D$1000,MATCH(0,COUNTIF($Q$13:Q898,$D$13:$D$1000&amp;"")+IF($D$13:$D$1000="",1,0),0)),"")</f>
        <v/>
      </c>
      <c r="R899" s="356" t="str">
        <f t="shared" si="54"/>
        <v/>
      </c>
      <c r="S899" s="383" t="str">
        <f t="shared" si="56"/>
        <v/>
      </c>
      <c r="T899" s="384" t="str">
        <f t="shared" si="55"/>
        <v/>
      </c>
      <c r="V899" s="385"/>
      <c r="W899" s="385"/>
      <c r="X899" s="386"/>
    </row>
    <row r="900" spans="2:24">
      <c r="B900" s="395"/>
      <c r="C900" s="371"/>
      <c r="D900" s="372" t="str">
        <f>IFERROR(INDEX('[11]Equipment List'!$B$2:$B$2038,MATCH(E900,'[11]Equipment List'!$A$2:$A$2038,0)),"")</f>
        <v/>
      </c>
      <c r="E900" s="388"/>
      <c r="F900" s="374"/>
      <c r="G900" s="375"/>
      <c r="H900" s="397"/>
      <c r="I900" s="377"/>
      <c r="J900" s="378"/>
      <c r="K900" s="379"/>
      <c r="L900" s="387"/>
      <c r="M900" s="380" t="str">
        <f t="array" ref="M900">IF(L900="","",(MAX(IF(AN$15:AN$144=B900,AO$15:AO$144))/60))</f>
        <v/>
      </c>
      <c r="N900" s="387"/>
      <c r="O900" s="387"/>
      <c r="P900" s="381" t="str">
        <f t="shared" si="53"/>
        <v/>
      </c>
      <c r="Q900" s="382" t="str">
        <f t="array" ref="Q900">IFERROR(INDEX($D$13:$D$1000,MATCH(0,COUNTIF($Q$13:Q899,$D$13:$D$1000&amp;"")+IF($D$13:$D$1000="",1,0),0)),"")</f>
        <v/>
      </c>
      <c r="R900" s="356" t="str">
        <f t="shared" si="54"/>
        <v/>
      </c>
      <c r="S900" s="383" t="str">
        <f t="shared" si="56"/>
        <v/>
      </c>
      <c r="T900" s="384" t="str">
        <f t="shared" si="55"/>
        <v/>
      </c>
      <c r="V900" s="385"/>
      <c r="W900" s="385"/>
      <c r="X900" s="386"/>
    </row>
    <row r="901" spans="2:24">
      <c r="B901" s="395"/>
      <c r="C901" s="371"/>
      <c r="D901" s="372" t="str">
        <f>IFERROR(INDEX('[11]Equipment List'!$B$2:$B$2038,MATCH(E901,'[11]Equipment List'!$A$2:$A$2038,0)),"")</f>
        <v/>
      </c>
      <c r="E901" s="388"/>
      <c r="F901" s="374"/>
      <c r="G901" s="375"/>
      <c r="H901" s="397"/>
      <c r="I901" s="377"/>
      <c r="J901" s="378"/>
      <c r="K901" s="379"/>
      <c r="L901" s="387"/>
      <c r="M901" s="380" t="str">
        <f t="array" ref="M901">IF(L901="","",(MAX(IF(AN$15:AN$144=B901,AO$15:AO$144))/60))</f>
        <v/>
      </c>
      <c r="N901" s="387"/>
      <c r="O901" s="387"/>
      <c r="P901" s="381" t="str">
        <f t="shared" si="53"/>
        <v/>
      </c>
      <c r="Q901" s="382" t="str">
        <f t="array" ref="Q901">IFERROR(INDEX($D$13:$D$1000,MATCH(0,COUNTIF($Q$13:Q900,$D$13:$D$1000&amp;"")+IF($D$13:$D$1000="",1,0),0)),"")</f>
        <v/>
      </c>
      <c r="R901" s="356" t="str">
        <f t="shared" si="54"/>
        <v/>
      </c>
      <c r="S901" s="383" t="str">
        <f t="shared" si="56"/>
        <v/>
      </c>
      <c r="T901" s="384" t="str">
        <f t="shared" si="55"/>
        <v/>
      </c>
      <c r="V901" s="385"/>
      <c r="W901" s="385"/>
      <c r="X901" s="386"/>
    </row>
    <row r="902" spans="2:24">
      <c r="B902" s="395"/>
      <c r="C902" s="371"/>
      <c r="D902" s="372" t="str">
        <f>IFERROR(INDEX('[11]Equipment List'!$B$2:$B$2038,MATCH(E902,'[11]Equipment List'!$A$2:$A$2038,0)),"")</f>
        <v/>
      </c>
      <c r="E902" s="388"/>
      <c r="F902" s="374"/>
      <c r="G902" s="375"/>
      <c r="H902" s="397"/>
      <c r="I902" s="377"/>
      <c r="J902" s="378"/>
      <c r="K902" s="379"/>
      <c r="L902" s="387"/>
      <c r="M902" s="380" t="str">
        <f t="array" ref="M902">IF(L902="","",(MAX(IF(AN$15:AN$144=B902,AO$15:AO$144))/60))</f>
        <v/>
      </c>
      <c r="N902" s="387"/>
      <c r="O902" s="387"/>
      <c r="P902" s="381" t="str">
        <f t="shared" si="53"/>
        <v/>
      </c>
      <c r="Q902" s="382" t="str">
        <f t="array" ref="Q902">IFERROR(INDEX($D$13:$D$1000,MATCH(0,COUNTIF($Q$13:Q901,$D$13:$D$1000&amp;"")+IF($D$13:$D$1000="",1,0),0)),"")</f>
        <v/>
      </c>
      <c r="R902" s="356" t="str">
        <f t="shared" si="54"/>
        <v/>
      </c>
      <c r="S902" s="383" t="str">
        <f t="shared" si="56"/>
        <v/>
      </c>
      <c r="T902" s="384" t="str">
        <f t="shared" si="55"/>
        <v/>
      </c>
      <c r="V902" s="385"/>
      <c r="W902" s="385"/>
      <c r="X902" s="386"/>
    </row>
    <row r="903" spans="2:24">
      <c r="B903" s="395"/>
      <c r="C903" s="371"/>
      <c r="D903" s="372" t="str">
        <f>IFERROR(INDEX('[11]Equipment List'!$B$2:$B$2038,MATCH(E903,'[11]Equipment List'!$A$2:$A$2038,0)),"")</f>
        <v/>
      </c>
      <c r="E903" s="388"/>
      <c r="F903" s="374"/>
      <c r="G903" s="375"/>
      <c r="H903" s="397"/>
      <c r="I903" s="377"/>
      <c r="J903" s="378"/>
      <c r="K903" s="379"/>
      <c r="L903" s="387"/>
      <c r="M903" s="380" t="str">
        <f t="array" ref="M903">IF(L903="","",(MAX(IF(AN$15:AN$144=B903,AO$15:AO$144))/60))</f>
        <v/>
      </c>
      <c r="N903" s="387"/>
      <c r="O903" s="387"/>
      <c r="P903" s="381" t="str">
        <f t="shared" si="53"/>
        <v/>
      </c>
      <c r="Q903" s="382" t="str">
        <f t="array" ref="Q903">IFERROR(INDEX($D$13:$D$1000,MATCH(0,COUNTIF($Q$13:Q902,$D$13:$D$1000&amp;"")+IF($D$13:$D$1000="",1,0),0)),"")</f>
        <v/>
      </c>
      <c r="R903" s="356" t="str">
        <f t="shared" si="54"/>
        <v/>
      </c>
      <c r="S903" s="383" t="str">
        <f t="shared" si="56"/>
        <v/>
      </c>
      <c r="T903" s="384" t="str">
        <f t="shared" si="55"/>
        <v/>
      </c>
      <c r="V903" s="385"/>
      <c r="W903" s="385"/>
      <c r="X903" s="386"/>
    </row>
    <row r="904" spans="2:24">
      <c r="B904" s="395"/>
      <c r="C904" s="371"/>
      <c r="D904" s="372" t="str">
        <f>IFERROR(INDEX('[11]Equipment List'!$B$2:$B$2038,MATCH(E904,'[11]Equipment List'!$A$2:$A$2038,0)),"")</f>
        <v/>
      </c>
      <c r="E904" s="388"/>
      <c r="F904" s="374"/>
      <c r="G904" s="375"/>
      <c r="H904" s="397"/>
      <c r="I904" s="377"/>
      <c r="J904" s="378"/>
      <c r="K904" s="379"/>
      <c r="L904" s="387"/>
      <c r="M904" s="380" t="str">
        <f t="array" ref="M904">IF(L904="","",(MAX(IF(AN$15:AN$144=B904,AO$15:AO$144))/60))</f>
        <v/>
      </c>
      <c r="N904" s="387"/>
      <c r="O904" s="387"/>
      <c r="P904" s="381" t="str">
        <f t="shared" si="53"/>
        <v/>
      </c>
      <c r="Q904" s="382" t="str">
        <f t="array" ref="Q904">IFERROR(INDEX($D$13:$D$1000,MATCH(0,COUNTIF($Q$13:Q903,$D$13:$D$1000&amp;"")+IF($D$13:$D$1000="",1,0),0)),"")</f>
        <v/>
      </c>
      <c r="R904" s="356" t="str">
        <f t="shared" si="54"/>
        <v/>
      </c>
      <c r="S904" s="383" t="str">
        <f t="shared" si="56"/>
        <v/>
      </c>
      <c r="T904" s="384" t="str">
        <f t="shared" si="55"/>
        <v/>
      </c>
      <c r="V904" s="385"/>
      <c r="W904" s="385"/>
      <c r="X904" s="386"/>
    </row>
    <row r="905" spans="2:24">
      <c r="B905" s="395"/>
      <c r="C905" s="371"/>
      <c r="D905" s="372" t="str">
        <f>IFERROR(INDEX('[11]Equipment List'!$B$2:$B$2038,MATCH(E905,'[11]Equipment List'!$A$2:$A$2038,0)),"")</f>
        <v/>
      </c>
      <c r="E905" s="388"/>
      <c r="F905" s="374"/>
      <c r="G905" s="375"/>
      <c r="H905" s="397"/>
      <c r="I905" s="377"/>
      <c r="J905" s="378"/>
      <c r="K905" s="379"/>
      <c r="L905" s="387"/>
      <c r="M905" s="380" t="str">
        <f t="array" ref="M905">IF(L905="","",(MAX(IF(AN$15:AN$144=B905,AO$15:AO$144))/60))</f>
        <v/>
      </c>
      <c r="N905" s="387"/>
      <c r="O905" s="387"/>
      <c r="P905" s="381" t="str">
        <f t="shared" si="53"/>
        <v/>
      </c>
      <c r="Q905" s="382" t="str">
        <f t="array" ref="Q905">IFERROR(INDEX($D$13:$D$1000,MATCH(0,COUNTIF($Q$13:Q904,$D$13:$D$1000&amp;"")+IF($D$13:$D$1000="",1,0),0)),"")</f>
        <v/>
      </c>
      <c r="R905" s="356" t="str">
        <f t="shared" si="54"/>
        <v/>
      </c>
      <c r="S905" s="383" t="str">
        <f t="shared" si="56"/>
        <v/>
      </c>
      <c r="T905" s="384" t="str">
        <f t="shared" si="55"/>
        <v/>
      </c>
      <c r="V905" s="385"/>
      <c r="W905" s="385"/>
      <c r="X905" s="386"/>
    </row>
    <row r="906" spans="2:24">
      <c r="B906" s="395"/>
      <c r="C906" s="371"/>
      <c r="D906" s="372" t="str">
        <f>IFERROR(INDEX('[11]Equipment List'!$B$2:$B$2038,MATCH(E906,'[11]Equipment List'!$A$2:$A$2038,0)),"")</f>
        <v/>
      </c>
      <c r="E906" s="388"/>
      <c r="F906" s="374"/>
      <c r="G906" s="375"/>
      <c r="H906" s="397"/>
      <c r="I906" s="377"/>
      <c r="J906" s="378"/>
      <c r="K906" s="379"/>
      <c r="L906" s="387"/>
      <c r="M906" s="380" t="str">
        <f t="array" ref="M906">IF(L906="","",(MAX(IF(AN$15:AN$144=B906,AO$15:AO$144))/60))</f>
        <v/>
      </c>
      <c r="N906" s="387"/>
      <c r="O906" s="387"/>
      <c r="P906" s="381" t="str">
        <f t="shared" si="53"/>
        <v/>
      </c>
      <c r="Q906" s="382" t="str">
        <f t="array" ref="Q906">IFERROR(INDEX($D$13:$D$1000,MATCH(0,COUNTIF($Q$13:Q905,$D$13:$D$1000&amp;"")+IF($D$13:$D$1000="",1,0),0)),"")</f>
        <v/>
      </c>
      <c r="R906" s="356" t="str">
        <f t="shared" si="54"/>
        <v/>
      </c>
      <c r="S906" s="383" t="str">
        <f t="shared" si="56"/>
        <v/>
      </c>
      <c r="T906" s="384" t="str">
        <f t="shared" si="55"/>
        <v/>
      </c>
      <c r="V906" s="385"/>
      <c r="W906" s="385"/>
      <c r="X906" s="386"/>
    </row>
    <row r="907" spans="2:24">
      <c r="B907" s="395"/>
      <c r="C907" s="371"/>
      <c r="D907" s="372" t="str">
        <f>IFERROR(INDEX('[11]Equipment List'!$B$2:$B$2038,MATCH(E907,'[11]Equipment List'!$A$2:$A$2038,0)),"")</f>
        <v/>
      </c>
      <c r="E907" s="388"/>
      <c r="F907" s="374"/>
      <c r="G907" s="375"/>
      <c r="H907" s="397"/>
      <c r="I907" s="377"/>
      <c r="J907" s="378"/>
      <c r="K907" s="379"/>
      <c r="L907" s="387"/>
      <c r="M907" s="380" t="str">
        <f t="array" ref="M907">IF(L907="","",(MAX(IF(AN$15:AN$144=B907,AO$15:AO$144))/60))</f>
        <v/>
      </c>
      <c r="N907" s="387"/>
      <c r="O907" s="387"/>
      <c r="P907" s="381" t="str">
        <f t="shared" si="53"/>
        <v/>
      </c>
      <c r="Q907" s="382" t="str">
        <f t="array" ref="Q907">IFERROR(INDEX($D$13:$D$1000,MATCH(0,COUNTIF($Q$13:Q906,$D$13:$D$1000&amp;"")+IF($D$13:$D$1000="",1,0),0)),"")</f>
        <v/>
      </c>
      <c r="R907" s="356" t="str">
        <f t="shared" si="54"/>
        <v/>
      </c>
      <c r="S907" s="383" t="str">
        <f t="shared" si="56"/>
        <v/>
      </c>
      <c r="T907" s="384" t="str">
        <f t="shared" si="55"/>
        <v/>
      </c>
      <c r="V907" s="385"/>
      <c r="W907" s="385"/>
      <c r="X907" s="386"/>
    </row>
    <row r="908" spans="2:24">
      <c r="B908" s="395"/>
      <c r="C908" s="371"/>
      <c r="D908" s="372" t="str">
        <f>IFERROR(INDEX('[11]Equipment List'!$B$2:$B$2038,MATCH(E908,'[11]Equipment List'!$A$2:$A$2038,0)),"")</f>
        <v/>
      </c>
      <c r="E908" s="388"/>
      <c r="F908" s="374"/>
      <c r="G908" s="375"/>
      <c r="H908" s="397"/>
      <c r="I908" s="377"/>
      <c r="J908" s="378"/>
      <c r="K908" s="379"/>
      <c r="L908" s="387"/>
      <c r="M908" s="380" t="str">
        <f t="array" ref="M908">IF(L908="","",(MAX(IF(AN$15:AN$144=B908,AO$15:AO$144))/60))</f>
        <v/>
      </c>
      <c r="N908" s="387"/>
      <c r="O908" s="387"/>
      <c r="P908" s="381" t="str">
        <f t="shared" ref="P908:P971" si="57">IFERROR((((K908/5/250/$F$8)+(N908*$F$9))/$S$4)*(M908/60),"")</f>
        <v/>
      </c>
      <c r="Q908" s="382" t="str">
        <f t="array" ref="Q908">IFERROR(INDEX($D$13:$D$1000,MATCH(0,COUNTIF($Q$13:Q907,$D$13:$D$1000&amp;"")+IF($D$13:$D$1000="",1,0),0)),"")</f>
        <v/>
      </c>
      <c r="R908" s="356" t="str">
        <f t="shared" si="54"/>
        <v/>
      </c>
      <c r="S908" s="383" t="str">
        <f t="shared" si="56"/>
        <v/>
      </c>
      <c r="T908" s="384" t="str">
        <f t="shared" si="55"/>
        <v/>
      </c>
      <c r="V908" s="385"/>
      <c r="W908" s="385"/>
      <c r="X908" s="386"/>
    </row>
    <row r="909" spans="2:24">
      <c r="B909" s="395"/>
      <c r="C909" s="371"/>
      <c r="D909" s="372" t="str">
        <f>IFERROR(INDEX('[11]Equipment List'!$B$2:$B$2038,MATCH(E909,'[11]Equipment List'!$A$2:$A$2038,0)),"")</f>
        <v/>
      </c>
      <c r="E909" s="388"/>
      <c r="F909" s="374"/>
      <c r="G909" s="375"/>
      <c r="H909" s="397"/>
      <c r="I909" s="377"/>
      <c r="J909" s="378"/>
      <c r="K909" s="379"/>
      <c r="L909" s="387"/>
      <c r="M909" s="380" t="str">
        <f t="array" ref="M909">IF(L909="","",(MAX(IF(AN$15:AN$144=B909,AO$15:AO$144))/60))</f>
        <v/>
      </c>
      <c r="N909" s="387"/>
      <c r="O909" s="387"/>
      <c r="P909" s="381" t="str">
        <f t="shared" si="57"/>
        <v/>
      </c>
      <c r="Q909" s="382" t="str">
        <f t="array" ref="Q909">IFERROR(INDEX($D$13:$D$1000,MATCH(0,COUNTIF($Q$13:Q908,$D$13:$D$1000&amp;"")+IF($D$13:$D$1000="",1,0),0)),"")</f>
        <v/>
      </c>
      <c r="R909" s="356" t="str">
        <f t="shared" ref="R909:R972" si="58">IF(Q909="","",COUNTIF($D$13:$D$1000,$Q909))</f>
        <v/>
      </c>
      <c r="S909" s="383" t="str">
        <f t="shared" si="56"/>
        <v/>
      </c>
      <c r="T909" s="384" t="str">
        <f t="shared" ref="T909:T972" si="59">IF($Q909="","",SUMIF($D$13:$D$1000,$Q909,N$13:N$1000))</f>
        <v/>
      </c>
      <c r="V909" s="385"/>
      <c r="W909" s="385"/>
      <c r="X909" s="386"/>
    </row>
    <row r="910" spans="2:24">
      <c r="B910" s="395"/>
      <c r="C910" s="371"/>
      <c r="D910" s="372" t="str">
        <f>IFERROR(INDEX('[11]Equipment List'!$B$2:$B$2038,MATCH(E910,'[11]Equipment List'!$A$2:$A$2038,0)),"")</f>
        <v/>
      </c>
      <c r="E910" s="388"/>
      <c r="F910" s="374"/>
      <c r="G910" s="375"/>
      <c r="H910" s="397"/>
      <c r="I910" s="377"/>
      <c r="J910" s="378"/>
      <c r="K910" s="379"/>
      <c r="L910" s="387"/>
      <c r="M910" s="380" t="str">
        <f t="array" ref="M910">IF(L910="","",(MAX(IF(AN$15:AN$144=B910,AO$15:AO$144))/60))</f>
        <v/>
      </c>
      <c r="N910" s="387"/>
      <c r="O910" s="387"/>
      <c r="P910" s="381" t="str">
        <f t="shared" si="57"/>
        <v/>
      </c>
      <c r="Q910" s="382" t="str">
        <f t="array" ref="Q910">IFERROR(INDEX($D$13:$D$1000,MATCH(0,COUNTIF($Q$13:Q909,$D$13:$D$1000&amp;"")+IF($D$13:$D$1000="",1,0),0)),"")</f>
        <v/>
      </c>
      <c r="R910" s="356" t="str">
        <f t="shared" si="58"/>
        <v/>
      </c>
      <c r="S910" s="383" t="str">
        <f t="shared" si="56"/>
        <v/>
      </c>
      <c r="T910" s="384" t="str">
        <f t="shared" si="59"/>
        <v/>
      </c>
      <c r="V910" s="385"/>
      <c r="W910" s="385"/>
      <c r="X910" s="386"/>
    </row>
    <row r="911" spans="2:24">
      <c r="B911" s="395"/>
      <c r="C911" s="371"/>
      <c r="D911" s="372" t="str">
        <f>IFERROR(INDEX('[11]Equipment List'!$B$2:$B$2038,MATCH(E911,'[11]Equipment List'!$A$2:$A$2038,0)),"")</f>
        <v/>
      </c>
      <c r="E911" s="388"/>
      <c r="F911" s="374"/>
      <c r="G911" s="375"/>
      <c r="H911" s="397"/>
      <c r="I911" s="377"/>
      <c r="J911" s="378"/>
      <c r="K911" s="379"/>
      <c r="L911" s="387"/>
      <c r="M911" s="380" t="str">
        <f t="array" ref="M911">IF(L911="","",(MAX(IF(AN$15:AN$144=B911,AO$15:AO$144))/60))</f>
        <v/>
      </c>
      <c r="N911" s="387"/>
      <c r="O911" s="387"/>
      <c r="P911" s="381" t="str">
        <f t="shared" si="57"/>
        <v/>
      </c>
      <c r="Q911" s="382" t="str">
        <f t="array" ref="Q911">IFERROR(INDEX($D$13:$D$1000,MATCH(0,COUNTIF($Q$13:Q910,$D$13:$D$1000&amp;"")+IF($D$13:$D$1000="",1,0),0)),"")</f>
        <v/>
      </c>
      <c r="R911" s="356" t="str">
        <f t="shared" si="58"/>
        <v/>
      </c>
      <c r="S911" s="383" t="str">
        <f t="shared" si="56"/>
        <v/>
      </c>
      <c r="T911" s="384" t="str">
        <f t="shared" si="59"/>
        <v/>
      </c>
      <c r="V911" s="385"/>
      <c r="W911" s="385"/>
      <c r="X911" s="386"/>
    </row>
    <row r="912" spans="2:24">
      <c r="B912" s="395"/>
      <c r="C912" s="371"/>
      <c r="D912" s="372" t="str">
        <f>IFERROR(INDEX('[11]Equipment List'!$B$2:$B$2038,MATCH(E912,'[11]Equipment List'!$A$2:$A$2038,0)),"")</f>
        <v/>
      </c>
      <c r="E912" s="388"/>
      <c r="F912" s="374"/>
      <c r="G912" s="375"/>
      <c r="H912" s="397"/>
      <c r="I912" s="377"/>
      <c r="J912" s="378"/>
      <c r="K912" s="379"/>
      <c r="L912" s="387"/>
      <c r="M912" s="380" t="str">
        <f t="array" ref="M912">IF(L912="","",(MAX(IF(AN$15:AN$144=B912,AO$15:AO$144))/60))</f>
        <v/>
      </c>
      <c r="N912" s="387"/>
      <c r="O912" s="387"/>
      <c r="P912" s="381" t="str">
        <f t="shared" si="57"/>
        <v/>
      </c>
      <c r="Q912" s="382" t="str">
        <f t="array" ref="Q912">IFERROR(INDEX($D$13:$D$1000,MATCH(0,COUNTIF($Q$13:Q911,$D$13:$D$1000&amp;"")+IF($D$13:$D$1000="",1,0),0)),"")</f>
        <v/>
      </c>
      <c r="R912" s="356" t="str">
        <f t="shared" si="58"/>
        <v/>
      </c>
      <c r="S912" s="383" t="str">
        <f t="shared" si="56"/>
        <v/>
      </c>
      <c r="T912" s="384" t="str">
        <f t="shared" si="59"/>
        <v/>
      </c>
      <c r="V912" s="385"/>
      <c r="W912" s="385"/>
      <c r="X912" s="386"/>
    </row>
    <row r="913" spans="2:24">
      <c r="B913" s="395"/>
      <c r="C913" s="371"/>
      <c r="D913" s="372" t="str">
        <f>IFERROR(INDEX('[11]Equipment List'!$B$2:$B$2038,MATCH(E913,'[11]Equipment List'!$A$2:$A$2038,0)),"")</f>
        <v/>
      </c>
      <c r="E913" s="388"/>
      <c r="F913" s="374"/>
      <c r="G913" s="375"/>
      <c r="H913" s="397"/>
      <c r="I913" s="377"/>
      <c r="J913" s="378"/>
      <c r="K913" s="379"/>
      <c r="L913" s="387"/>
      <c r="M913" s="380" t="str">
        <f t="array" ref="M913">IF(L913="","",(MAX(IF(AN$15:AN$144=B913,AO$15:AO$144))/60))</f>
        <v/>
      </c>
      <c r="N913" s="387"/>
      <c r="O913" s="387"/>
      <c r="P913" s="381" t="str">
        <f t="shared" si="57"/>
        <v/>
      </c>
      <c r="Q913" s="382" t="str">
        <f t="array" ref="Q913">IFERROR(INDEX($D$13:$D$1000,MATCH(0,COUNTIF($Q$13:Q912,$D$13:$D$1000&amp;"")+IF($D$13:$D$1000="",1,0),0)),"")</f>
        <v/>
      </c>
      <c r="R913" s="356" t="str">
        <f t="shared" si="58"/>
        <v/>
      </c>
      <c r="S913" s="383" t="str">
        <f t="shared" si="56"/>
        <v/>
      </c>
      <c r="T913" s="384" t="str">
        <f t="shared" si="59"/>
        <v/>
      </c>
      <c r="V913" s="385"/>
      <c r="W913" s="385"/>
      <c r="X913" s="386"/>
    </row>
    <row r="914" spans="2:24">
      <c r="B914" s="395"/>
      <c r="C914" s="371"/>
      <c r="D914" s="372" t="str">
        <f>IFERROR(INDEX('[11]Equipment List'!$B$2:$B$2038,MATCH(E914,'[11]Equipment List'!$A$2:$A$2038,0)),"")</f>
        <v/>
      </c>
      <c r="E914" s="388"/>
      <c r="F914" s="374"/>
      <c r="G914" s="375"/>
      <c r="H914" s="397"/>
      <c r="I914" s="377"/>
      <c r="J914" s="378"/>
      <c r="K914" s="379"/>
      <c r="L914" s="387"/>
      <c r="M914" s="380" t="str">
        <f t="array" ref="M914">IF(L914="","",(MAX(IF(AN$15:AN$144=B914,AO$15:AO$144))/60))</f>
        <v/>
      </c>
      <c r="N914" s="387"/>
      <c r="O914" s="387"/>
      <c r="P914" s="381" t="str">
        <f t="shared" si="57"/>
        <v/>
      </c>
      <c r="Q914" s="382" t="str">
        <f t="array" ref="Q914">IFERROR(INDEX($D$13:$D$1000,MATCH(0,COUNTIF($Q$13:Q913,$D$13:$D$1000&amp;"")+IF($D$13:$D$1000="",1,0),0)),"")</f>
        <v/>
      </c>
      <c r="R914" s="356" t="str">
        <f t="shared" si="58"/>
        <v/>
      </c>
      <c r="S914" s="383" t="str">
        <f t="shared" si="56"/>
        <v/>
      </c>
      <c r="T914" s="384" t="str">
        <f t="shared" si="59"/>
        <v/>
      </c>
      <c r="V914" s="385"/>
      <c r="W914" s="385"/>
      <c r="X914" s="386"/>
    </row>
    <row r="915" spans="2:24">
      <c r="B915" s="395"/>
      <c r="C915" s="371"/>
      <c r="D915" s="372" t="str">
        <f>IFERROR(INDEX('[11]Equipment List'!$B$2:$B$2038,MATCH(E915,'[11]Equipment List'!$A$2:$A$2038,0)),"")</f>
        <v/>
      </c>
      <c r="E915" s="388"/>
      <c r="F915" s="374"/>
      <c r="G915" s="375"/>
      <c r="H915" s="397"/>
      <c r="I915" s="377"/>
      <c r="J915" s="378"/>
      <c r="K915" s="379"/>
      <c r="L915" s="387"/>
      <c r="M915" s="380" t="str">
        <f t="array" ref="M915">IF(L915="","",(MAX(IF(AN$15:AN$144=B915,AO$15:AO$144))/60))</f>
        <v/>
      </c>
      <c r="N915" s="387"/>
      <c r="O915" s="387"/>
      <c r="P915" s="381" t="str">
        <f t="shared" si="57"/>
        <v/>
      </c>
      <c r="Q915" s="382" t="str">
        <f t="array" ref="Q915">IFERROR(INDEX($D$13:$D$1000,MATCH(0,COUNTIF($Q$13:Q914,$D$13:$D$1000&amp;"")+IF($D$13:$D$1000="",1,0),0)),"")</f>
        <v/>
      </c>
      <c r="R915" s="356" t="str">
        <f t="shared" si="58"/>
        <v/>
      </c>
      <c r="S915" s="383" t="str">
        <f t="shared" si="56"/>
        <v/>
      </c>
      <c r="T915" s="384" t="str">
        <f t="shared" si="59"/>
        <v/>
      </c>
      <c r="V915" s="385"/>
      <c r="W915" s="385"/>
      <c r="X915" s="386"/>
    </row>
    <row r="916" spans="2:24">
      <c r="B916" s="395"/>
      <c r="C916" s="371"/>
      <c r="D916" s="372" t="str">
        <f>IFERROR(INDEX('[11]Equipment List'!$B$2:$B$2038,MATCH(E916,'[11]Equipment List'!$A$2:$A$2038,0)),"")</f>
        <v/>
      </c>
      <c r="E916" s="388"/>
      <c r="F916" s="374"/>
      <c r="G916" s="375"/>
      <c r="H916" s="397"/>
      <c r="I916" s="377"/>
      <c r="J916" s="378"/>
      <c r="K916" s="379"/>
      <c r="L916" s="387"/>
      <c r="M916" s="380" t="str">
        <f t="array" ref="M916">IF(L916="","",(MAX(IF(AN$15:AN$144=B916,AO$15:AO$144))/60))</f>
        <v/>
      </c>
      <c r="N916" s="387"/>
      <c r="O916" s="387"/>
      <c r="P916" s="381" t="str">
        <f t="shared" si="57"/>
        <v/>
      </c>
      <c r="Q916" s="382" t="str">
        <f t="array" ref="Q916">IFERROR(INDEX($D$13:$D$1000,MATCH(0,COUNTIF($Q$13:Q915,$D$13:$D$1000&amp;"")+IF($D$13:$D$1000="",1,0),0)),"")</f>
        <v/>
      </c>
      <c r="R916" s="356" t="str">
        <f t="shared" si="58"/>
        <v/>
      </c>
      <c r="S916" s="383" t="str">
        <f t="shared" si="56"/>
        <v/>
      </c>
      <c r="T916" s="384" t="str">
        <f t="shared" si="59"/>
        <v/>
      </c>
      <c r="V916" s="385"/>
      <c r="W916" s="385"/>
      <c r="X916" s="386"/>
    </row>
    <row r="917" spans="2:24">
      <c r="B917" s="395"/>
      <c r="C917" s="371"/>
      <c r="D917" s="372" t="str">
        <f>IFERROR(INDEX('[11]Equipment List'!$B$2:$B$2038,MATCH(E917,'[11]Equipment List'!$A$2:$A$2038,0)),"")</f>
        <v/>
      </c>
      <c r="E917" s="388"/>
      <c r="F917" s="374"/>
      <c r="G917" s="375"/>
      <c r="H917" s="397"/>
      <c r="I917" s="377"/>
      <c r="J917" s="378"/>
      <c r="K917" s="379"/>
      <c r="L917" s="387"/>
      <c r="M917" s="380" t="str">
        <f t="array" ref="M917">IF(L917="","",(MAX(IF(AN$15:AN$144=B917,AO$15:AO$144))/60))</f>
        <v/>
      </c>
      <c r="N917" s="387"/>
      <c r="O917" s="387"/>
      <c r="P917" s="381" t="str">
        <f t="shared" si="57"/>
        <v/>
      </c>
      <c r="Q917" s="382" t="str">
        <f t="array" ref="Q917">IFERROR(INDEX($D$13:$D$1000,MATCH(0,COUNTIF($Q$13:Q916,$D$13:$D$1000&amp;"")+IF($D$13:$D$1000="",1,0),0)),"")</f>
        <v/>
      </c>
      <c r="R917" s="356" t="str">
        <f t="shared" si="58"/>
        <v/>
      </c>
      <c r="S917" s="383" t="str">
        <f t="shared" si="56"/>
        <v/>
      </c>
      <c r="T917" s="384" t="str">
        <f t="shared" si="59"/>
        <v/>
      </c>
      <c r="V917" s="385"/>
      <c r="W917" s="385"/>
      <c r="X917" s="386"/>
    </row>
    <row r="918" spans="2:24">
      <c r="B918" s="395"/>
      <c r="C918" s="371"/>
      <c r="D918" s="372" t="str">
        <f>IFERROR(INDEX('[11]Equipment List'!$B$2:$B$2038,MATCH(E918,'[11]Equipment List'!$A$2:$A$2038,0)),"")</f>
        <v/>
      </c>
      <c r="E918" s="388"/>
      <c r="F918" s="374"/>
      <c r="G918" s="375"/>
      <c r="H918" s="397"/>
      <c r="I918" s="377"/>
      <c r="J918" s="378"/>
      <c r="K918" s="379"/>
      <c r="L918" s="387"/>
      <c r="M918" s="380" t="str">
        <f t="array" ref="M918">IF(L918="","",(MAX(IF(AN$15:AN$144=B918,AO$15:AO$144))/60))</f>
        <v/>
      </c>
      <c r="N918" s="387"/>
      <c r="O918" s="387"/>
      <c r="P918" s="381" t="str">
        <f t="shared" si="57"/>
        <v/>
      </c>
      <c r="Q918" s="382" t="str">
        <f t="array" ref="Q918">IFERROR(INDEX($D$13:$D$1000,MATCH(0,COUNTIF($Q$13:Q917,$D$13:$D$1000&amp;"")+IF($D$13:$D$1000="",1,0),0)),"")</f>
        <v/>
      </c>
      <c r="R918" s="356" t="str">
        <f t="shared" si="58"/>
        <v/>
      </c>
      <c r="S918" s="383" t="str">
        <f t="shared" si="56"/>
        <v/>
      </c>
      <c r="T918" s="384" t="str">
        <f t="shared" si="59"/>
        <v/>
      </c>
      <c r="V918" s="385"/>
      <c r="W918" s="385"/>
      <c r="X918" s="386"/>
    </row>
    <row r="919" spans="2:24">
      <c r="B919" s="395"/>
      <c r="C919" s="371"/>
      <c r="D919" s="372" t="str">
        <f>IFERROR(INDEX('[11]Equipment List'!$B$2:$B$2038,MATCH(E919,'[11]Equipment List'!$A$2:$A$2038,0)),"")</f>
        <v/>
      </c>
      <c r="E919" s="388"/>
      <c r="F919" s="374"/>
      <c r="G919" s="375"/>
      <c r="H919" s="397"/>
      <c r="I919" s="377"/>
      <c r="J919" s="378"/>
      <c r="K919" s="379"/>
      <c r="L919" s="387"/>
      <c r="M919" s="380" t="str">
        <f t="array" ref="M919">IF(L919="","",(MAX(IF(AN$15:AN$144=B919,AO$15:AO$144))/60))</f>
        <v/>
      </c>
      <c r="N919" s="387"/>
      <c r="O919" s="387"/>
      <c r="P919" s="381" t="str">
        <f t="shared" si="57"/>
        <v/>
      </c>
      <c r="Q919" s="382" t="str">
        <f t="array" ref="Q919">IFERROR(INDEX($D$13:$D$1000,MATCH(0,COUNTIF($Q$13:Q918,$D$13:$D$1000&amp;"")+IF($D$13:$D$1000="",1,0),0)),"")</f>
        <v/>
      </c>
      <c r="R919" s="356" t="str">
        <f t="shared" si="58"/>
        <v/>
      </c>
      <c r="S919" s="383" t="str">
        <f t="shared" si="56"/>
        <v/>
      </c>
      <c r="T919" s="384" t="str">
        <f t="shared" si="59"/>
        <v/>
      </c>
      <c r="V919" s="385"/>
      <c r="W919" s="385"/>
      <c r="X919" s="386"/>
    </row>
    <row r="920" spans="2:24">
      <c r="B920" s="395"/>
      <c r="C920" s="371"/>
      <c r="D920" s="372" t="str">
        <f>IFERROR(INDEX('[11]Equipment List'!$B$2:$B$2038,MATCH(E920,'[11]Equipment List'!$A$2:$A$2038,0)),"")</f>
        <v/>
      </c>
      <c r="E920" s="388"/>
      <c r="F920" s="374"/>
      <c r="G920" s="375"/>
      <c r="H920" s="397"/>
      <c r="I920" s="377"/>
      <c r="J920" s="378"/>
      <c r="K920" s="379"/>
      <c r="L920" s="387"/>
      <c r="M920" s="380" t="str">
        <f t="array" ref="M920">IF(L920="","",(MAX(IF(AN$15:AN$144=B920,AO$15:AO$144))/60))</f>
        <v/>
      </c>
      <c r="N920" s="387"/>
      <c r="O920" s="387"/>
      <c r="P920" s="381" t="str">
        <f t="shared" si="57"/>
        <v/>
      </c>
      <c r="Q920" s="382" t="str">
        <f t="array" ref="Q920">IFERROR(INDEX($D$13:$D$1000,MATCH(0,COUNTIF($Q$13:Q919,$D$13:$D$1000&amp;"")+IF($D$13:$D$1000="",1,0),0)),"")</f>
        <v/>
      </c>
      <c r="R920" s="356" t="str">
        <f t="shared" si="58"/>
        <v/>
      </c>
      <c r="S920" s="383" t="str">
        <f t="shared" si="56"/>
        <v/>
      </c>
      <c r="T920" s="384" t="str">
        <f t="shared" si="59"/>
        <v/>
      </c>
      <c r="V920" s="385"/>
      <c r="W920" s="385"/>
      <c r="X920" s="386"/>
    </row>
    <row r="921" spans="2:24">
      <c r="B921" s="395"/>
      <c r="C921" s="371"/>
      <c r="D921" s="372" t="str">
        <f>IFERROR(INDEX('[11]Equipment List'!$B$2:$B$2038,MATCH(E921,'[11]Equipment List'!$A$2:$A$2038,0)),"")</f>
        <v/>
      </c>
      <c r="E921" s="388"/>
      <c r="F921" s="374"/>
      <c r="G921" s="375"/>
      <c r="H921" s="397"/>
      <c r="I921" s="377"/>
      <c r="J921" s="378"/>
      <c r="K921" s="379"/>
      <c r="L921" s="387"/>
      <c r="M921" s="380" t="str">
        <f t="array" ref="M921">IF(L921="","",(MAX(IF(AN$15:AN$144=B921,AO$15:AO$144))/60))</f>
        <v/>
      </c>
      <c r="N921" s="387"/>
      <c r="O921" s="387"/>
      <c r="P921" s="381" t="str">
        <f t="shared" si="57"/>
        <v/>
      </c>
      <c r="Q921" s="382" t="str">
        <f t="array" ref="Q921">IFERROR(INDEX($D$13:$D$1000,MATCH(0,COUNTIF($Q$13:Q920,$D$13:$D$1000&amp;"")+IF($D$13:$D$1000="",1,0),0)),"")</f>
        <v/>
      </c>
      <c r="R921" s="356" t="str">
        <f t="shared" si="58"/>
        <v/>
      </c>
      <c r="S921" s="383" t="str">
        <f t="shared" si="56"/>
        <v/>
      </c>
      <c r="T921" s="384" t="str">
        <f t="shared" si="59"/>
        <v/>
      </c>
      <c r="V921" s="385"/>
      <c r="W921" s="385"/>
      <c r="X921" s="386"/>
    </row>
    <row r="922" spans="2:24">
      <c r="B922" s="395"/>
      <c r="C922" s="371"/>
      <c r="D922" s="372" t="str">
        <f>IFERROR(INDEX('[11]Equipment List'!$B$2:$B$2038,MATCH(E922,'[11]Equipment List'!$A$2:$A$2038,0)),"")</f>
        <v/>
      </c>
      <c r="E922" s="388"/>
      <c r="F922" s="374"/>
      <c r="G922" s="375"/>
      <c r="H922" s="397"/>
      <c r="I922" s="377"/>
      <c r="J922" s="378"/>
      <c r="K922" s="379"/>
      <c r="L922" s="387"/>
      <c r="M922" s="380" t="str">
        <f t="array" ref="M922">IF(L922="","",(MAX(IF(AN$15:AN$144=B922,AO$15:AO$144))/60))</f>
        <v/>
      </c>
      <c r="N922" s="387"/>
      <c r="O922" s="387"/>
      <c r="P922" s="381" t="str">
        <f t="shared" si="57"/>
        <v/>
      </c>
      <c r="Q922" s="382" t="str">
        <f t="array" ref="Q922">IFERROR(INDEX($D$13:$D$1000,MATCH(0,COUNTIF($Q$13:Q921,$D$13:$D$1000&amp;"")+IF($D$13:$D$1000="",1,0),0)),"")</f>
        <v/>
      </c>
      <c r="R922" s="356" t="str">
        <f t="shared" si="58"/>
        <v/>
      </c>
      <c r="S922" s="383" t="str">
        <f t="shared" si="56"/>
        <v/>
      </c>
      <c r="T922" s="384" t="str">
        <f t="shared" si="59"/>
        <v/>
      </c>
      <c r="V922" s="385"/>
      <c r="W922" s="385"/>
      <c r="X922" s="386"/>
    </row>
    <row r="923" spans="2:24">
      <c r="B923" s="395"/>
      <c r="C923" s="371"/>
      <c r="D923" s="372" t="str">
        <f>IFERROR(INDEX('[11]Equipment List'!$B$2:$B$2038,MATCH(E923,'[11]Equipment List'!$A$2:$A$2038,0)),"")</f>
        <v/>
      </c>
      <c r="E923" s="388"/>
      <c r="F923" s="374"/>
      <c r="G923" s="375"/>
      <c r="H923" s="397"/>
      <c r="I923" s="377"/>
      <c r="J923" s="378"/>
      <c r="K923" s="379"/>
      <c r="L923" s="387"/>
      <c r="M923" s="380" t="str">
        <f t="array" ref="M923">IF(L923="","",(MAX(IF(AN$15:AN$144=B923,AO$15:AO$144))/60))</f>
        <v/>
      </c>
      <c r="N923" s="387"/>
      <c r="O923" s="387"/>
      <c r="P923" s="381" t="str">
        <f t="shared" si="57"/>
        <v/>
      </c>
      <c r="Q923" s="382" t="str">
        <f t="array" ref="Q923">IFERROR(INDEX($D$13:$D$1000,MATCH(0,COUNTIF($Q$13:Q922,$D$13:$D$1000&amp;"")+IF($D$13:$D$1000="",1,0),0)),"")</f>
        <v/>
      </c>
      <c r="R923" s="356" t="str">
        <f t="shared" si="58"/>
        <v/>
      </c>
      <c r="S923" s="383" t="str">
        <f t="shared" si="56"/>
        <v/>
      </c>
      <c r="T923" s="384" t="str">
        <f t="shared" si="59"/>
        <v/>
      </c>
      <c r="V923" s="385"/>
      <c r="W923" s="385"/>
      <c r="X923" s="386"/>
    </row>
    <row r="924" spans="2:24">
      <c r="B924" s="395"/>
      <c r="C924" s="371"/>
      <c r="D924" s="372" t="str">
        <f>IFERROR(INDEX('[11]Equipment List'!$B$2:$B$2038,MATCH(E924,'[11]Equipment List'!$A$2:$A$2038,0)),"")</f>
        <v/>
      </c>
      <c r="E924" s="388"/>
      <c r="F924" s="374"/>
      <c r="G924" s="375"/>
      <c r="H924" s="397"/>
      <c r="I924" s="377"/>
      <c r="J924" s="378"/>
      <c r="K924" s="379"/>
      <c r="L924" s="387"/>
      <c r="M924" s="380" t="str">
        <f t="array" ref="M924">IF(L924="","",(MAX(IF(AN$15:AN$144=B924,AO$15:AO$144))/60))</f>
        <v/>
      </c>
      <c r="N924" s="387"/>
      <c r="O924" s="387"/>
      <c r="P924" s="381" t="str">
        <f t="shared" si="57"/>
        <v/>
      </c>
      <c r="Q924" s="382" t="str">
        <f t="array" ref="Q924">IFERROR(INDEX($D$13:$D$1000,MATCH(0,COUNTIF($Q$13:Q923,$D$13:$D$1000&amp;"")+IF($D$13:$D$1000="",1,0),0)),"")</f>
        <v/>
      </c>
      <c r="R924" s="356" t="str">
        <f t="shared" si="58"/>
        <v/>
      </c>
      <c r="S924" s="383" t="str">
        <f t="shared" si="56"/>
        <v/>
      </c>
      <c r="T924" s="384" t="str">
        <f t="shared" si="59"/>
        <v/>
      </c>
      <c r="V924" s="385"/>
      <c r="W924" s="385"/>
      <c r="X924" s="386"/>
    </row>
    <row r="925" spans="2:24">
      <c r="B925" s="395"/>
      <c r="C925" s="371"/>
      <c r="D925" s="372" t="str">
        <f>IFERROR(INDEX('[11]Equipment List'!$B$2:$B$2038,MATCH(E925,'[11]Equipment List'!$A$2:$A$2038,0)),"")</f>
        <v/>
      </c>
      <c r="E925" s="388"/>
      <c r="F925" s="374"/>
      <c r="G925" s="375"/>
      <c r="H925" s="397"/>
      <c r="I925" s="377"/>
      <c r="J925" s="378"/>
      <c r="K925" s="379"/>
      <c r="L925" s="387"/>
      <c r="M925" s="380" t="str">
        <f t="array" ref="M925">IF(L925="","",(MAX(IF(AN$15:AN$144=B925,AO$15:AO$144))/60))</f>
        <v/>
      </c>
      <c r="N925" s="387"/>
      <c r="O925" s="387"/>
      <c r="P925" s="381" t="str">
        <f t="shared" si="57"/>
        <v/>
      </c>
      <c r="Q925" s="382" t="str">
        <f t="array" ref="Q925">IFERROR(INDEX($D$13:$D$1000,MATCH(0,COUNTIF($Q$13:Q924,$D$13:$D$1000&amp;"")+IF($D$13:$D$1000="",1,0),0)),"")</f>
        <v/>
      </c>
      <c r="R925" s="356" t="str">
        <f t="shared" si="58"/>
        <v/>
      </c>
      <c r="S925" s="383" t="str">
        <f t="shared" si="56"/>
        <v/>
      </c>
      <c r="T925" s="384" t="str">
        <f t="shared" si="59"/>
        <v/>
      </c>
      <c r="V925" s="385"/>
      <c r="W925" s="385"/>
      <c r="X925" s="386"/>
    </row>
    <row r="926" spans="2:24">
      <c r="B926" s="395"/>
      <c r="C926" s="371"/>
      <c r="D926" s="372" t="str">
        <f>IFERROR(INDEX('[11]Equipment List'!$B$2:$B$2038,MATCH(E926,'[11]Equipment List'!$A$2:$A$2038,0)),"")</f>
        <v/>
      </c>
      <c r="E926" s="388"/>
      <c r="F926" s="374"/>
      <c r="G926" s="375"/>
      <c r="H926" s="397"/>
      <c r="I926" s="377"/>
      <c r="J926" s="378"/>
      <c r="K926" s="379"/>
      <c r="L926" s="387"/>
      <c r="M926" s="380" t="str">
        <f t="array" ref="M926">IF(L926="","",(MAX(IF(AN$15:AN$144=B926,AO$15:AO$144))/60))</f>
        <v/>
      </c>
      <c r="N926" s="387"/>
      <c r="O926" s="387"/>
      <c r="P926" s="381" t="str">
        <f t="shared" si="57"/>
        <v/>
      </c>
      <c r="Q926" s="382" t="str">
        <f t="array" ref="Q926">IFERROR(INDEX($D$13:$D$1000,MATCH(0,COUNTIF($Q$13:Q925,$D$13:$D$1000&amp;"")+IF($D$13:$D$1000="",1,0),0)),"")</f>
        <v/>
      </c>
      <c r="R926" s="356" t="str">
        <f t="shared" si="58"/>
        <v/>
      </c>
      <c r="S926" s="383" t="str">
        <f t="shared" si="56"/>
        <v/>
      </c>
      <c r="T926" s="384" t="str">
        <f t="shared" si="59"/>
        <v/>
      </c>
      <c r="V926" s="385"/>
      <c r="W926" s="385"/>
      <c r="X926" s="386"/>
    </row>
    <row r="927" spans="2:24">
      <c r="B927" s="395"/>
      <c r="C927" s="371"/>
      <c r="D927" s="372" t="str">
        <f>IFERROR(INDEX('[11]Equipment List'!$B$2:$B$2038,MATCH(E927,'[11]Equipment List'!$A$2:$A$2038,0)),"")</f>
        <v/>
      </c>
      <c r="E927" s="388"/>
      <c r="F927" s="374"/>
      <c r="G927" s="375"/>
      <c r="H927" s="397"/>
      <c r="I927" s="377"/>
      <c r="J927" s="378"/>
      <c r="K927" s="379"/>
      <c r="L927" s="387"/>
      <c r="M927" s="380" t="str">
        <f t="array" ref="M927">IF(L927="","",(MAX(IF(AN$15:AN$144=B927,AO$15:AO$144))/60))</f>
        <v/>
      </c>
      <c r="N927" s="387"/>
      <c r="O927" s="387"/>
      <c r="P927" s="381" t="str">
        <f t="shared" si="57"/>
        <v/>
      </c>
      <c r="Q927" s="382" t="str">
        <f t="array" ref="Q927">IFERROR(INDEX($D$13:$D$1000,MATCH(0,COUNTIF($Q$13:Q926,$D$13:$D$1000&amp;"")+IF($D$13:$D$1000="",1,0),0)),"")</f>
        <v/>
      </c>
      <c r="R927" s="356" t="str">
        <f t="shared" si="58"/>
        <v/>
      </c>
      <c r="S927" s="383" t="str">
        <f t="shared" si="56"/>
        <v/>
      </c>
      <c r="T927" s="384" t="str">
        <f t="shared" si="59"/>
        <v/>
      </c>
      <c r="V927" s="385"/>
      <c r="W927" s="385"/>
      <c r="X927" s="386"/>
    </row>
    <row r="928" spans="2:24">
      <c r="B928" s="395"/>
      <c r="C928" s="371"/>
      <c r="D928" s="372" t="str">
        <f>IFERROR(INDEX('[11]Equipment List'!$B$2:$B$2038,MATCH(E928,'[11]Equipment List'!$A$2:$A$2038,0)),"")</f>
        <v/>
      </c>
      <c r="E928" s="388"/>
      <c r="F928" s="374"/>
      <c r="G928" s="375"/>
      <c r="H928" s="397"/>
      <c r="I928" s="377"/>
      <c r="J928" s="378"/>
      <c r="K928" s="379"/>
      <c r="L928" s="387"/>
      <c r="M928" s="380" t="str">
        <f t="array" ref="M928">IF(L928="","",(MAX(IF(AN$15:AN$144=B928,AO$15:AO$144))/60))</f>
        <v/>
      </c>
      <c r="N928" s="387"/>
      <c r="O928" s="387"/>
      <c r="P928" s="381" t="str">
        <f t="shared" si="57"/>
        <v/>
      </c>
      <c r="Q928" s="382" t="str">
        <f t="array" ref="Q928">IFERROR(INDEX($D$13:$D$1000,MATCH(0,COUNTIF($Q$13:Q927,$D$13:$D$1000&amp;"")+IF($D$13:$D$1000="",1,0),0)),"")</f>
        <v/>
      </c>
      <c r="R928" s="356" t="str">
        <f t="shared" si="58"/>
        <v/>
      </c>
      <c r="S928" s="383" t="str">
        <f t="shared" si="56"/>
        <v/>
      </c>
      <c r="T928" s="384" t="str">
        <f t="shared" si="59"/>
        <v/>
      </c>
      <c r="V928" s="385"/>
      <c r="W928" s="385"/>
      <c r="X928" s="386"/>
    </row>
    <row r="929" spans="2:24">
      <c r="B929" s="395"/>
      <c r="C929" s="371"/>
      <c r="D929" s="372" t="str">
        <f>IFERROR(INDEX('[11]Equipment List'!$B$2:$B$2038,MATCH(E929,'[11]Equipment List'!$A$2:$A$2038,0)),"")</f>
        <v/>
      </c>
      <c r="E929" s="388"/>
      <c r="F929" s="374"/>
      <c r="G929" s="375"/>
      <c r="H929" s="397"/>
      <c r="I929" s="377"/>
      <c r="J929" s="378"/>
      <c r="K929" s="379"/>
      <c r="L929" s="387"/>
      <c r="M929" s="380" t="str">
        <f t="array" ref="M929">IF(L929="","",(MAX(IF(AN$15:AN$144=B929,AO$15:AO$144))/60))</f>
        <v/>
      </c>
      <c r="N929" s="387"/>
      <c r="O929" s="387"/>
      <c r="P929" s="381" t="str">
        <f t="shared" si="57"/>
        <v/>
      </c>
      <c r="Q929" s="382" t="str">
        <f t="array" ref="Q929">IFERROR(INDEX($D$13:$D$1000,MATCH(0,COUNTIF($Q$13:Q928,$D$13:$D$1000&amp;"")+IF($D$13:$D$1000="",1,0),0)),"")</f>
        <v/>
      </c>
      <c r="R929" s="356" t="str">
        <f t="shared" si="58"/>
        <v/>
      </c>
      <c r="S929" s="383" t="str">
        <f t="shared" si="56"/>
        <v/>
      </c>
      <c r="T929" s="384" t="str">
        <f t="shared" si="59"/>
        <v/>
      </c>
      <c r="V929" s="385"/>
      <c r="W929" s="385"/>
      <c r="X929" s="386"/>
    </row>
    <row r="930" spans="2:24">
      <c r="B930" s="395"/>
      <c r="C930" s="371"/>
      <c r="D930" s="372" t="str">
        <f>IFERROR(INDEX('[11]Equipment List'!$B$2:$B$2038,MATCH(E930,'[11]Equipment List'!$A$2:$A$2038,0)),"")</f>
        <v/>
      </c>
      <c r="E930" s="388"/>
      <c r="F930" s="374"/>
      <c r="G930" s="375"/>
      <c r="H930" s="397"/>
      <c r="I930" s="377"/>
      <c r="J930" s="378"/>
      <c r="K930" s="379"/>
      <c r="L930" s="387"/>
      <c r="M930" s="380" t="str">
        <f t="array" ref="M930">IF(L930="","",(MAX(IF(AN$15:AN$144=B930,AO$15:AO$144))/60))</f>
        <v/>
      </c>
      <c r="N930" s="387"/>
      <c r="O930" s="387"/>
      <c r="P930" s="381" t="str">
        <f t="shared" si="57"/>
        <v/>
      </c>
      <c r="Q930" s="382" t="str">
        <f t="array" ref="Q930">IFERROR(INDEX($D$13:$D$1000,MATCH(0,COUNTIF($Q$13:Q929,$D$13:$D$1000&amp;"")+IF($D$13:$D$1000="",1,0),0)),"")</f>
        <v/>
      </c>
      <c r="R930" s="356" t="str">
        <f t="shared" si="58"/>
        <v/>
      </c>
      <c r="S930" s="383" t="str">
        <f t="shared" si="56"/>
        <v/>
      </c>
      <c r="T930" s="384" t="str">
        <f t="shared" si="59"/>
        <v/>
      </c>
      <c r="V930" s="385"/>
      <c r="W930" s="385"/>
      <c r="X930" s="386"/>
    </row>
    <row r="931" spans="2:24">
      <c r="B931" s="395"/>
      <c r="C931" s="371"/>
      <c r="D931" s="372" t="str">
        <f>IFERROR(INDEX('[11]Equipment List'!$B$2:$B$2038,MATCH(E931,'[11]Equipment List'!$A$2:$A$2038,0)),"")</f>
        <v/>
      </c>
      <c r="E931" s="388"/>
      <c r="F931" s="374"/>
      <c r="G931" s="375"/>
      <c r="H931" s="397"/>
      <c r="I931" s="377"/>
      <c r="J931" s="378"/>
      <c r="K931" s="379"/>
      <c r="L931" s="387"/>
      <c r="M931" s="380" t="str">
        <f t="array" ref="M931">IF(L931="","",(MAX(IF(AN$15:AN$144=B931,AO$15:AO$144))/60))</f>
        <v/>
      </c>
      <c r="N931" s="387"/>
      <c r="O931" s="387"/>
      <c r="P931" s="381" t="str">
        <f t="shared" si="57"/>
        <v/>
      </c>
      <c r="Q931" s="382" t="str">
        <f t="array" ref="Q931">IFERROR(INDEX($D$13:$D$1000,MATCH(0,COUNTIF($Q$13:Q930,$D$13:$D$1000&amp;"")+IF($D$13:$D$1000="",1,0),0)),"")</f>
        <v/>
      </c>
      <c r="R931" s="356" t="str">
        <f t="shared" si="58"/>
        <v/>
      </c>
      <c r="S931" s="383" t="str">
        <f t="shared" si="56"/>
        <v/>
      </c>
      <c r="T931" s="384" t="str">
        <f t="shared" si="59"/>
        <v/>
      </c>
      <c r="V931" s="385"/>
      <c r="W931" s="385"/>
      <c r="X931" s="386"/>
    </row>
    <row r="932" spans="2:24">
      <c r="B932" s="395"/>
      <c r="C932" s="371"/>
      <c r="D932" s="372" t="str">
        <f>IFERROR(INDEX('[11]Equipment List'!$B$2:$B$2038,MATCH(E932,'[11]Equipment List'!$A$2:$A$2038,0)),"")</f>
        <v/>
      </c>
      <c r="E932" s="388"/>
      <c r="F932" s="374"/>
      <c r="G932" s="375"/>
      <c r="H932" s="397"/>
      <c r="I932" s="377"/>
      <c r="J932" s="378"/>
      <c r="K932" s="379"/>
      <c r="L932" s="387"/>
      <c r="M932" s="380" t="str">
        <f t="array" ref="M932">IF(L932="","",(MAX(IF(AN$15:AN$144=B932,AO$15:AO$144))/60))</f>
        <v/>
      </c>
      <c r="N932" s="387"/>
      <c r="O932" s="387"/>
      <c r="P932" s="381" t="str">
        <f t="shared" si="57"/>
        <v/>
      </c>
      <c r="Q932" s="382" t="str">
        <f t="array" ref="Q932">IFERROR(INDEX($D$13:$D$1000,MATCH(0,COUNTIF($Q$13:Q931,$D$13:$D$1000&amp;"")+IF($D$13:$D$1000="",1,0),0)),"")</f>
        <v/>
      </c>
      <c r="R932" s="356" t="str">
        <f t="shared" si="58"/>
        <v/>
      </c>
      <c r="S932" s="383" t="str">
        <f t="shared" si="56"/>
        <v/>
      </c>
      <c r="T932" s="384" t="str">
        <f t="shared" si="59"/>
        <v/>
      </c>
      <c r="V932" s="385"/>
      <c r="W932" s="385"/>
      <c r="X932" s="386"/>
    </row>
    <row r="933" spans="2:24">
      <c r="B933" s="395"/>
      <c r="C933" s="371"/>
      <c r="D933" s="372" t="str">
        <f>IFERROR(INDEX('[11]Equipment List'!$B$2:$B$2038,MATCH(E933,'[11]Equipment List'!$A$2:$A$2038,0)),"")</f>
        <v/>
      </c>
      <c r="E933" s="388"/>
      <c r="F933" s="374"/>
      <c r="G933" s="375"/>
      <c r="H933" s="397"/>
      <c r="I933" s="377"/>
      <c r="J933" s="378"/>
      <c r="K933" s="379"/>
      <c r="L933" s="387"/>
      <c r="M933" s="380" t="str">
        <f t="array" ref="M933">IF(L933="","",(MAX(IF(AN$15:AN$144=B933,AO$15:AO$144))/60))</f>
        <v/>
      </c>
      <c r="N933" s="387"/>
      <c r="O933" s="387"/>
      <c r="P933" s="381" t="str">
        <f t="shared" si="57"/>
        <v/>
      </c>
      <c r="Q933" s="382" t="str">
        <f t="array" ref="Q933">IFERROR(INDEX($D$13:$D$1000,MATCH(0,COUNTIF($Q$13:Q932,$D$13:$D$1000&amp;"")+IF($D$13:$D$1000="",1,0),0)),"")</f>
        <v/>
      </c>
      <c r="R933" s="356" t="str">
        <f t="shared" si="58"/>
        <v/>
      </c>
      <c r="S933" s="383" t="str">
        <f t="shared" si="56"/>
        <v/>
      </c>
      <c r="T933" s="384" t="str">
        <f t="shared" si="59"/>
        <v/>
      </c>
      <c r="V933" s="385"/>
      <c r="W933" s="385"/>
      <c r="X933" s="386"/>
    </row>
    <row r="934" spans="2:24">
      <c r="B934" s="395"/>
      <c r="C934" s="371"/>
      <c r="D934" s="372" t="str">
        <f>IFERROR(INDEX('[11]Equipment List'!$B$2:$B$2038,MATCH(E934,'[11]Equipment List'!$A$2:$A$2038,0)),"")</f>
        <v/>
      </c>
      <c r="E934" s="388"/>
      <c r="F934" s="374"/>
      <c r="G934" s="375"/>
      <c r="H934" s="397"/>
      <c r="I934" s="377"/>
      <c r="J934" s="378"/>
      <c r="K934" s="379"/>
      <c r="L934" s="387"/>
      <c r="M934" s="380" t="str">
        <f t="array" ref="M934">IF(L934="","",(MAX(IF(AN$15:AN$144=B934,AO$15:AO$144))/60))</f>
        <v/>
      </c>
      <c r="N934" s="387"/>
      <c r="O934" s="387"/>
      <c r="P934" s="381" t="str">
        <f t="shared" si="57"/>
        <v/>
      </c>
      <c r="Q934" s="382" t="str">
        <f t="array" ref="Q934">IFERROR(INDEX($D$13:$D$1000,MATCH(0,COUNTIF($Q$13:Q933,$D$13:$D$1000&amp;"")+IF($D$13:$D$1000="",1,0),0)),"")</f>
        <v/>
      </c>
      <c r="R934" s="356" t="str">
        <f t="shared" si="58"/>
        <v/>
      </c>
      <c r="S934" s="383" t="str">
        <f t="shared" si="56"/>
        <v/>
      </c>
      <c r="T934" s="384" t="str">
        <f t="shared" si="59"/>
        <v/>
      </c>
      <c r="V934" s="385"/>
      <c r="W934" s="385"/>
      <c r="X934" s="386"/>
    </row>
    <row r="935" spans="2:24">
      <c r="B935" s="395"/>
      <c r="C935" s="371"/>
      <c r="D935" s="372" t="str">
        <f>IFERROR(INDEX('[11]Equipment List'!$B$2:$B$2038,MATCH(E935,'[11]Equipment List'!$A$2:$A$2038,0)),"")</f>
        <v/>
      </c>
      <c r="E935" s="388"/>
      <c r="F935" s="374"/>
      <c r="G935" s="375"/>
      <c r="H935" s="397"/>
      <c r="I935" s="377"/>
      <c r="J935" s="378"/>
      <c r="K935" s="379"/>
      <c r="L935" s="387"/>
      <c r="M935" s="380" t="str">
        <f t="array" ref="M935">IF(L935="","",(MAX(IF(AN$15:AN$144=B935,AO$15:AO$144))/60))</f>
        <v/>
      </c>
      <c r="N935" s="387"/>
      <c r="O935" s="387"/>
      <c r="P935" s="381" t="str">
        <f t="shared" si="57"/>
        <v/>
      </c>
      <c r="Q935" s="382" t="str">
        <f t="array" ref="Q935">IFERROR(INDEX($D$13:$D$1000,MATCH(0,COUNTIF($Q$13:Q934,$D$13:$D$1000&amp;"")+IF($D$13:$D$1000="",1,0),0)),"")</f>
        <v/>
      </c>
      <c r="R935" s="356" t="str">
        <f t="shared" si="58"/>
        <v/>
      </c>
      <c r="S935" s="383" t="str">
        <f t="shared" si="56"/>
        <v/>
      </c>
      <c r="T935" s="384" t="str">
        <f t="shared" si="59"/>
        <v/>
      </c>
      <c r="V935" s="385"/>
      <c r="W935" s="385"/>
      <c r="X935" s="386"/>
    </row>
    <row r="936" spans="2:24">
      <c r="B936" s="395"/>
      <c r="C936" s="371"/>
      <c r="D936" s="372" t="str">
        <f>IFERROR(INDEX('[11]Equipment List'!$B$2:$B$2038,MATCH(E936,'[11]Equipment List'!$A$2:$A$2038,0)),"")</f>
        <v/>
      </c>
      <c r="E936" s="388"/>
      <c r="F936" s="374"/>
      <c r="G936" s="375"/>
      <c r="H936" s="397"/>
      <c r="I936" s="377"/>
      <c r="J936" s="378"/>
      <c r="K936" s="379"/>
      <c r="L936" s="387"/>
      <c r="M936" s="380" t="str">
        <f t="array" ref="M936">IF(L936="","",(MAX(IF(AN$15:AN$144=B936,AO$15:AO$144))/60))</f>
        <v/>
      </c>
      <c r="N936" s="387"/>
      <c r="O936" s="387"/>
      <c r="P936" s="381" t="str">
        <f t="shared" si="57"/>
        <v/>
      </c>
      <c r="Q936" s="382" t="str">
        <f t="array" ref="Q936">IFERROR(INDEX($D$13:$D$1000,MATCH(0,COUNTIF($Q$13:Q935,$D$13:$D$1000&amp;"")+IF($D$13:$D$1000="",1,0),0)),"")</f>
        <v/>
      </c>
      <c r="R936" s="356" t="str">
        <f t="shared" si="58"/>
        <v/>
      </c>
      <c r="S936" s="383" t="str">
        <f t="shared" si="56"/>
        <v/>
      </c>
      <c r="T936" s="384" t="str">
        <f t="shared" si="59"/>
        <v/>
      </c>
      <c r="V936" s="385"/>
      <c r="W936" s="385"/>
      <c r="X936" s="386"/>
    </row>
    <row r="937" spans="2:24">
      <c r="B937" s="395"/>
      <c r="C937" s="371"/>
      <c r="D937" s="372" t="str">
        <f>IFERROR(INDEX('[11]Equipment List'!$B$2:$B$2038,MATCH(E937,'[11]Equipment List'!$A$2:$A$2038,0)),"")</f>
        <v/>
      </c>
      <c r="E937" s="388"/>
      <c r="F937" s="374"/>
      <c r="G937" s="375"/>
      <c r="H937" s="397"/>
      <c r="I937" s="377"/>
      <c r="J937" s="378"/>
      <c r="K937" s="379"/>
      <c r="L937" s="387"/>
      <c r="M937" s="380" t="str">
        <f t="array" ref="M937">IF(L937="","",(MAX(IF(AN$15:AN$144=B937,AO$15:AO$144))/60))</f>
        <v/>
      </c>
      <c r="N937" s="387"/>
      <c r="O937" s="387"/>
      <c r="P937" s="381" t="str">
        <f t="shared" si="57"/>
        <v/>
      </c>
      <c r="Q937" s="382" t="str">
        <f t="array" ref="Q937">IFERROR(INDEX($D$13:$D$1000,MATCH(0,COUNTIF($Q$13:Q936,$D$13:$D$1000&amp;"")+IF($D$13:$D$1000="",1,0),0)),"")</f>
        <v/>
      </c>
      <c r="R937" s="356" t="str">
        <f t="shared" si="58"/>
        <v/>
      </c>
      <c r="S937" s="383" t="str">
        <f t="shared" si="56"/>
        <v/>
      </c>
      <c r="T937" s="384" t="str">
        <f t="shared" si="59"/>
        <v/>
      </c>
      <c r="V937" s="385"/>
      <c r="W937" s="385"/>
      <c r="X937" s="386"/>
    </row>
    <row r="938" spans="2:24">
      <c r="B938" s="395"/>
      <c r="C938" s="371"/>
      <c r="D938" s="372" t="str">
        <f>IFERROR(INDEX('[11]Equipment List'!$B$2:$B$2038,MATCH(E938,'[11]Equipment List'!$A$2:$A$2038,0)),"")</f>
        <v/>
      </c>
      <c r="E938" s="388"/>
      <c r="F938" s="374"/>
      <c r="G938" s="375"/>
      <c r="H938" s="397"/>
      <c r="I938" s="377"/>
      <c r="J938" s="378"/>
      <c r="K938" s="379"/>
      <c r="L938" s="387"/>
      <c r="M938" s="380" t="str">
        <f t="array" ref="M938">IF(L938="","",(MAX(IF(AN$15:AN$144=B938,AO$15:AO$144))/60))</f>
        <v/>
      </c>
      <c r="N938" s="387"/>
      <c r="O938" s="387"/>
      <c r="P938" s="381" t="str">
        <f t="shared" si="57"/>
        <v/>
      </c>
      <c r="Q938" s="382" t="str">
        <f t="array" ref="Q938">IFERROR(INDEX($D$13:$D$1000,MATCH(0,COUNTIF($Q$13:Q937,$D$13:$D$1000&amp;"")+IF($D$13:$D$1000="",1,0),0)),"")</f>
        <v/>
      </c>
      <c r="R938" s="356" t="str">
        <f t="shared" si="58"/>
        <v/>
      </c>
      <c r="S938" s="383" t="str">
        <f t="shared" si="56"/>
        <v/>
      </c>
      <c r="T938" s="384" t="str">
        <f t="shared" si="59"/>
        <v/>
      </c>
      <c r="V938" s="385"/>
      <c r="W938" s="385"/>
      <c r="X938" s="386"/>
    </row>
    <row r="939" spans="2:24">
      <c r="B939" s="395"/>
      <c r="C939" s="371"/>
      <c r="D939" s="372" t="str">
        <f>IFERROR(INDEX('[11]Equipment List'!$B$2:$B$2038,MATCH(E939,'[11]Equipment List'!$A$2:$A$2038,0)),"")</f>
        <v/>
      </c>
      <c r="E939" s="388"/>
      <c r="F939" s="374"/>
      <c r="G939" s="375"/>
      <c r="H939" s="397"/>
      <c r="I939" s="377"/>
      <c r="J939" s="378"/>
      <c r="K939" s="379"/>
      <c r="L939" s="387"/>
      <c r="M939" s="380" t="str">
        <f t="array" ref="M939">IF(L939="","",(MAX(IF(AN$15:AN$144=B939,AO$15:AO$144))/60))</f>
        <v/>
      </c>
      <c r="N939" s="387"/>
      <c r="O939" s="387"/>
      <c r="P939" s="381" t="str">
        <f t="shared" si="57"/>
        <v/>
      </c>
      <c r="Q939" s="382" t="str">
        <f t="array" ref="Q939">IFERROR(INDEX($D$13:$D$1000,MATCH(0,COUNTIF($Q$13:Q938,$D$13:$D$1000&amp;"")+IF($D$13:$D$1000="",1,0),0)),"")</f>
        <v/>
      </c>
      <c r="R939" s="356" t="str">
        <f t="shared" si="58"/>
        <v/>
      </c>
      <c r="S939" s="383" t="str">
        <f t="shared" ref="S939:S1000" si="60">IF($Q939="","",SUMIF($D$13:$D$1000,$Q939,I$13:I$1000))</f>
        <v/>
      </c>
      <c r="T939" s="384" t="str">
        <f t="shared" si="59"/>
        <v/>
      </c>
      <c r="V939" s="385"/>
      <c r="W939" s="385"/>
      <c r="X939" s="386"/>
    </row>
    <row r="940" spans="2:24">
      <c r="B940" s="395"/>
      <c r="C940" s="371"/>
      <c r="D940" s="372" t="str">
        <f>IFERROR(INDEX('[11]Equipment List'!$B$2:$B$2038,MATCH(E940,'[11]Equipment List'!$A$2:$A$2038,0)),"")</f>
        <v/>
      </c>
      <c r="E940" s="388"/>
      <c r="F940" s="374"/>
      <c r="G940" s="375"/>
      <c r="H940" s="397"/>
      <c r="I940" s="377"/>
      <c r="J940" s="378"/>
      <c r="K940" s="379"/>
      <c r="L940" s="387"/>
      <c r="M940" s="380" t="str">
        <f t="array" ref="M940">IF(L940="","",(MAX(IF(AN$15:AN$144=B940,AO$15:AO$144))/60))</f>
        <v/>
      </c>
      <c r="N940" s="387"/>
      <c r="O940" s="387"/>
      <c r="P940" s="381" t="str">
        <f t="shared" si="57"/>
        <v/>
      </c>
      <c r="Q940" s="382" t="str">
        <f t="array" ref="Q940">IFERROR(INDEX($D$13:$D$1000,MATCH(0,COUNTIF($Q$13:Q939,$D$13:$D$1000&amp;"")+IF($D$13:$D$1000="",1,0),0)),"")</f>
        <v/>
      </c>
      <c r="R940" s="356" t="str">
        <f t="shared" si="58"/>
        <v/>
      </c>
      <c r="S940" s="383" t="str">
        <f t="shared" si="60"/>
        <v/>
      </c>
      <c r="T940" s="384" t="str">
        <f t="shared" si="59"/>
        <v/>
      </c>
      <c r="V940" s="385"/>
      <c r="W940" s="385"/>
      <c r="X940" s="386"/>
    </row>
    <row r="941" spans="2:24">
      <c r="B941" s="395"/>
      <c r="C941" s="371"/>
      <c r="D941" s="372" t="str">
        <f>IFERROR(INDEX('[11]Equipment List'!$B$2:$B$2038,MATCH(E941,'[11]Equipment List'!$A$2:$A$2038,0)),"")</f>
        <v/>
      </c>
      <c r="E941" s="388"/>
      <c r="F941" s="374"/>
      <c r="G941" s="375"/>
      <c r="H941" s="397"/>
      <c r="I941" s="377"/>
      <c r="J941" s="378"/>
      <c r="K941" s="379"/>
      <c r="L941" s="387"/>
      <c r="M941" s="380" t="str">
        <f t="array" ref="M941">IF(L941="","",(MAX(IF(AN$15:AN$144=B941,AO$15:AO$144))/60))</f>
        <v/>
      </c>
      <c r="N941" s="387"/>
      <c r="O941" s="387"/>
      <c r="P941" s="381" t="str">
        <f t="shared" si="57"/>
        <v/>
      </c>
      <c r="Q941" s="382" t="str">
        <f t="array" ref="Q941">IFERROR(INDEX($D$13:$D$1000,MATCH(0,COUNTIF($Q$13:Q940,$D$13:$D$1000&amp;"")+IF($D$13:$D$1000="",1,0),0)),"")</f>
        <v/>
      </c>
      <c r="R941" s="356" t="str">
        <f t="shared" si="58"/>
        <v/>
      </c>
      <c r="S941" s="383" t="str">
        <f t="shared" si="60"/>
        <v/>
      </c>
      <c r="T941" s="384" t="str">
        <f t="shared" si="59"/>
        <v/>
      </c>
      <c r="V941" s="385"/>
      <c r="W941" s="385"/>
      <c r="X941" s="386"/>
    </row>
    <row r="942" spans="2:24">
      <c r="B942" s="395"/>
      <c r="C942" s="371"/>
      <c r="D942" s="372" t="str">
        <f>IFERROR(INDEX('[11]Equipment List'!$B$2:$B$2038,MATCH(E942,'[11]Equipment List'!$A$2:$A$2038,0)),"")</f>
        <v/>
      </c>
      <c r="E942" s="388"/>
      <c r="F942" s="374"/>
      <c r="G942" s="375"/>
      <c r="H942" s="397"/>
      <c r="I942" s="377"/>
      <c r="J942" s="378"/>
      <c r="K942" s="379"/>
      <c r="L942" s="387"/>
      <c r="M942" s="380" t="str">
        <f t="array" ref="M942">IF(L942="","",(MAX(IF(AN$15:AN$144=B942,AO$15:AO$144))/60))</f>
        <v/>
      </c>
      <c r="N942" s="387"/>
      <c r="O942" s="387"/>
      <c r="P942" s="381" t="str">
        <f t="shared" si="57"/>
        <v/>
      </c>
      <c r="Q942" s="382" t="str">
        <f t="array" ref="Q942">IFERROR(INDEX($D$13:$D$1000,MATCH(0,COUNTIF($Q$13:Q941,$D$13:$D$1000&amp;"")+IF($D$13:$D$1000="",1,0),0)),"")</f>
        <v/>
      </c>
      <c r="R942" s="356" t="str">
        <f t="shared" si="58"/>
        <v/>
      </c>
      <c r="S942" s="383" t="str">
        <f t="shared" si="60"/>
        <v/>
      </c>
      <c r="T942" s="384" t="str">
        <f t="shared" si="59"/>
        <v/>
      </c>
      <c r="V942" s="385"/>
      <c r="W942" s="385"/>
      <c r="X942" s="386"/>
    </row>
    <row r="943" spans="2:24">
      <c r="B943" s="395"/>
      <c r="C943" s="371"/>
      <c r="D943" s="372" t="str">
        <f>IFERROR(INDEX('[11]Equipment List'!$B$2:$B$2038,MATCH(E943,'[11]Equipment List'!$A$2:$A$2038,0)),"")</f>
        <v/>
      </c>
      <c r="E943" s="388"/>
      <c r="F943" s="374"/>
      <c r="G943" s="375"/>
      <c r="H943" s="397"/>
      <c r="I943" s="377"/>
      <c r="J943" s="378"/>
      <c r="K943" s="379"/>
      <c r="L943" s="387"/>
      <c r="M943" s="380" t="str">
        <f t="array" ref="M943">IF(L943="","",(MAX(IF(AN$15:AN$144=B943,AO$15:AO$144))/60))</f>
        <v/>
      </c>
      <c r="N943" s="387"/>
      <c r="O943" s="387"/>
      <c r="P943" s="381" t="str">
        <f t="shared" si="57"/>
        <v/>
      </c>
      <c r="Q943" s="382" t="str">
        <f t="array" ref="Q943">IFERROR(INDEX($D$13:$D$1000,MATCH(0,COUNTIF($Q$13:Q942,$D$13:$D$1000&amp;"")+IF($D$13:$D$1000="",1,0),0)),"")</f>
        <v/>
      </c>
      <c r="R943" s="356" t="str">
        <f t="shared" si="58"/>
        <v/>
      </c>
      <c r="S943" s="383" t="str">
        <f t="shared" si="60"/>
        <v/>
      </c>
      <c r="T943" s="384" t="str">
        <f t="shared" si="59"/>
        <v/>
      </c>
      <c r="V943" s="385"/>
      <c r="W943" s="385"/>
      <c r="X943" s="386"/>
    </row>
    <row r="944" spans="2:24">
      <c r="B944" s="395"/>
      <c r="C944" s="371"/>
      <c r="D944" s="372" t="str">
        <f>IFERROR(INDEX('[11]Equipment List'!$B$2:$B$2038,MATCH(E944,'[11]Equipment List'!$A$2:$A$2038,0)),"")</f>
        <v/>
      </c>
      <c r="E944" s="388"/>
      <c r="F944" s="374"/>
      <c r="G944" s="375"/>
      <c r="H944" s="397"/>
      <c r="I944" s="377"/>
      <c r="J944" s="378"/>
      <c r="K944" s="379"/>
      <c r="L944" s="387"/>
      <c r="M944" s="380" t="str">
        <f t="array" ref="M944">IF(L944="","",(MAX(IF(AN$15:AN$144=B944,AO$15:AO$144))/60))</f>
        <v/>
      </c>
      <c r="N944" s="387"/>
      <c r="O944" s="387"/>
      <c r="P944" s="381" t="str">
        <f t="shared" si="57"/>
        <v/>
      </c>
      <c r="Q944" s="382" t="str">
        <f t="array" ref="Q944">IFERROR(INDEX($D$13:$D$1000,MATCH(0,COUNTIF($Q$13:Q943,$D$13:$D$1000&amp;"")+IF($D$13:$D$1000="",1,0),0)),"")</f>
        <v/>
      </c>
      <c r="R944" s="356" t="str">
        <f t="shared" si="58"/>
        <v/>
      </c>
      <c r="S944" s="383" t="str">
        <f t="shared" si="60"/>
        <v/>
      </c>
      <c r="T944" s="384" t="str">
        <f t="shared" si="59"/>
        <v/>
      </c>
      <c r="V944" s="385"/>
      <c r="W944" s="385"/>
      <c r="X944" s="386"/>
    </row>
    <row r="945" spans="2:24">
      <c r="B945" s="395"/>
      <c r="C945" s="371"/>
      <c r="D945" s="372" t="str">
        <f>IFERROR(INDEX('[11]Equipment List'!$B$2:$B$2038,MATCH(E945,'[11]Equipment List'!$A$2:$A$2038,0)),"")</f>
        <v/>
      </c>
      <c r="E945" s="388"/>
      <c r="F945" s="374"/>
      <c r="G945" s="375"/>
      <c r="H945" s="397"/>
      <c r="I945" s="377"/>
      <c r="J945" s="378"/>
      <c r="K945" s="379"/>
      <c r="L945" s="387"/>
      <c r="M945" s="380" t="str">
        <f t="array" ref="M945">IF(L945="","",(MAX(IF(AN$15:AN$144=B945,AO$15:AO$144))/60))</f>
        <v/>
      </c>
      <c r="N945" s="387"/>
      <c r="O945" s="387"/>
      <c r="P945" s="381" t="str">
        <f t="shared" si="57"/>
        <v/>
      </c>
      <c r="Q945" s="382" t="str">
        <f t="array" ref="Q945">IFERROR(INDEX($D$13:$D$1000,MATCH(0,COUNTIF($Q$13:Q944,$D$13:$D$1000&amp;"")+IF($D$13:$D$1000="",1,0),0)),"")</f>
        <v/>
      </c>
      <c r="R945" s="356" t="str">
        <f t="shared" si="58"/>
        <v/>
      </c>
      <c r="S945" s="383" t="str">
        <f t="shared" si="60"/>
        <v/>
      </c>
      <c r="T945" s="384" t="str">
        <f t="shared" si="59"/>
        <v/>
      </c>
      <c r="V945" s="385"/>
      <c r="W945" s="385"/>
      <c r="X945" s="386"/>
    </row>
    <row r="946" spans="2:24">
      <c r="B946" s="395"/>
      <c r="C946" s="371"/>
      <c r="D946" s="372" t="str">
        <f>IFERROR(INDEX('[11]Equipment List'!$B$2:$B$2038,MATCH(E946,'[11]Equipment List'!$A$2:$A$2038,0)),"")</f>
        <v/>
      </c>
      <c r="E946" s="388"/>
      <c r="F946" s="374"/>
      <c r="G946" s="375"/>
      <c r="H946" s="397"/>
      <c r="I946" s="377"/>
      <c r="J946" s="378"/>
      <c r="K946" s="379"/>
      <c r="L946" s="387"/>
      <c r="M946" s="380" t="str">
        <f t="array" ref="M946">IF(L946="","",(MAX(IF(AN$15:AN$144=B946,AO$15:AO$144))/60))</f>
        <v/>
      </c>
      <c r="N946" s="387"/>
      <c r="O946" s="387"/>
      <c r="P946" s="381" t="str">
        <f t="shared" si="57"/>
        <v/>
      </c>
      <c r="Q946" s="382" t="str">
        <f t="array" ref="Q946">IFERROR(INDEX($D$13:$D$1000,MATCH(0,COUNTIF($Q$13:Q945,$D$13:$D$1000&amp;"")+IF($D$13:$D$1000="",1,0),0)),"")</f>
        <v/>
      </c>
      <c r="R946" s="356" t="str">
        <f t="shared" si="58"/>
        <v/>
      </c>
      <c r="S946" s="383" t="str">
        <f t="shared" si="60"/>
        <v/>
      </c>
      <c r="T946" s="384" t="str">
        <f t="shared" si="59"/>
        <v/>
      </c>
      <c r="V946" s="385"/>
      <c r="W946" s="385"/>
      <c r="X946" s="386"/>
    </row>
    <row r="947" spans="2:24">
      <c r="B947" s="395"/>
      <c r="C947" s="371"/>
      <c r="D947" s="372" t="str">
        <f>IFERROR(INDEX('[11]Equipment List'!$B$2:$B$2038,MATCH(E947,'[11]Equipment List'!$A$2:$A$2038,0)),"")</f>
        <v/>
      </c>
      <c r="E947" s="388"/>
      <c r="F947" s="374"/>
      <c r="G947" s="375"/>
      <c r="H947" s="397"/>
      <c r="I947" s="377"/>
      <c r="J947" s="378"/>
      <c r="K947" s="379"/>
      <c r="L947" s="387"/>
      <c r="M947" s="380" t="str">
        <f t="array" ref="M947">IF(L947="","",(MAX(IF(AN$15:AN$144=B947,AO$15:AO$144))/60))</f>
        <v/>
      </c>
      <c r="N947" s="387"/>
      <c r="O947" s="387"/>
      <c r="P947" s="381" t="str">
        <f t="shared" si="57"/>
        <v/>
      </c>
      <c r="Q947" s="382" t="str">
        <f t="array" ref="Q947">IFERROR(INDEX($D$13:$D$1000,MATCH(0,COUNTIF($Q$13:Q946,$D$13:$D$1000&amp;"")+IF($D$13:$D$1000="",1,0),0)),"")</f>
        <v/>
      </c>
      <c r="R947" s="356" t="str">
        <f t="shared" si="58"/>
        <v/>
      </c>
      <c r="S947" s="383" t="str">
        <f t="shared" si="60"/>
        <v/>
      </c>
      <c r="T947" s="384" t="str">
        <f t="shared" si="59"/>
        <v/>
      </c>
      <c r="V947" s="385"/>
      <c r="W947" s="385"/>
      <c r="X947" s="386"/>
    </row>
    <row r="948" spans="2:24">
      <c r="B948" s="395"/>
      <c r="C948" s="371"/>
      <c r="D948" s="372" t="str">
        <f>IFERROR(INDEX('[11]Equipment List'!$B$2:$B$2038,MATCH(E948,'[11]Equipment List'!$A$2:$A$2038,0)),"")</f>
        <v/>
      </c>
      <c r="E948" s="388"/>
      <c r="F948" s="374"/>
      <c r="G948" s="375"/>
      <c r="H948" s="397"/>
      <c r="I948" s="377"/>
      <c r="J948" s="378"/>
      <c r="K948" s="379"/>
      <c r="L948" s="387"/>
      <c r="M948" s="380" t="str">
        <f t="array" ref="M948">IF(L948="","",(MAX(IF(AN$15:AN$144=B948,AO$15:AO$144))/60))</f>
        <v/>
      </c>
      <c r="N948" s="387"/>
      <c r="O948" s="387"/>
      <c r="P948" s="381" t="str">
        <f t="shared" si="57"/>
        <v/>
      </c>
      <c r="Q948" s="382" t="str">
        <f t="array" ref="Q948">IFERROR(INDEX($D$13:$D$1000,MATCH(0,COUNTIF($Q$13:Q947,$D$13:$D$1000&amp;"")+IF($D$13:$D$1000="",1,0),0)),"")</f>
        <v/>
      </c>
      <c r="R948" s="356" t="str">
        <f t="shared" si="58"/>
        <v/>
      </c>
      <c r="S948" s="383" t="str">
        <f t="shared" si="60"/>
        <v/>
      </c>
      <c r="T948" s="384" t="str">
        <f t="shared" si="59"/>
        <v/>
      </c>
      <c r="V948" s="385"/>
      <c r="W948" s="385"/>
      <c r="X948" s="386"/>
    </row>
    <row r="949" spans="2:24">
      <c r="B949" s="395"/>
      <c r="C949" s="371"/>
      <c r="D949" s="372" t="str">
        <f>IFERROR(INDEX('[11]Equipment List'!$B$2:$B$2038,MATCH(E949,'[11]Equipment List'!$A$2:$A$2038,0)),"")</f>
        <v/>
      </c>
      <c r="E949" s="388"/>
      <c r="F949" s="374"/>
      <c r="G949" s="375"/>
      <c r="H949" s="397"/>
      <c r="I949" s="377"/>
      <c r="J949" s="378"/>
      <c r="K949" s="379"/>
      <c r="L949" s="387"/>
      <c r="M949" s="380" t="str">
        <f t="array" ref="M949">IF(L949="","",(MAX(IF(AN$15:AN$144=B949,AO$15:AO$144))/60))</f>
        <v/>
      </c>
      <c r="N949" s="387"/>
      <c r="O949" s="387"/>
      <c r="P949" s="381" t="str">
        <f t="shared" si="57"/>
        <v/>
      </c>
      <c r="Q949" s="382" t="str">
        <f t="array" ref="Q949">IFERROR(INDEX($D$13:$D$1000,MATCH(0,COUNTIF($Q$13:Q948,$D$13:$D$1000&amp;"")+IF($D$13:$D$1000="",1,0),0)),"")</f>
        <v/>
      </c>
      <c r="R949" s="356" t="str">
        <f t="shared" si="58"/>
        <v/>
      </c>
      <c r="S949" s="383" t="str">
        <f t="shared" si="60"/>
        <v/>
      </c>
      <c r="T949" s="384" t="str">
        <f t="shared" si="59"/>
        <v/>
      </c>
      <c r="V949" s="385"/>
      <c r="W949" s="385"/>
      <c r="X949" s="386"/>
    </row>
    <row r="950" spans="2:24">
      <c r="B950" s="395"/>
      <c r="C950" s="371"/>
      <c r="D950" s="372" t="str">
        <f>IFERROR(INDEX('[11]Equipment List'!$B$2:$B$2038,MATCH(E950,'[11]Equipment List'!$A$2:$A$2038,0)),"")</f>
        <v/>
      </c>
      <c r="E950" s="388"/>
      <c r="F950" s="374"/>
      <c r="G950" s="375"/>
      <c r="H950" s="397"/>
      <c r="I950" s="377"/>
      <c r="J950" s="378"/>
      <c r="K950" s="379"/>
      <c r="L950" s="387"/>
      <c r="M950" s="380" t="str">
        <f t="array" ref="M950">IF(L950="","",(MAX(IF(AN$15:AN$144=B950,AO$15:AO$144))/60))</f>
        <v/>
      </c>
      <c r="N950" s="387"/>
      <c r="O950" s="387"/>
      <c r="P950" s="381" t="str">
        <f t="shared" si="57"/>
        <v/>
      </c>
      <c r="Q950" s="382" t="str">
        <f t="array" ref="Q950">IFERROR(INDEX($D$13:$D$1000,MATCH(0,COUNTIF($Q$13:Q949,$D$13:$D$1000&amp;"")+IF($D$13:$D$1000="",1,0),0)),"")</f>
        <v/>
      </c>
      <c r="R950" s="356" t="str">
        <f t="shared" si="58"/>
        <v/>
      </c>
      <c r="S950" s="383" t="str">
        <f t="shared" si="60"/>
        <v/>
      </c>
      <c r="T950" s="384" t="str">
        <f t="shared" si="59"/>
        <v/>
      </c>
      <c r="V950" s="385"/>
      <c r="W950" s="385"/>
      <c r="X950" s="386"/>
    </row>
    <row r="951" spans="2:24">
      <c r="B951" s="395"/>
      <c r="C951" s="371"/>
      <c r="D951" s="372" t="str">
        <f>IFERROR(INDEX('[11]Equipment List'!$B$2:$B$2038,MATCH(E951,'[11]Equipment List'!$A$2:$A$2038,0)),"")</f>
        <v/>
      </c>
      <c r="E951" s="388"/>
      <c r="F951" s="374"/>
      <c r="G951" s="375"/>
      <c r="H951" s="397"/>
      <c r="I951" s="377"/>
      <c r="J951" s="378"/>
      <c r="K951" s="379"/>
      <c r="L951" s="387"/>
      <c r="M951" s="380" t="str">
        <f t="array" ref="M951">IF(L951="","",(MAX(IF(AN$15:AN$144=B951,AO$15:AO$144))/60))</f>
        <v/>
      </c>
      <c r="N951" s="387"/>
      <c r="O951" s="387"/>
      <c r="P951" s="381" t="str">
        <f t="shared" si="57"/>
        <v/>
      </c>
      <c r="Q951" s="382" t="str">
        <f t="array" ref="Q951">IFERROR(INDEX($D$13:$D$1000,MATCH(0,COUNTIF($Q$13:Q950,$D$13:$D$1000&amp;"")+IF($D$13:$D$1000="",1,0),0)),"")</f>
        <v/>
      </c>
      <c r="R951" s="356" t="str">
        <f t="shared" si="58"/>
        <v/>
      </c>
      <c r="S951" s="383" t="str">
        <f t="shared" si="60"/>
        <v/>
      </c>
      <c r="T951" s="384" t="str">
        <f t="shared" si="59"/>
        <v/>
      </c>
      <c r="V951" s="385"/>
      <c r="W951" s="385"/>
      <c r="X951" s="386"/>
    </row>
    <row r="952" spans="2:24">
      <c r="B952" s="395"/>
      <c r="C952" s="371"/>
      <c r="D952" s="372" t="str">
        <f>IFERROR(INDEX('[11]Equipment List'!$B$2:$B$2038,MATCH(E952,'[11]Equipment List'!$A$2:$A$2038,0)),"")</f>
        <v/>
      </c>
      <c r="E952" s="388"/>
      <c r="F952" s="374"/>
      <c r="G952" s="375"/>
      <c r="H952" s="397"/>
      <c r="I952" s="377"/>
      <c r="J952" s="378"/>
      <c r="K952" s="379"/>
      <c r="L952" s="387"/>
      <c r="M952" s="380" t="str">
        <f t="array" ref="M952">IF(L952="","",(MAX(IF(AN$15:AN$144=B952,AO$15:AO$144))/60))</f>
        <v/>
      </c>
      <c r="N952" s="387"/>
      <c r="O952" s="387"/>
      <c r="P952" s="381" t="str">
        <f t="shared" si="57"/>
        <v/>
      </c>
      <c r="Q952" s="382" t="str">
        <f t="array" ref="Q952">IFERROR(INDEX($D$13:$D$1000,MATCH(0,COUNTIF($Q$13:Q951,$D$13:$D$1000&amp;"")+IF($D$13:$D$1000="",1,0),0)),"")</f>
        <v/>
      </c>
      <c r="R952" s="356" t="str">
        <f t="shared" si="58"/>
        <v/>
      </c>
      <c r="S952" s="383" t="str">
        <f t="shared" si="60"/>
        <v/>
      </c>
      <c r="T952" s="384" t="str">
        <f t="shared" si="59"/>
        <v/>
      </c>
      <c r="V952" s="385"/>
      <c r="W952" s="385"/>
      <c r="X952" s="386"/>
    </row>
    <row r="953" spans="2:24">
      <c r="B953" s="395"/>
      <c r="C953" s="371"/>
      <c r="D953" s="372" t="str">
        <f>IFERROR(INDEX('[11]Equipment List'!$B$2:$B$2038,MATCH(E953,'[11]Equipment List'!$A$2:$A$2038,0)),"")</f>
        <v/>
      </c>
      <c r="E953" s="388"/>
      <c r="F953" s="374"/>
      <c r="G953" s="375"/>
      <c r="H953" s="397"/>
      <c r="I953" s="377"/>
      <c r="J953" s="378"/>
      <c r="K953" s="379"/>
      <c r="L953" s="387"/>
      <c r="M953" s="380" t="str">
        <f t="array" ref="M953">IF(L953="","",(MAX(IF(AN$15:AN$144=B953,AO$15:AO$144))/60))</f>
        <v/>
      </c>
      <c r="N953" s="387"/>
      <c r="O953" s="387"/>
      <c r="P953" s="381" t="str">
        <f t="shared" si="57"/>
        <v/>
      </c>
      <c r="Q953" s="382" t="str">
        <f t="array" ref="Q953">IFERROR(INDEX($D$13:$D$1000,MATCH(0,COUNTIF($Q$13:Q952,$D$13:$D$1000&amp;"")+IF($D$13:$D$1000="",1,0),0)),"")</f>
        <v/>
      </c>
      <c r="R953" s="356" t="str">
        <f t="shared" si="58"/>
        <v/>
      </c>
      <c r="S953" s="383" t="str">
        <f t="shared" si="60"/>
        <v/>
      </c>
      <c r="T953" s="384" t="str">
        <f t="shared" si="59"/>
        <v/>
      </c>
      <c r="V953" s="385"/>
      <c r="W953" s="385"/>
      <c r="X953" s="386"/>
    </row>
    <row r="954" spans="2:24">
      <c r="B954" s="395"/>
      <c r="C954" s="371"/>
      <c r="D954" s="372" t="str">
        <f>IFERROR(INDEX('[11]Equipment List'!$B$2:$B$2038,MATCH(E954,'[11]Equipment List'!$A$2:$A$2038,0)),"")</f>
        <v/>
      </c>
      <c r="E954" s="388"/>
      <c r="F954" s="374"/>
      <c r="G954" s="375"/>
      <c r="H954" s="397"/>
      <c r="I954" s="377"/>
      <c r="J954" s="378"/>
      <c r="K954" s="379"/>
      <c r="L954" s="387"/>
      <c r="M954" s="380" t="str">
        <f t="array" ref="M954">IF(L954="","",(MAX(IF(AN$15:AN$144=B954,AO$15:AO$144))/60))</f>
        <v/>
      </c>
      <c r="N954" s="387"/>
      <c r="O954" s="387"/>
      <c r="P954" s="381" t="str">
        <f t="shared" si="57"/>
        <v/>
      </c>
      <c r="Q954" s="382" t="str">
        <f t="array" ref="Q954">IFERROR(INDEX($D$13:$D$1000,MATCH(0,COUNTIF($Q$13:Q953,$D$13:$D$1000&amp;"")+IF($D$13:$D$1000="",1,0),0)),"")</f>
        <v/>
      </c>
      <c r="R954" s="356" t="str">
        <f t="shared" si="58"/>
        <v/>
      </c>
      <c r="S954" s="383" t="str">
        <f t="shared" si="60"/>
        <v/>
      </c>
      <c r="T954" s="384" t="str">
        <f t="shared" si="59"/>
        <v/>
      </c>
      <c r="V954" s="385"/>
      <c r="W954" s="385"/>
      <c r="X954" s="386"/>
    </row>
    <row r="955" spans="2:24">
      <c r="B955" s="395"/>
      <c r="C955" s="371"/>
      <c r="D955" s="372" t="str">
        <f>IFERROR(INDEX('[11]Equipment List'!$B$2:$B$2038,MATCH(E955,'[11]Equipment List'!$A$2:$A$2038,0)),"")</f>
        <v/>
      </c>
      <c r="E955" s="388"/>
      <c r="F955" s="374"/>
      <c r="G955" s="375"/>
      <c r="H955" s="397"/>
      <c r="I955" s="377"/>
      <c r="J955" s="378"/>
      <c r="K955" s="379"/>
      <c r="L955" s="387"/>
      <c r="M955" s="380" t="str">
        <f t="array" ref="M955">IF(L955="","",(MAX(IF(AN$15:AN$144=B955,AO$15:AO$144))/60))</f>
        <v/>
      </c>
      <c r="N955" s="387"/>
      <c r="O955" s="387"/>
      <c r="P955" s="381" t="str">
        <f t="shared" si="57"/>
        <v/>
      </c>
      <c r="Q955" s="382" t="str">
        <f t="array" ref="Q955">IFERROR(INDEX($D$13:$D$1000,MATCH(0,COUNTIF($Q$13:Q954,$D$13:$D$1000&amp;"")+IF($D$13:$D$1000="",1,0),0)),"")</f>
        <v/>
      </c>
      <c r="R955" s="356" t="str">
        <f t="shared" si="58"/>
        <v/>
      </c>
      <c r="S955" s="383" t="str">
        <f t="shared" si="60"/>
        <v/>
      </c>
      <c r="T955" s="384" t="str">
        <f t="shared" si="59"/>
        <v/>
      </c>
      <c r="V955" s="385"/>
      <c r="W955" s="385"/>
      <c r="X955" s="386"/>
    </row>
    <row r="956" spans="2:24">
      <c r="B956" s="395"/>
      <c r="C956" s="371"/>
      <c r="D956" s="372" t="str">
        <f>IFERROR(INDEX('[11]Equipment List'!$B$2:$B$2038,MATCH(E956,'[11]Equipment List'!$A$2:$A$2038,0)),"")</f>
        <v/>
      </c>
      <c r="E956" s="388"/>
      <c r="F956" s="374"/>
      <c r="G956" s="375"/>
      <c r="H956" s="397"/>
      <c r="I956" s="377"/>
      <c r="J956" s="378"/>
      <c r="K956" s="379"/>
      <c r="L956" s="387"/>
      <c r="M956" s="380" t="str">
        <f t="array" ref="M956">IF(L956="","",(MAX(IF(AN$15:AN$144=B956,AO$15:AO$144))/60))</f>
        <v/>
      </c>
      <c r="N956" s="387"/>
      <c r="O956" s="387"/>
      <c r="P956" s="381" t="str">
        <f t="shared" si="57"/>
        <v/>
      </c>
      <c r="Q956" s="382" t="str">
        <f t="array" ref="Q956">IFERROR(INDEX($D$13:$D$1000,MATCH(0,COUNTIF($Q$13:Q955,$D$13:$D$1000&amp;"")+IF($D$13:$D$1000="",1,0),0)),"")</f>
        <v/>
      </c>
      <c r="R956" s="356" t="str">
        <f t="shared" si="58"/>
        <v/>
      </c>
      <c r="S956" s="383" t="str">
        <f t="shared" si="60"/>
        <v/>
      </c>
      <c r="T956" s="384" t="str">
        <f t="shared" si="59"/>
        <v/>
      </c>
      <c r="V956" s="385"/>
      <c r="W956" s="385"/>
      <c r="X956" s="386"/>
    </row>
    <row r="957" spans="2:24">
      <c r="B957" s="395"/>
      <c r="C957" s="371"/>
      <c r="D957" s="372" t="str">
        <f>IFERROR(INDEX('[11]Equipment List'!$B$2:$B$2038,MATCH(E957,'[11]Equipment List'!$A$2:$A$2038,0)),"")</f>
        <v/>
      </c>
      <c r="E957" s="388"/>
      <c r="F957" s="374"/>
      <c r="G957" s="375"/>
      <c r="H957" s="397"/>
      <c r="I957" s="377"/>
      <c r="J957" s="378"/>
      <c r="K957" s="379"/>
      <c r="L957" s="387"/>
      <c r="M957" s="380" t="str">
        <f t="array" ref="M957">IF(L957="","",(MAX(IF(AN$15:AN$144=B957,AO$15:AO$144))/60))</f>
        <v/>
      </c>
      <c r="N957" s="387"/>
      <c r="O957" s="387"/>
      <c r="P957" s="381" t="str">
        <f t="shared" si="57"/>
        <v/>
      </c>
      <c r="Q957" s="382" t="str">
        <f t="array" ref="Q957">IFERROR(INDEX($D$13:$D$1000,MATCH(0,COUNTIF($Q$13:Q956,$D$13:$D$1000&amp;"")+IF($D$13:$D$1000="",1,0),0)),"")</f>
        <v/>
      </c>
      <c r="R957" s="356" t="str">
        <f t="shared" si="58"/>
        <v/>
      </c>
      <c r="S957" s="383" t="str">
        <f t="shared" si="60"/>
        <v/>
      </c>
      <c r="T957" s="384" t="str">
        <f t="shared" si="59"/>
        <v/>
      </c>
      <c r="V957" s="385"/>
      <c r="W957" s="385"/>
      <c r="X957" s="386"/>
    </row>
    <row r="958" spans="2:24">
      <c r="B958" s="395"/>
      <c r="C958" s="371"/>
      <c r="D958" s="372" t="str">
        <f>IFERROR(INDEX('[11]Equipment List'!$B$2:$B$2038,MATCH(E958,'[11]Equipment List'!$A$2:$A$2038,0)),"")</f>
        <v/>
      </c>
      <c r="E958" s="388"/>
      <c r="F958" s="374"/>
      <c r="G958" s="375"/>
      <c r="H958" s="397"/>
      <c r="I958" s="377"/>
      <c r="J958" s="378"/>
      <c r="K958" s="379"/>
      <c r="L958" s="387"/>
      <c r="M958" s="380" t="str">
        <f t="array" ref="M958">IF(L958="","",(MAX(IF(AN$15:AN$144=B958,AO$15:AO$144))/60))</f>
        <v/>
      </c>
      <c r="N958" s="387"/>
      <c r="O958" s="387"/>
      <c r="P958" s="381" t="str">
        <f t="shared" si="57"/>
        <v/>
      </c>
      <c r="Q958" s="382" t="str">
        <f t="array" ref="Q958">IFERROR(INDEX($D$13:$D$1000,MATCH(0,COUNTIF($Q$13:Q957,$D$13:$D$1000&amp;"")+IF($D$13:$D$1000="",1,0),0)),"")</f>
        <v/>
      </c>
      <c r="R958" s="356" t="str">
        <f t="shared" si="58"/>
        <v/>
      </c>
      <c r="S958" s="383" t="str">
        <f t="shared" si="60"/>
        <v/>
      </c>
      <c r="T958" s="384" t="str">
        <f t="shared" si="59"/>
        <v/>
      </c>
      <c r="V958" s="385"/>
      <c r="W958" s="385"/>
      <c r="X958" s="386"/>
    </row>
    <row r="959" spans="2:24">
      <c r="B959" s="395"/>
      <c r="C959" s="371"/>
      <c r="D959" s="372" t="str">
        <f>IFERROR(INDEX('[11]Equipment List'!$B$2:$B$2038,MATCH(E959,'[11]Equipment List'!$A$2:$A$2038,0)),"")</f>
        <v/>
      </c>
      <c r="E959" s="388"/>
      <c r="F959" s="374"/>
      <c r="G959" s="375"/>
      <c r="H959" s="397"/>
      <c r="I959" s="377"/>
      <c r="J959" s="378"/>
      <c r="K959" s="379"/>
      <c r="L959" s="387"/>
      <c r="M959" s="380" t="str">
        <f t="array" ref="M959">IF(L959="","",(MAX(IF(AN$15:AN$144=B959,AO$15:AO$144))/60))</f>
        <v/>
      </c>
      <c r="N959" s="387"/>
      <c r="O959" s="387"/>
      <c r="P959" s="381" t="str">
        <f t="shared" si="57"/>
        <v/>
      </c>
      <c r="Q959" s="382" t="str">
        <f t="array" ref="Q959">IFERROR(INDEX($D$13:$D$1000,MATCH(0,COUNTIF($Q$13:Q958,$D$13:$D$1000&amp;"")+IF($D$13:$D$1000="",1,0),0)),"")</f>
        <v/>
      </c>
      <c r="R959" s="356" t="str">
        <f t="shared" si="58"/>
        <v/>
      </c>
      <c r="S959" s="383" t="str">
        <f t="shared" si="60"/>
        <v/>
      </c>
      <c r="T959" s="384" t="str">
        <f t="shared" si="59"/>
        <v/>
      </c>
      <c r="V959" s="385"/>
      <c r="W959" s="385"/>
      <c r="X959" s="386"/>
    </row>
    <row r="960" spans="2:24">
      <c r="B960" s="395"/>
      <c r="C960" s="371"/>
      <c r="D960" s="372" t="str">
        <f>IFERROR(INDEX('[11]Equipment List'!$B$2:$B$2038,MATCH(E960,'[11]Equipment List'!$A$2:$A$2038,0)),"")</f>
        <v/>
      </c>
      <c r="E960" s="388"/>
      <c r="F960" s="374"/>
      <c r="G960" s="375"/>
      <c r="H960" s="397"/>
      <c r="I960" s="377"/>
      <c r="J960" s="378"/>
      <c r="K960" s="379"/>
      <c r="L960" s="387"/>
      <c r="M960" s="380" t="str">
        <f t="array" ref="M960">IF(L960="","",(MAX(IF(AN$15:AN$144=B960,AO$15:AO$144))/60))</f>
        <v/>
      </c>
      <c r="N960" s="387"/>
      <c r="O960" s="387"/>
      <c r="P960" s="381" t="str">
        <f t="shared" si="57"/>
        <v/>
      </c>
      <c r="Q960" s="382" t="str">
        <f t="array" ref="Q960">IFERROR(INDEX($D$13:$D$1000,MATCH(0,COUNTIF($Q$13:Q959,$D$13:$D$1000&amp;"")+IF($D$13:$D$1000="",1,0),0)),"")</f>
        <v/>
      </c>
      <c r="R960" s="356" t="str">
        <f t="shared" si="58"/>
        <v/>
      </c>
      <c r="S960" s="383" t="str">
        <f t="shared" si="60"/>
        <v/>
      </c>
      <c r="T960" s="384" t="str">
        <f t="shared" si="59"/>
        <v/>
      </c>
      <c r="V960" s="385"/>
      <c r="W960" s="385"/>
      <c r="X960" s="386"/>
    </row>
    <row r="961" spans="2:24">
      <c r="B961" s="395"/>
      <c r="C961" s="371"/>
      <c r="D961" s="372" t="str">
        <f>IFERROR(INDEX('[11]Equipment List'!$B$2:$B$2038,MATCH(E961,'[11]Equipment List'!$A$2:$A$2038,0)),"")</f>
        <v/>
      </c>
      <c r="E961" s="388"/>
      <c r="F961" s="374"/>
      <c r="G961" s="375"/>
      <c r="H961" s="397"/>
      <c r="I961" s="377"/>
      <c r="J961" s="378"/>
      <c r="K961" s="379"/>
      <c r="L961" s="387"/>
      <c r="M961" s="380" t="str">
        <f t="array" ref="M961">IF(L961="","",(MAX(IF(AN$15:AN$144=B961,AO$15:AO$144))/60))</f>
        <v/>
      </c>
      <c r="N961" s="387"/>
      <c r="O961" s="387"/>
      <c r="P961" s="381" t="str">
        <f t="shared" si="57"/>
        <v/>
      </c>
      <c r="Q961" s="382" t="str">
        <f t="array" ref="Q961">IFERROR(INDEX($D$13:$D$1000,MATCH(0,COUNTIF($Q$13:Q960,$D$13:$D$1000&amp;"")+IF($D$13:$D$1000="",1,0),0)),"")</f>
        <v/>
      </c>
      <c r="R961" s="356" t="str">
        <f t="shared" si="58"/>
        <v/>
      </c>
      <c r="S961" s="383" t="str">
        <f t="shared" si="60"/>
        <v/>
      </c>
      <c r="T961" s="384" t="str">
        <f t="shared" si="59"/>
        <v/>
      </c>
      <c r="V961" s="385"/>
      <c r="W961" s="385"/>
      <c r="X961" s="386"/>
    </row>
    <row r="962" spans="2:24">
      <c r="B962" s="395"/>
      <c r="C962" s="371"/>
      <c r="D962" s="372" t="str">
        <f>IFERROR(INDEX('[11]Equipment List'!$B$2:$B$2038,MATCH(E962,'[11]Equipment List'!$A$2:$A$2038,0)),"")</f>
        <v/>
      </c>
      <c r="E962" s="388"/>
      <c r="F962" s="374"/>
      <c r="G962" s="375"/>
      <c r="H962" s="397"/>
      <c r="I962" s="377"/>
      <c r="J962" s="378"/>
      <c r="K962" s="379"/>
      <c r="L962" s="387"/>
      <c r="M962" s="380" t="str">
        <f t="array" ref="M962">IF(L962="","",(MAX(IF(AN$15:AN$144=B962,AO$15:AO$144))/60))</f>
        <v/>
      </c>
      <c r="N962" s="387"/>
      <c r="O962" s="387"/>
      <c r="P962" s="381" t="str">
        <f t="shared" si="57"/>
        <v/>
      </c>
      <c r="Q962" s="382" t="str">
        <f t="array" ref="Q962">IFERROR(INDEX($D$13:$D$1000,MATCH(0,COUNTIF($Q$13:Q961,$D$13:$D$1000&amp;"")+IF($D$13:$D$1000="",1,0),0)),"")</f>
        <v/>
      </c>
      <c r="R962" s="356" t="str">
        <f t="shared" si="58"/>
        <v/>
      </c>
      <c r="S962" s="383" t="str">
        <f t="shared" si="60"/>
        <v/>
      </c>
      <c r="T962" s="384" t="str">
        <f t="shared" si="59"/>
        <v/>
      </c>
      <c r="V962" s="385"/>
      <c r="W962" s="385"/>
      <c r="X962" s="386"/>
    </row>
    <row r="963" spans="2:24">
      <c r="B963" s="395"/>
      <c r="C963" s="371"/>
      <c r="D963" s="372" t="str">
        <f>IFERROR(INDEX('[11]Equipment List'!$B$2:$B$2038,MATCH(E963,'[11]Equipment List'!$A$2:$A$2038,0)),"")</f>
        <v/>
      </c>
      <c r="E963" s="388"/>
      <c r="F963" s="374"/>
      <c r="G963" s="375"/>
      <c r="H963" s="397"/>
      <c r="I963" s="377"/>
      <c r="J963" s="378"/>
      <c r="K963" s="379"/>
      <c r="L963" s="387"/>
      <c r="M963" s="380" t="str">
        <f t="array" ref="M963">IF(L963="","",(MAX(IF(AN$15:AN$144=B963,AO$15:AO$144))/60))</f>
        <v/>
      </c>
      <c r="N963" s="387"/>
      <c r="O963" s="387"/>
      <c r="P963" s="381" t="str">
        <f t="shared" si="57"/>
        <v/>
      </c>
      <c r="Q963" s="382" t="str">
        <f t="array" ref="Q963">IFERROR(INDEX($D$13:$D$1000,MATCH(0,COUNTIF($Q$13:Q962,$D$13:$D$1000&amp;"")+IF($D$13:$D$1000="",1,0),0)),"")</f>
        <v/>
      </c>
      <c r="R963" s="356" t="str">
        <f t="shared" si="58"/>
        <v/>
      </c>
      <c r="S963" s="383" t="str">
        <f t="shared" si="60"/>
        <v/>
      </c>
      <c r="T963" s="384" t="str">
        <f t="shared" si="59"/>
        <v/>
      </c>
      <c r="V963" s="385"/>
      <c r="W963" s="385"/>
      <c r="X963" s="386"/>
    </row>
    <row r="964" spans="2:24">
      <c r="B964" s="395"/>
      <c r="C964" s="371"/>
      <c r="D964" s="372" t="str">
        <f>IFERROR(INDEX('[11]Equipment List'!$B$2:$B$2038,MATCH(E964,'[11]Equipment List'!$A$2:$A$2038,0)),"")</f>
        <v/>
      </c>
      <c r="E964" s="388"/>
      <c r="F964" s="374"/>
      <c r="G964" s="375"/>
      <c r="H964" s="397"/>
      <c r="I964" s="377"/>
      <c r="J964" s="378"/>
      <c r="K964" s="379"/>
      <c r="L964" s="387"/>
      <c r="M964" s="380" t="str">
        <f t="array" ref="M964">IF(L964="","",(MAX(IF(AN$15:AN$144=B964,AO$15:AO$144))/60))</f>
        <v/>
      </c>
      <c r="N964" s="387"/>
      <c r="O964" s="387"/>
      <c r="P964" s="381" t="str">
        <f t="shared" si="57"/>
        <v/>
      </c>
      <c r="Q964" s="382" t="str">
        <f t="array" ref="Q964">IFERROR(INDEX($D$13:$D$1000,MATCH(0,COUNTIF($Q$13:Q963,$D$13:$D$1000&amp;"")+IF($D$13:$D$1000="",1,0),0)),"")</f>
        <v/>
      </c>
      <c r="R964" s="356" t="str">
        <f t="shared" si="58"/>
        <v/>
      </c>
      <c r="S964" s="383" t="str">
        <f t="shared" si="60"/>
        <v/>
      </c>
      <c r="T964" s="384" t="str">
        <f t="shared" si="59"/>
        <v/>
      </c>
      <c r="V964" s="385"/>
      <c r="W964" s="385"/>
      <c r="X964" s="386"/>
    </row>
    <row r="965" spans="2:24">
      <c r="B965" s="395"/>
      <c r="C965" s="371"/>
      <c r="D965" s="372" t="str">
        <f>IFERROR(INDEX('[11]Equipment List'!$B$2:$B$2038,MATCH(E965,'[11]Equipment List'!$A$2:$A$2038,0)),"")</f>
        <v/>
      </c>
      <c r="E965" s="388"/>
      <c r="F965" s="374"/>
      <c r="G965" s="375"/>
      <c r="H965" s="397"/>
      <c r="I965" s="377"/>
      <c r="J965" s="378"/>
      <c r="K965" s="379"/>
      <c r="L965" s="387"/>
      <c r="M965" s="380" t="str">
        <f t="array" ref="M965">IF(L965="","",(MAX(IF(AN$15:AN$144=B965,AO$15:AO$144))/60))</f>
        <v/>
      </c>
      <c r="N965" s="387"/>
      <c r="O965" s="387"/>
      <c r="P965" s="381" t="str">
        <f t="shared" si="57"/>
        <v/>
      </c>
      <c r="Q965" s="382" t="str">
        <f t="array" ref="Q965">IFERROR(INDEX($D$13:$D$1000,MATCH(0,COUNTIF($Q$13:Q964,$D$13:$D$1000&amp;"")+IF($D$13:$D$1000="",1,0),0)),"")</f>
        <v/>
      </c>
      <c r="R965" s="356" t="str">
        <f t="shared" si="58"/>
        <v/>
      </c>
      <c r="S965" s="383" t="str">
        <f t="shared" si="60"/>
        <v/>
      </c>
      <c r="T965" s="384" t="str">
        <f t="shared" si="59"/>
        <v/>
      </c>
      <c r="V965" s="385"/>
      <c r="W965" s="385"/>
      <c r="X965" s="386"/>
    </row>
    <row r="966" spans="2:24">
      <c r="B966" s="395"/>
      <c r="C966" s="371"/>
      <c r="D966" s="372" t="str">
        <f>IFERROR(INDEX('[11]Equipment List'!$B$2:$B$2038,MATCH(E966,'[11]Equipment List'!$A$2:$A$2038,0)),"")</f>
        <v/>
      </c>
      <c r="E966" s="388"/>
      <c r="F966" s="374"/>
      <c r="G966" s="375"/>
      <c r="H966" s="397"/>
      <c r="I966" s="377"/>
      <c r="J966" s="378"/>
      <c r="K966" s="379"/>
      <c r="L966" s="387"/>
      <c r="M966" s="380" t="str">
        <f t="array" ref="M966">IF(L966="","",(MAX(IF(AN$15:AN$144=B966,AO$15:AO$144))/60))</f>
        <v/>
      </c>
      <c r="N966" s="387"/>
      <c r="O966" s="387"/>
      <c r="P966" s="381" t="str">
        <f t="shared" si="57"/>
        <v/>
      </c>
      <c r="Q966" s="382" t="str">
        <f t="array" ref="Q966">IFERROR(INDEX($D$13:$D$1000,MATCH(0,COUNTIF($Q$13:Q965,$D$13:$D$1000&amp;"")+IF($D$13:$D$1000="",1,0),0)),"")</f>
        <v/>
      </c>
      <c r="R966" s="356" t="str">
        <f t="shared" si="58"/>
        <v/>
      </c>
      <c r="S966" s="383" t="str">
        <f t="shared" si="60"/>
        <v/>
      </c>
      <c r="T966" s="384" t="str">
        <f t="shared" si="59"/>
        <v/>
      </c>
      <c r="V966" s="385"/>
      <c r="W966" s="385"/>
      <c r="X966" s="386"/>
    </row>
    <row r="967" spans="2:24">
      <c r="B967" s="395"/>
      <c r="C967" s="371"/>
      <c r="D967" s="372" t="str">
        <f>IFERROR(INDEX('[11]Equipment List'!$B$2:$B$2038,MATCH(E967,'[11]Equipment List'!$A$2:$A$2038,0)),"")</f>
        <v/>
      </c>
      <c r="E967" s="388"/>
      <c r="F967" s="374"/>
      <c r="G967" s="375"/>
      <c r="H967" s="397"/>
      <c r="I967" s="377"/>
      <c r="J967" s="378"/>
      <c r="K967" s="379"/>
      <c r="L967" s="387"/>
      <c r="M967" s="380" t="str">
        <f t="array" ref="M967">IF(L967="","",(MAX(IF(AN$15:AN$144=B967,AO$15:AO$144))/60))</f>
        <v/>
      </c>
      <c r="N967" s="387"/>
      <c r="O967" s="387"/>
      <c r="P967" s="381" t="str">
        <f t="shared" si="57"/>
        <v/>
      </c>
      <c r="Q967" s="382" t="str">
        <f t="array" ref="Q967">IFERROR(INDEX($D$13:$D$1000,MATCH(0,COUNTIF($Q$13:Q966,$D$13:$D$1000&amp;"")+IF($D$13:$D$1000="",1,0),0)),"")</f>
        <v/>
      </c>
      <c r="R967" s="356" t="str">
        <f t="shared" si="58"/>
        <v/>
      </c>
      <c r="S967" s="383" t="str">
        <f t="shared" si="60"/>
        <v/>
      </c>
      <c r="T967" s="384" t="str">
        <f t="shared" si="59"/>
        <v/>
      </c>
      <c r="V967" s="385"/>
      <c r="W967" s="385"/>
      <c r="X967" s="386"/>
    </row>
    <row r="968" spans="2:24">
      <c r="B968" s="395"/>
      <c r="C968" s="371"/>
      <c r="D968" s="372" t="str">
        <f>IFERROR(INDEX('[11]Equipment List'!$B$2:$B$2038,MATCH(E968,'[11]Equipment List'!$A$2:$A$2038,0)),"")</f>
        <v/>
      </c>
      <c r="E968" s="388"/>
      <c r="F968" s="374"/>
      <c r="G968" s="375"/>
      <c r="H968" s="397"/>
      <c r="I968" s="377"/>
      <c r="J968" s="378"/>
      <c r="K968" s="379"/>
      <c r="L968" s="387"/>
      <c r="M968" s="380" t="str">
        <f t="array" ref="M968">IF(L968="","",(MAX(IF(AN$15:AN$144=B968,AO$15:AO$144))/60))</f>
        <v/>
      </c>
      <c r="N968" s="387"/>
      <c r="O968" s="387"/>
      <c r="P968" s="381" t="str">
        <f t="shared" si="57"/>
        <v/>
      </c>
      <c r="Q968" s="382" t="str">
        <f t="array" ref="Q968">IFERROR(INDEX($D$13:$D$1000,MATCH(0,COUNTIF($Q$13:Q967,$D$13:$D$1000&amp;"")+IF($D$13:$D$1000="",1,0),0)),"")</f>
        <v/>
      </c>
      <c r="R968" s="356" t="str">
        <f t="shared" si="58"/>
        <v/>
      </c>
      <c r="S968" s="383" t="str">
        <f t="shared" si="60"/>
        <v/>
      </c>
      <c r="T968" s="384" t="str">
        <f t="shared" si="59"/>
        <v/>
      </c>
      <c r="V968" s="385"/>
      <c r="W968" s="385"/>
      <c r="X968" s="386"/>
    </row>
    <row r="969" spans="2:24">
      <c r="B969" s="395"/>
      <c r="C969" s="371"/>
      <c r="D969" s="372" t="str">
        <f>IFERROR(INDEX('[11]Equipment List'!$B$2:$B$2038,MATCH(E969,'[11]Equipment List'!$A$2:$A$2038,0)),"")</f>
        <v/>
      </c>
      <c r="E969" s="388"/>
      <c r="F969" s="374"/>
      <c r="G969" s="375"/>
      <c r="H969" s="397"/>
      <c r="I969" s="377"/>
      <c r="J969" s="378"/>
      <c r="K969" s="379"/>
      <c r="L969" s="387"/>
      <c r="M969" s="380" t="str">
        <f t="array" ref="M969">IF(L969="","",(MAX(IF(AN$15:AN$144=B969,AO$15:AO$144))/60))</f>
        <v/>
      </c>
      <c r="N969" s="387"/>
      <c r="O969" s="387"/>
      <c r="P969" s="381" t="str">
        <f t="shared" si="57"/>
        <v/>
      </c>
      <c r="Q969" s="382" t="str">
        <f t="array" ref="Q969">IFERROR(INDEX($D$13:$D$1000,MATCH(0,COUNTIF($Q$13:Q968,$D$13:$D$1000&amp;"")+IF($D$13:$D$1000="",1,0),0)),"")</f>
        <v/>
      </c>
      <c r="R969" s="356" t="str">
        <f t="shared" si="58"/>
        <v/>
      </c>
      <c r="S969" s="383" t="str">
        <f t="shared" si="60"/>
        <v/>
      </c>
      <c r="T969" s="384" t="str">
        <f t="shared" si="59"/>
        <v/>
      </c>
      <c r="V969" s="385"/>
      <c r="W969" s="385"/>
      <c r="X969" s="386"/>
    </row>
    <row r="970" spans="2:24">
      <c r="B970" s="395"/>
      <c r="C970" s="371"/>
      <c r="D970" s="372" t="str">
        <f>IFERROR(INDEX('[11]Equipment List'!$B$2:$B$2038,MATCH(E970,'[11]Equipment List'!$A$2:$A$2038,0)),"")</f>
        <v/>
      </c>
      <c r="E970" s="388"/>
      <c r="F970" s="374"/>
      <c r="G970" s="375"/>
      <c r="H970" s="397"/>
      <c r="I970" s="377"/>
      <c r="J970" s="378"/>
      <c r="K970" s="379"/>
      <c r="L970" s="387"/>
      <c r="M970" s="380" t="str">
        <f t="array" ref="M970">IF(L970="","",(MAX(IF(AN$15:AN$144=B970,AO$15:AO$144))/60))</f>
        <v/>
      </c>
      <c r="N970" s="387"/>
      <c r="O970" s="387"/>
      <c r="P970" s="381" t="str">
        <f t="shared" si="57"/>
        <v/>
      </c>
      <c r="Q970" s="382" t="str">
        <f t="array" ref="Q970">IFERROR(INDEX($D$13:$D$1000,MATCH(0,COUNTIF($Q$13:Q969,$D$13:$D$1000&amp;"")+IF($D$13:$D$1000="",1,0),0)),"")</f>
        <v/>
      </c>
      <c r="R970" s="356" t="str">
        <f t="shared" si="58"/>
        <v/>
      </c>
      <c r="S970" s="383" t="str">
        <f t="shared" si="60"/>
        <v/>
      </c>
      <c r="T970" s="384" t="str">
        <f t="shared" si="59"/>
        <v/>
      </c>
      <c r="V970" s="385"/>
      <c r="W970" s="385"/>
      <c r="X970" s="386"/>
    </row>
    <row r="971" spans="2:24">
      <c r="B971" s="395"/>
      <c r="C971" s="371"/>
      <c r="D971" s="372" t="str">
        <f>IFERROR(INDEX('[11]Equipment List'!$B$2:$B$2038,MATCH(E971,'[11]Equipment List'!$A$2:$A$2038,0)),"")</f>
        <v/>
      </c>
      <c r="E971" s="388"/>
      <c r="F971" s="374"/>
      <c r="G971" s="375"/>
      <c r="H971" s="397"/>
      <c r="I971" s="377"/>
      <c r="J971" s="378"/>
      <c r="K971" s="379"/>
      <c r="L971" s="387"/>
      <c r="M971" s="380" t="str">
        <f t="array" ref="M971">IF(L971="","",(MAX(IF(AN$15:AN$144=B971,AO$15:AO$144))/60))</f>
        <v/>
      </c>
      <c r="N971" s="387"/>
      <c r="O971" s="387"/>
      <c r="P971" s="381" t="str">
        <f t="shared" si="57"/>
        <v/>
      </c>
      <c r="Q971" s="382" t="str">
        <f t="array" ref="Q971">IFERROR(INDEX($D$13:$D$1000,MATCH(0,COUNTIF($Q$13:Q970,$D$13:$D$1000&amp;"")+IF($D$13:$D$1000="",1,0),0)),"")</f>
        <v/>
      </c>
      <c r="R971" s="356" t="str">
        <f t="shared" si="58"/>
        <v/>
      </c>
      <c r="S971" s="383" t="str">
        <f t="shared" si="60"/>
        <v/>
      </c>
      <c r="T971" s="384" t="str">
        <f t="shared" si="59"/>
        <v/>
      </c>
      <c r="V971" s="385"/>
      <c r="W971" s="385"/>
      <c r="X971" s="386"/>
    </row>
    <row r="972" spans="2:24">
      <c r="B972" s="395"/>
      <c r="C972" s="371"/>
      <c r="D972" s="372" t="str">
        <f>IFERROR(INDEX('[11]Equipment List'!$B$2:$B$2038,MATCH(E972,'[11]Equipment List'!$A$2:$A$2038,0)),"")</f>
        <v/>
      </c>
      <c r="E972" s="388"/>
      <c r="F972" s="374"/>
      <c r="G972" s="375"/>
      <c r="H972" s="397"/>
      <c r="I972" s="377"/>
      <c r="J972" s="378"/>
      <c r="K972" s="379"/>
      <c r="L972" s="387"/>
      <c r="M972" s="380" t="str">
        <f t="array" ref="M972">IF(L972="","",(MAX(IF(AN$15:AN$144=B972,AO$15:AO$144))/60))</f>
        <v/>
      </c>
      <c r="N972" s="387"/>
      <c r="O972" s="387"/>
      <c r="P972" s="381" t="str">
        <f t="shared" ref="P972:P1000" si="61">IFERROR((((K972/5/250/$F$8)+(N972*$F$9))/$S$4)*(M972/60),"")</f>
        <v/>
      </c>
      <c r="Q972" s="382" t="str">
        <f t="array" ref="Q972">IFERROR(INDEX($D$13:$D$1000,MATCH(0,COUNTIF($Q$13:Q971,$D$13:$D$1000&amp;"")+IF($D$13:$D$1000="",1,0),0)),"")</f>
        <v/>
      </c>
      <c r="R972" s="356" t="str">
        <f t="shared" si="58"/>
        <v/>
      </c>
      <c r="S972" s="383" t="str">
        <f t="shared" si="60"/>
        <v/>
      </c>
      <c r="T972" s="384" t="str">
        <f t="shared" si="59"/>
        <v/>
      </c>
      <c r="V972" s="385"/>
      <c r="W972" s="385"/>
      <c r="X972" s="386"/>
    </row>
    <row r="973" spans="2:24">
      <c r="B973" s="395"/>
      <c r="C973" s="371"/>
      <c r="D973" s="372" t="str">
        <f>IFERROR(INDEX('[11]Equipment List'!$B$2:$B$2038,MATCH(E973,'[11]Equipment List'!$A$2:$A$2038,0)),"")</f>
        <v/>
      </c>
      <c r="E973" s="388"/>
      <c r="F973" s="374"/>
      <c r="G973" s="375"/>
      <c r="H973" s="397"/>
      <c r="I973" s="377"/>
      <c r="J973" s="378"/>
      <c r="K973" s="379"/>
      <c r="L973" s="387"/>
      <c r="M973" s="380" t="str">
        <f t="array" ref="M973">IF(L973="","",(MAX(IF(AN$15:AN$144=B973,AO$15:AO$144))/60))</f>
        <v/>
      </c>
      <c r="N973" s="387"/>
      <c r="O973" s="387"/>
      <c r="P973" s="381" t="str">
        <f t="shared" si="61"/>
        <v/>
      </c>
      <c r="Q973" s="382" t="str">
        <f t="array" ref="Q973">IFERROR(INDEX($D$13:$D$1000,MATCH(0,COUNTIF($Q$13:Q972,$D$13:$D$1000&amp;"")+IF($D$13:$D$1000="",1,0),0)),"")</f>
        <v/>
      </c>
      <c r="R973" s="356" t="str">
        <f t="shared" ref="R973:R1000" si="62">IF(Q973="","",COUNTIF($D$13:$D$1000,$Q973))</f>
        <v/>
      </c>
      <c r="S973" s="383" t="str">
        <f t="shared" si="60"/>
        <v/>
      </c>
      <c r="T973" s="384" t="str">
        <f t="shared" ref="T973:T1000" si="63">IF($Q973="","",SUMIF($D$13:$D$1000,$Q973,N$13:N$1000))</f>
        <v/>
      </c>
      <c r="V973" s="385"/>
      <c r="W973" s="385"/>
      <c r="X973" s="386"/>
    </row>
    <row r="974" spans="2:24">
      <c r="B974" s="395"/>
      <c r="C974" s="371"/>
      <c r="D974" s="372" t="str">
        <f>IFERROR(INDEX('[11]Equipment List'!$B$2:$B$2038,MATCH(E974,'[11]Equipment List'!$A$2:$A$2038,0)),"")</f>
        <v/>
      </c>
      <c r="E974" s="388"/>
      <c r="F974" s="374"/>
      <c r="G974" s="375"/>
      <c r="H974" s="397"/>
      <c r="I974" s="377"/>
      <c r="J974" s="378"/>
      <c r="K974" s="379"/>
      <c r="L974" s="387"/>
      <c r="M974" s="380" t="str">
        <f t="array" ref="M974">IF(L974="","",(MAX(IF(AN$15:AN$144=B974,AO$15:AO$144))/60))</f>
        <v/>
      </c>
      <c r="N974" s="387"/>
      <c r="O974" s="387"/>
      <c r="P974" s="381" t="str">
        <f t="shared" si="61"/>
        <v/>
      </c>
      <c r="Q974" s="382" t="str">
        <f t="array" ref="Q974">IFERROR(INDEX($D$13:$D$1000,MATCH(0,COUNTIF($Q$13:Q973,$D$13:$D$1000&amp;"")+IF($D$13:$D$1000="",1,0),0)),"")</f>
        <v/>
      </c>
      <c r="R974" s="356" t="str">
        <f t="shared" si="62"/>
        <v/>
      </c>
      <c r="S974" s="383" t="str">
        <f t="shared" si="60"/>
        <v/>
      </c>
      <c r="T974" s="384" t="str">
        <f t="shared" si="63"/>
        <v/>
      </c>
      <c r="V974" s="385"/>
      <c r="W974" s="385"/>
      <c r="X974" s="386"/>
    </row>
    <row r="975" spans="2:24">
      <c r="B975" s="395"/>
      <c r="C975" s="371"/>
      <c r="D975" s="372" t="str">
        <f>IFERROR(INDEX('[11]Equipment List'!$B$2:$B$2038,MATCH(E975,'[11]Equipment List'!$A$2:$A$2038,0)),"")</f>
        <v/>
      </c>
      <c r="E975" s="388"/>
      <c r="F975" s="374"/>
      <c r="G975" s="375"/>
      <c r="H975" s="397"/>
      <c r="I975" s="377"/>
      <c r="J975" s="378"/>
      <c r="K975" s="379"/>
      <c r="L975" s="387"/>
      <c r="M975" s="380" t="str">
        <f t="array" ref="M975">IF(L975="","",(MAX(IF(AN$15:AN$144=B975,AO$15:AO$144))/60))</f>
        <v/>
      </c>
      <c r="N975" s="387"/>
      <c r="O975" s="387"/>
      <c r="P975" s="381" t="str">
        <f t="shared" si="61"/>
        <v/>
      </c>
      <c r="Q975" s="382" t="str">
        <f t="array" ref="Q975">IFERROR(INDEX($D$13:$D$1000,MATCH(0,COUNTIF($Q$13:Q974,$D$13:$D$1000&amp;"")+IF($D$13:$D$1000="",1,0),0)),"")</f>
        <v/>
      </c>
      <c r="R975" s="356" t="str">
        <f t="shared" si="62"/>
        <v/>
      </c>
      <c r="S975" s="383" t="str">
        <f t="shared" si="60"/>
        <v/>
      </c>
      <c r="T975" s="384" t="str">
        <f t="shared" si="63"/>
        <v/>
      </c>
      <c r="V975" s="385"/>
      <c r="W975" s="385"/>
      <c r="X975" s="386"/>
    </row>
    <row r="976" spans="2:24">
      <c r="B976" s="395"/>
      <c r="C976" s="371"/>
      <c r="D976" s="372" t="str">
        <f>IFERROR(INDEX('[11]Equipment List'!$B$2:$B$2038,MATCH(E976,'[11]Equipment List'!$A$2:$A$2038,0)),"")</f>
        <v/>
      </c>
      <c r="E976" s="388"/>
      <c r="F976" s="374"/>
      <c r="G976" s="375"/>
      <c r="H976" s="397"/>
      <c r="I976" s="377"/>
      <c r="J976" s="378"/>
      <c r="K976" s="379"/>
      <c r="L976" s="387"/>
      <c r="M976" s="380" t="str">
        <f t="array" ref="M976">IF(L976="","",(MAX(IF(AN$15:AN$144=B976,AO$15:AO$144))/60))</f>
        <v/>
      </c>
      <c r="N976" s="387"/>
      <c r="O976" s="387"/>
      <c r="P976" s="381" t="str">
        <f t="shared" si="61"/>
        <v/>
      </c>
      <c r="Q976" s="382" t="str">
        <f t="array" ref="Q976">IFERROR(INDEX($D$13:$D$1000,MATCH(0,COUNTIF($Q$13:Q975,$D$13:$D$1000&amp;"")+IF($D$13:$D$1000="",1,0),0)),"")</f>
        <v/>
      </c>
      <c r="R976" s="356" t="str">
        <f t="shared" si="62"/>
        <v/>
      </c>
      <c r="S976" s="383" t="str">
        <f t="shared" si="60"/>
        <v/>
      </c>
      <c r="T976" s="384" t="str">
        <f t="shared" si="63"/>
        <v/>
      </c>
      <c r="V976" s="385"/>
      <c r="W976" s="385"/>
      <c r="X976" s="386"/>
    </row>
    <row r="977" spans="2:24">
      <c r="B977" s="395"/>
      <c r="C977" s="371"/>
      <c r="D977" s="372" t="str">
        <f>IFERROR(INDEX('[11]Equipment List'!$B$2:$B$2038,MATCH(E977,'[11]Equipment List'!$A$2:$A$2038,0)),"")</f>
        <v/>
      </c>
      <c r="E977" s="388"/>
      <c r="F977" s="374"/>
      <c r="G977" s="375"/>
      <c r="H977" s="397"/>
      <c r="I977" s="377"/>
      <c r="J977" s="378"/>
      <c r="K977" s="379"/>
      <c r="L977" s="387"/>
      <c r="M977" s="380" t="str">
        <f t="array" ref="M977">IF(L977="","",(MAX(IF(AN$15:AN$144=B977,AO$15:AO$144))/60))</f>
        <v/>
      </c>
      <c r="N977" s="387"/>
      <c r="O977" s="387"/>
      <c r="P977" s="381" t="str">
        <f t="shared" si="61"/>
        <v/>
      </c>
      <c r="Q977" s="382" t="str">
        <f t="array" ref="Q977">IFERROR(INDEX($D$13:$D$1000,MATCH(0,COUNTIF($Q$13:Q976,$D$13:$D$1000&amp;"")+IF($D$13:$D$1000="",1,0),0)),"")</f>
        <v/>
      </c>
      <c r="R977" s="356" t="str">
        <f t="shared" si="62"/>
        <v/>
      </c>
      <c r="S977" s="383" t="str">
        <f t="shared" si="60"/>
        <v/>
      </c>
      <c r="T977" s="384" t="str">
        <f t="shared" si="63"/>
        <v/>
      </c>
      <c r="V977" s="385"/>
      <c r="W977" s="385"/>
      <c r="X977" s="386"/>
    </row>
    <row r="978" spans="2:24">
      <c r="B978" s="395"/>
      <c r="C978" s="371"/>
      <c r="D978" s="372" t="str">
        <f>IFERROR(INDEX('[11]Equipment List'!$B$2:$B$2038,MATCH(E978,'[11]Equipment List'!$A$2:$A$2038,0)),"")</f>
        <v/>
      </c>
      <c r="E978" s="388"/>
      <c r="F978" s="374"/>
      <c r="G978" s="375"/>
      <c r="H978" s="397"/>
      <c r="I978" s="377"/>
      <c r="J978" s="378"/>
      <c r="K978" s="379"/>
      <c r="L978" s="387"/>
      <c r="M978" s="380" t="str">
        <f t="array" ref="M978">IF(L978="","",(MAX(IF(AN$15:AN$144=B978,AO$15:AO$144))/60))</f>
        <v/>
      </c>
      <c r="N978" s="387"/>
      <c r="O978" s="387"/>
      <c r="P978" s="381" t="str">
        <f t="shared" si="61"/>
        <v/>
      </c>
      <c r="Q978" s="382" t="str">
        <f t="array" ref="Q978">IFERROR(INDEX($D$13:$D$1000,MATCH(0,COUNTIF($Q$13:Q977,$D$13:$D$1000&amp;"")+IF($D$13:$D$1000="",1,0),0)),"")</f>
        <v/>
      </c>
      <c r="R978" s="356" t="str">
        <f t="shared" si="62"/>
        <v/>
      </c>
      <c r="S978" s="383" t="str">
        <f t="shared" si="60"/>
        <v/>
      </c>
      <c r="T978" s="384" t="str">
        <f t="shared" si="63"/>
        <v/>
      </c>
      <c r="V978" s="385"/>
      <c r="W978" s="385"/>
      <c r="X978" s="386"/>
    </row>
    <row r="979" spans="2:24">
      <c r="B979" s="395"/>
      <c r="C979" s="371"/>
      <c r="D979" s="372" t="str">
        <f>IFERROR(INDEX('[11]Equipment List'!$B$2:$B$2038,MATCH(E979,'[11]Equipment List'!$A$2:$A$2038,0)),"")</f>
        <v/>
      </c>
      <c r="E979" s="388"/>
      <c r="F979" s="374"/>
      <c r="G979" s="375"/>
      <c r="H979" s="397"/>
      <c r="I979" s="377"/>
      <c r="J979" s="378"/>
      <c r="K979" s="379"/>
      <c r="L979" s="387"/>
      <c r="M979" s="380" t="str">
        <f t="array" ref="M979">IF(L979="","",(MAX(IF(AN$15:AN$144=B979,AO$15:AO$144))/60))</f>
        <v/>
      </c>
      <c r="N979" s="387"/>
      <c r="O979" s="387"/>
      <c r="P979" s="381" t="str">
        <f t="shared" si="61"/>
        <v/>
      </c>
      <c r="Q979" s="382" t="str">
        <f t="array" ref="Q979">IFERROR(INDEX($D$13:$D$1000,MATCH(0,COUNTIF($Q$13:Q978,$D$13:$D$1000&amp;"")+IF($D$13:$D$1000="",1,0),0)),"")</f>
        <v/>
      </c>
      <c r="R979" s="356" t="str">
        <f t="shared" si="62"/>
        <v/>
      </c>
      <c r="S979" s="383" t="str">
        <f t="shared" si="60"/>
        <v/>
      </c>
      <c r="T979" s="384" t="str">
        <f t="shared" si="63"/>
        <v/>
      </c>
      <c r="V979" s="385"/>
      <c r="W979" s="385"/>
      <c r="X979" s="386"/>
    </row>
    <row r="980" spans="2:24">
      <c r="B980" s="395"/>
      <c r="C980" s="371"/>
      <c r="D980" s="372" t="str">
        <f>IFERROR(INDEX('[11]Equipment List'!$B$2:$B$2038,MATCH(E980,'[11]Equipment List'!$A$2:$A$2038,0)),"")</f>
        <v/>
      </c>
      <c r="E980" s="388"/>
      <c r="F980" s="374"/>
      <c r="G980" s="375"/>
      <c r="H980" s="397"/>
      <c r="I980" s="377"/>
      <c r="J980" s="378"/>
      <c r="K980" s="379"/>
      <c r="L980" s="387"/>
      <c r="M980" s="380" t="str">
        <f t="array" ref="M980">IF(L980="","",(MAX(IF(AN$15:AN$144=B980,AO$15:AO$144))/60))</f>
        <v/>
      </c>
      <c r="N980" s="387"/>
      <c r="O980" s="387"/>
      <c r="P980" s="381" t="str">
        <f t="shared" si="61"/>
        <v/>
      </c>
      <c r="Q980" s="382" t="str">
        <f t="array" ref="Q980">IFERROR(INDEX($D$13:$D$1000,MATCH(0,COUNTIF($Q$13:Q979,$D$13:$D$1000&amp;"")+IF($D$13:$D$1000="",1,0),0)),"")</f>
        <v/>
      </c>
      <c r="R980" s="356" t="str">
        <f t="shared" si="62"/>
        <v/>
      </c>
      <c r="S980" s="383" t="str">
        <f t="shared" si="60"/>
        <v/>
      </c>
      <c r="T980" s="384" t="str">
        <f t="shared" si="63"/>
        <v/>
      </c>
      <c r="V980" s="385"/>
      <c r="W980" s="385"/>
      <c r="X980" s="386"/>
    </row>
    <row r="981" spans="2:24">
      <c r="B981" s="395"/>
      <c r="C981" s="371"/>
      <c r="D981" s="372" t="str">
        <f>IFERROR(INDEX('[11]Equipment List'!$B$2:$B$2038,MATCH(E981,'[11]Equipment List'!$A$2:$A$2038,0)),"")</f>
        <v/>
      </c>
      <c r="E981" s="388"/>
      <c r="F981" s="374"/>
      <c r="G981" s="375"/>
      <c r="H981" s="397"/>
      <c r="I981" s="377"/>
      <c r="J981" s="378"/>
      <c r="K981" s="379"/>
      <c r="L981" s="387"/>
      <c r="M981" s="380" t="str">
        <f t="array" ref="M981">IF(L981="","",(MAX(IF(AN$15:AN$144=B981,AO$15:AO$144))/60))</f>
        <v/>
      </c>
      <c r="N981" s="387"/>
      <c r="O981" s="387"/>
      <c r="P981" s="381" t="str">
        <f t="shared" si="61"/>
        <v/>
      </c>
      <c r="Q981" s="382" t="str">
        <f t="array" ref="Q981">IFERROR(INDEX($D$13:$D$1000,MATCH(0,COUNTIF($Q$13:Q980,$D$13:$D$1000&amp;"")+IF($D$13:$D$1000="",1,0),0)),"")</f>
        <v/>
      </c>
      <c r="R981" s="356" t="str">
        <f t="shared" si="62"/>
        <v/>
      </c>
      <c r="S981" s="383" t="str">
        <f t="shared" si="60"/>
        <v/>
      </c>
      <c r="T981" s="384" t="str">
        <f t="shared" si="63"/>
        <v/>
      </c>
      <c r="V981" s="385"/>
      <c r="W981" s="385"/>
      <c r="X981" s="386"/>
    </row>
    <row r="982" spans="2:24">
      <c r="B982" s="395"/>
      <c r="C982" s="371"/>
      <c r="D982" s="372" t="str">
        <f>IFERROR(INDEX('[11]Equipment List'!$B$2:$B$2038,MATCH(E982,'[11]Equipment List'!$A$2:$A$2038,0)),"")</f>
        <v/>
      </c>
      <c r="E982" s="388"/>
      <c r="F982" s="374"/>
      <c r="G982" s="375"/>
      <c r="H982" s="397"/>
      <c r="I982" s="377"/>
      <c r="J982" s="378"/>
      <c r="K982" s="379"/>
      <c r="L982" s="387"/>
      <c r="M982" s="380" t="str">
        <f t="array" ref="M982">IF(L982="","",(MAX(IF(AN$15:AN$144=B982,AO$15:AO$144))/60))</f>
        <v/>
      </c>
      <c r="N982" s="387"/>
      <c r="O982" s="387"/>
      <c r="P982" s="381" t="str">
        <f t="shared" si="61"/>
        <v/>
      </c>
      <c r="Q982" s="382" t="str">
        <f t="array" ref="Q982">IFERROR(INDEX($D$13:$D$1000,MATCH(0,COUNTIF($Q$13:Q981,$D$13:$D$1000&amp;"")+IF($D$13:$D$1000="",1,0),0)),"")</f>
        <v/>
      </c>
      <c r="R982" s="356" t="str">
        <f t="shared" si="62"/>
        <v/>
      </c>
      <c r="S982" s="383" t="str">
        <f t="shared" si="60"/>
        <v/>
      </c>
      <c r="T982" s="384" t="str">
        <f t="shared" si="63"/>
        <v/>
      </c>
      <c r="V982" s="385"/>
      <c r="W982" s="385"/>
      <c r="X982" s="386"/>
    </row>
    <row r="983" spans="2:24">
      <c r="B983" s="395"/>
      <c r="C983" s="371"/>
      <c r="D983" s="372" t="str">
        <f>IFERROR(INDEX('[11]Equipment List'!$B$2:$B$2038,MATCH(E983,'[11]Equipment List'!$A$2:$A$2038,0)),"")</f>
        <v/>
      </c>
      <c r="E983" s="388"/>
      <c r="F983" s="374"/>
      <c r="G983" s="375"/>
      <c r="H983" s="397"/>
      <c r="I983" s="377"/>
      <c r="J983" s="378"/>
      <c r="K983" s="379"/>
      <c r="L983" s="387"/>
      <c r="M983" s="380" t="str">
        <f t="array" ref="M983">IF(L983="","",(MAX(IF(AN$15:AN$144=B983,AO$15:AO$144))/60))</f>
        <v/>
      </c>
      <c r="N983" s="387"/>
      <c r="O983" s="387"/>
      <c r="P983" s="381" t="str">
        <f t="shared" si="61"/>
        <v/>
      </c>
      <c r="Q983" s="382" t="str">
        <f t="array" ref="Q983">IFERROR(INDEX($D$13:$D$1000,MATCH(0,COUNTIF($Q$13:Q982,$D$13:$D$1000&amp;"")+IF($D$13:$D$1000="",1,0),0)),"")</f>
        <v/>
      </c>
      <c r="R983" s="356" t="str">
        <f t="shared" si="62"/>
        <v/>
      </c>
      <c r="S983" s="383" t="str">
        <f t="shared" si="60"/>
        <v/>
      </c>
      <c r="T983" s="384" t="str">
        <f t="shared" si="63"/>
        <v/>
      </c>
      <c r="V983" s="385"/>
      <c r="W983" s="385"/>
      <c r="X983" s="386"/>
    </row>
    <row r="984" spans="2:24">
      <c r="B984" s="395"/>
      <c r="C984" s="371"/>
      <c r="D984" s="372" t="str">
        <f>IFERROR(INDEX('[11]Equipment List'!$B$2:$B$2038,MATCH(E984,'[11]Equipment List'!$A$2:$A$2038,0)),"")</f>
        <v/>
      </c>
      <c r="E984" s="388"/>
      <c r="F984" s="374"/>
      <c r="G984" s="375"/>
      <c r="H984" s="397"/>
      <c r="I984" s="377"/>
      <c r="J984" s="378"/>
      <c r="K984" s="379"/>
      <c r="L984" s="387"/>
      <c r="M984" s="380" t="str">
        <f t="array" ref="M984">IF(L984="","",(MAX(IF(AN$15:AN$144=B984,AO$15:AO$144))/60))</f>
        <v/>
      </c>
      <c r="N984" s="387"/>
      <c r="O984" s="387"/>
      <c r="P984" s="381" t="str">
        <f t="shared" si="61"/>
        <v/>
      </c>
      <c r="Q984" s="382" t="str">
        <f t="array" ref="Q984">IFERROR(INDEX($D$13:$D$1000,MATCH(0,COUNTIF($Q$13:Q983,$D$13:$D$1000&amp;"")+IF($D$13:$D$1000="",1,0),0)),"")</f>
        <v/>
      </c>
      <c r="R984" s="356" t="str">
        <f t="shared" si="62"/>
        <v/>
      </c>
      <c r="S984" s="383" t="str">
        <f t="shared" si="60"/>
        <v/>
      </c>
      <c r="T984" s="384" t="str">
        <f t="shared" si="63"/>
        <v/>
      </c>
      <c r="V984" s="385"/>
      <c r="W984" s="385"/>
      <c r="X984" s="386"/>
    </row>
    <row r="985" spans="2:24">
      <c r="B985" s="395"/>
      <c r="C985" s="371"/>
      <c r="D985" s="372" t="str">
        <f>IFERROR(INDEX('[11]Equipment List'!$B$2:$B$2038,MATCH(E985,'[11]Equipment List'!$A$2:$A$2038,0)),"")</f>
        <v/>
      </c>
      <c r="E985" s="388"/>
      <c r="F985" s="374"/>
      <c r="G985" s="375"/>
      <c r="H985" s="397"/>
      <c r="I985" s="377"/>
      <c r="J985" s="378"/>
      <c r="K985" s="379"/>
      <c r="L985" s="387"/>
      <c r="M985" s="380" t="str">
        <f t="array" ref="M985">IF(L985="","",(MAX(IF(AN$15:AN$144=B985,AO$15:AO$144))/60))</f>
        <v/>
      </c>
      <c r="N985" s="387"/>
      <c r="O985" s="387"/>
      <c r="P985" s="381" t="str">
        <f t="shared" si="61"/>
        <v/>
      </c>
      <c r="Q985" s="382" t="str">
        <f t="array" ref="Q985">IFERROR(INDEX($D$13:$D$1000,MATCH(0,COUNTIF($Q$13:Q984,$D$13:$D$1000&amp;"")+IF($D$13:$D$1000="",1,0),0)),"")</f>
        <v/>
      </c>
      <c r="R985" s="356" t="str">
        <f t="shared" si="62"/>
        <v/>
      </c>
      <c r="S985" s="383" t="str">
        <f t="shared" si="60"/>
        <v/>
      </c>
      <c r="T985" s="384" t="str">
        <f t="shared" si="63"/>
        <v/>
      </c>
      <c r="V985" s="385"/>
      <c r="W985" s="385"/>
      <c r="X985" s="386"/>
    </row>
    <row r="986" spans="2:24">
      <c r="B986" s="395"/>
      <c r="C986" s="371"/>
      <c r="D986" s="372" t="str">
        <f>IFERROR(INDEX('[11]Equipment List'!$B$2:$B$2038,MATCH(E986,'[11]Equipment List'!$A$2:$A$2038,0)),"")</f>
        <v/>
      </c>
      <c r="E986" s="388"/>
      <c r="F986" s="374"/>
      <c r="G986" s="375"/>
      <c r="H986" s="397"/>
      <c r="I986" s="377"/>
      <c r="J986" s="378"/>
      <c r="K986" s="379"/>
      <c r="L986" s="387"/>
      <c r="M986" s="380" t="str">
        <f t="array" ref="M986">IF(L986="","",(MAX(IF(AN$15:AN$144=B986,AO$15:AO$144))/60))</f>
        <v/>
      </c>
      <c r="N986" s="387"/>
      <c r="O986" s="387"/>
      <c r="P986" s="381" t="str">
        <f t="shared" si="61"/>
        <v/>
      </c>
      <c r="Q986" s="382" t="str">
        <f t="array" ref="Q986">IFERROR(INDEX($D$13:$D$1000,MATCH(0,COUNTIF($Q$13:Q985,$D$13:$D$1000&amp;"")+IF($D$13:$D$1000="",1,0),0)),"")</f>
        <v/>
      </c>
      <c r="R986" s="356" t="str">
        <f t="shared" si="62"/>
        <v/>
      </c>
      <c r="S986" s="383" t="str">
        <f t="shared" si="60"/>
        <v/>
      </c>
      <c r="T986" s="384" t="str">
        <f t="shared" si="63"/>
        <v/>
      </c>
      <c r="V986" s="385"/>
      <c r="W986" s="385"/>
      <c r="X986" s="386"/>
    </row>
    <row r="987" spans="2:24">
      <c r="B987" s="395"/>
      <c r="C987" s="371"/>
      <c r="D987" s="372" t="str">
        <f>IFERROR(INDEX('[11]Equipment List'!$B$2:$B$2038,MATCH(E987,'[11]Equipment List'!$A$2:$A$2038,0)),"")</f>
        <v/>
      </c>
      <c r="E987" s="388"/>
      <c r="F987" s="374"/>
      <c r="G987" s="375"/>
      <c r="H987" s="397"/>
      <c r="I987" s="377"/>
      <c r="J987" s="378"/>
      <c r="K987" s="379"/>
      <c r="L987" s="387"/>
      <c r="M987" s="380" t="str">
        <f t="array" ref="M987">IF(L987="","",(MAX(IF(AN$15:AN$144=B987,AO$15:AO$144))/60))</f>
        <v/>
      </c>
      <c r="N987" s="387"/>
      <c r="O987" s="387"/>
      <c r="P987" s="381" t="str">
        <f t="shared" si="61"/>
        <v/>
      </c>
      <c r="Q987" s="382" t="str">
        <f t="array" ref="Q987">IFERROR(INDEX($D$13:$D$1000,MATCH(0,COUNTIF($Q$13:Q986,$D$13:$D$1000&amp;"")+IF($D$13:$D$1000="",1,0),0)),"")</f>
        <v/>
      </c>
      <c r="R987" s="356" t="str">
        <f t="shared" si="62"/>
        <v/>
      </c>
      <c r="S987" s="383" t="str">
        <f t="shared" si="60"/>
        <v/>
      </c>
      <c r="T987" s="384" t="str">
        <f t="shared" si="63"/>
        <v/>
      </c>
      <c r="V987" s="385"/>
      <c r="W987" s="385"/>
      <c r="X987" s="386"/>
    </row>
    <row r="988" spans="2:24">
      <c r="B988" s="395"/>
      <c r="C988" s="371"/>
      <c r="D988" s="372" t="str">
        <f>IFERROR(INDEX('[11]Equipment List'!$B$2:$B$2038,MATCH(E988,'[11]Equipment List'!$A$2:$A$2038,0)),"")</f>
        <v/>
      </c>
      <c r="E988" s="388"/>
      <c r="F988" s="374"/>
      <c r="G988" s="375"/>
      <c r="H988" s="397"/>
      <c r="I988" s="377"/>
      <c r="J988" s="378"/>
      <c r="K988" s="379"/>
      <c r="L988" s="387"/>
      <c r="M988" s="380" t="str">
        <f t="array" ref="M988">IF(L988="","",(MAX(IF(AN$15:AN$144=B988,AO$15:AO$144))/60))</f>
        <v/>
      </c>
      <c r="N988" s="387"/>
      <c r="O988" s="387"/>
      <c r="P988" s="381" t="str">
        <f t="shared" si="61"/>
        <v/>
      </c>
      <c r="Q988" s="382" t="str">
        <f t="array" ref="Q988">IFERROR(INDEX($D$13:$D$1000,MATCH(0,COUNTIF($Q$13:Q987,$D$13:$D$1000&amp;"")+IF($D$13:$D$1000="",1,0),0)),"")</f>
        <v/>
      </c>
      <c r="R988" s="356" t="str">
        <f t="shared" si="62"/>
        <v/>
      </c>
      <c r="S988" s="383" t="str">
        <f t="shared" si="60"/>
        <v/>
      </c>
      <c r="T988" s="384" t="str">
        <f t="shared" si="63"/>
        <v/>
      </c>
      <c r="V988" s="385"/>
      <c r="W988" s="385"/>
      <c r="X988" s="386"/>
    </row>
    <row r="989" spans="2:24">
      <c r="B989" s="395"/>
      <c r="C989" s="371"/>
      <c r="D989" s="372" t="str">
        <f>IFERROR(INDEX('[11]Equipment List'!$B$2:$B$2038,MATCH(E989,'[11]Equipment List'!$A$2:$A$2038,0)),"")</f>
        <v/>
      </c>
      <c r="E989" s="388"/>
      <c r="F989" s="374"/>
      <c r="G989" s="375"/>
      <c r="H989" s="397"/>
      <c r="I989" s="377"/>
      <c r="J989" s="378"/>
      <c r="K989" s="379"/>
      <c r="L989" s="387"/>
      <c r="M989" s="380" t="str">
        <f t="array" ref="M989">IF(L989="","",(MAX(IF(AN$15:AN$144=B989,AO$15:AO$144))/60))</f>
        <v/>
      </c>
      <c r="N989" s="387"/>
      <c r="O989" s="387"/>
      <c r="P989" s="381" t="str">
        <f t="shared" si="61"/>
        <v/>
      </c>
      <c r="Q989" s="382" t="str">
        <f t="array" ref="Q989">IFERROR(INDEX($D$13:$D$1000,MATCH(0,COUNTIF($Q$13:Q988,$D$13:$D$1000&amp;"")+IF($D$13:$D$1000="",1,0),0)),"")</f>
        <v/>
      </c>
      <c r="R989" s="356" t="str">
        <f t="shared" si="62"/>
        <v/>
      </c>
      <c r="S989" s="383" t="str">
        <f t="shared" si="60"/>
        <v/>
      </c>
      <c r="T989" s="384" t="str">
        <f t="shared" si="63"/>
        <v/>
      </c>
      <c r="V989" s="385"/>
      <c r="W989" s="385"/>
      <c r="X989" s="386"/>
    </row>
    <row r="990" spans="2:24">
      <c r="B990" s="395"/>
      <c r="C990" s="371"/>
      <c r="D990" s="372" t="str">
        <f>IFERROR(INDEX('[11]Equipment List'!$B$2:$B$2038,MATCH(E990,'[11]Equipment List'!$A$2:$A$2038,0)),"")</f>
        <v/>
      </c>
      <c r="E990" s="388"/>
      <c r="F990" s="374"/>
      <c r="G990" s="375"/>
      <c r="H990" s="397"/>
      <c r="I990" s="377"/>
      <c r="J990" s="378"/>
      <c r="K990" s="379"/>
      <c r="L990" s="387"/>
      <c r="M990" s="380" t="str">
        <f t="array" ref="M990">IF(L990="","",(MAX(IF(AN$15:AN$144=B990,AO$15:AO$144))/60))</f>
        <v/>
      </c>
      <c r="N990" s="387"/>
      <c r="O990" s="387"/>
      <c r="P990" s="381" t="str">
        <f t="shared" si="61"/>
        <v/>
      </c>
      <c r="Q990" s="382" t="str">
        <f t="array" ref="Q990">IFERROR(INDEX($D$13:$D$1000,MATCH(0,COUNTIF($Q$13:Q989,$D$13:$D$1000&amp;"")+IF($D$13:$D$1000="",1,0),0)),"")</f>
        <v/>
      </c>
      <c r="R990" s="356" t="str">
        <f t="shared" si="62"/>
        <v/>
      </c>
      <c r="S990" s="383" t="str">
        <f t="shared" si="60"/>
        <v/>
      </c>
      <c r="T990" s="384" t="str">
        <f t="shared" si="63"/>
        <v/>
      </c>
      <c r="V990" s="385"/>
      <c r="W990" s="385"/>
      <c r="X990" s="386"/>
    </row>
    <row r="991" spans="2:24">
      <c r="B991" s="395"/>
      <c r="C991" s="371"/>
      <c r="D991" s="372" t="str">
        <f>IFERROR(INDEX('[11]Equipment List'!$B$2:$B$2038,MATCH(E991,'[11]Equipment List'!$A$2:$A$2038,0)),"")</f>
        <v/>
      </c>
      <c r="E991" s="388"/>
      <c r="F991" s="374"/>
      <c r="G991" s="375"/>
      <c r="H991" s="397"/>
      <c r="I991" s="377"/>
      <c r="J991" s="378"/>
      <c r="K991" s="379"/>
      <c r="L991" s="387"/>
      <c r="M991" s="380" t="str">
        <f t="array" ref="M991">IF(L991="","",(MAX(IF(AN$15:AN$144=B991,AO$15:AO$144))/60))</f>
        <v/>
      </c>
      <c r="N991" s="387"/>
      <c r="O991" s="387"/>
      <c r="P991" s="381" t="str">
        <f t="shared" si="61"/>
        <v/>
      </c>
      <c r="Q991" s="382" t="str">
        <f t="array" ref="Q991">IFERROR(INDEX($D$13:$D$1000,MATCH(0,COUNTIF($Q$13:Q990,$D$13:$D$1000&amp;"")+IF($D$13:$D$1000="",1,0),0)),"")</f>
        <v/>
      </c>
      <c r="R991" s="356" t="str">
        <f t="shared" si="62"/>
        <v/>
      </c>
      <c r="S991" s="383" t="str">
        <f t="shared" si="60"/>
        <v/>
      </c>
      <c r="T991" s="384" t="str">
        <f t="shared" si="63"/>
        <v/>
      </c>
      <c r="V991" s="385"/>
      <c r="W991" s="385"/>
      <c r="X991" s="386"/>
    </row>
    <row r="992" spans="2:24">
      <c r="B992" s="395"/>
      <c r="C992" s="371"/>
      <c r="D992" s="372" t="str">
        <f>IFERROR(INDEX('[11]Equipment List'!$B$2:$B$2038,MATCH(E992,'[11]Equipment List'!$A$2:$A$2038,0)),"")</f>
        <v/>
      </c>
      <c r="E992" s="388"/>
      <c r="F992" s="374"/>
      <c r="G992" s="375"/>
      <c r="H992" s="397"/>
      <c r="I992" s="377"/>
      <c r="J992" s="378"/>
      <c r="K992" s="379"/>
      <c r="L992" s="387"/>
      <c r="M992" s="380" t="str">
        <f t="array" ref="M992">IF(L992="","",(MAX(IF(AN$15:AN$144=B992,AO$15:AO$144))/60))</f>
        <v/>
      </c>
      <c r="N992" s="387"/>
      <c r="O992" s="387"/>
      <c r="P992" s="381" t="str">
        <f t="shared" si="61"/>
        <v/>
      </c>
      <c r="Q992" s="382" t="str">
        <f t="array" ref="Q992">IFERROR(INDEX($D$13:$D$1000,MATCH(0,COUNTIF($Q$13:Q991,$D$13:$D$1000&amp;"")+IF($D$13:$D$1000="",1,0),0)),"")</f>
        <v/>
      </c>
      <c r="R992" s="356" t="str">
        <f t="shared" si="62"/>
        <v/>
      </c>
      <c r="S992" s="383" t="str">
        <f t="shared" si="60"/>
        <v/>
      </c>
      <c r="T992" s="384" t="str">
        <f t="shared" si="63"/>
        <v/>
      </c>
      <c r="V992" s="385"/>
      <c r="W992" s="385"/>
      <c r="X992" s="386"/>
    </row>
    <row r="993" spans="2:24">
      <c r="B993" s="395"/>
      <c r="C993" s="371"/>
      <c r="D993" s="372" t="str">
        <f>IFERROR(INDEX('[11]Equipment List'!$B$2:$B$2038,MATCH(E993,'[11]Equipment List'!$A$2:$A$2038,0)),"")</f>
        <v/>
      </c>
      <c r="E993" s="388"/>
      <c r="F993" s="374"/>
      <c r="G993" s="375"/>
      <c r="H993" s="397"/>
      <c r="I993" s="377"/>
      <c r="J993" s="378"/>
      <c r="K993" s="379"/>
      <c r="L993" s="387"/>
      <c r="M993" s="380" t="str">
        <f t="array" ref="M993">IF(L993="","",(MAX(IF(AN$15:AN$144=B993,AO$15:AO$144))/60))</f>
        <v/>
      </c>
      <c r="N993" s="387"/>
      <c r="O993" s="387"/>
      <c r="P993" s="381" t="str">
        <f t="shared" si="61"/>
        <v/>
      </c>
      <c r="Q993" s="382" t="str">
        <f t="array" ref="Q993">IFERROR(INDEX($D$13:$D$1000,MATCH(0,COUNTIF($Q$13:Q992,$D$13:$D$1000&amp;"")+IF($D$13:$D$1000="",1,0),0)),"")</f>
        <v/>
      </c>
      <c r="R993" s="356" t="str">
        <f t="shared" si="62"/>
        <v/>
      </c>
      <c r="S993" s="383" t="str">
        <f t="shared" si="60"/>
        <v/>
      </c>
      <c r="T993" s="384" t="str">
        <f t="shared" si="63"/>
        <v/>
      </c>
      <c r="V993" s="385"/>
      <c r="W993" s="385"/>
      <c r="X993" s="386"/>
    </row>
    <row r="994" spans="2:24">
      <c r="B994" s="395"/>
      <c r="C994" s="371"/>
      <c r="D994" s="372" t="str">
        <f>IFERROR(INDEX('[11]Equipment List'!$B$2:$B$2038,MATCH(E994,'[11]Equipment List'!$A$2:$A$2038,0)),"")</f>
        <v/>
      </c>
      <c r="E994" s="388"/>
      <c r="F994" s="374"/>
      <c r="G994" s="375"/>
      <c r="H994" s="397"/>
      <c r="I994" s="377"/>
      <c r="J994" s="378"/>
      <c r="K994" s="379"/>
      <c r="L994" s="387"/>
      <c r="M994" s="380" t="str">
        <f t="array" ref="M994">IF(L994="","",(MAX(IF(AN$15:AN$144=B994,AO$15:AO$144))/60))</f>
        <v/>
      </c>
      <c r="N994" s="387"/>
      <c r="O994" s="387"/>
      <c r="P994" s="381" t="str">
        <f t="shared" si="61"/>
        <v/>
      </c>
      <c r="Q994" s="382" t="str">
        <f t="array" ref="Q994">IFERROR(INDEX($D$13:$D$1000,MATCH(0,COUNTIF($Q$13:Q993,$D$13:$D$1000&amp;"")+IF($D$13:$D$1000="",1,0),0)),"")</f>
        <v/>
      </c>
      <c r="R994" s="356" t="str">
        <f t="shared" si="62"/>
        <v/>
      </c>
      <c r="S994" s="383" t="str">
        <f t="shared" si="60"/>
        <v/>
      </c>
      <c r="T994" s="384" t="str">
        <f t="shared" si="63"/>
        <v/>
      </c>
      <c r="V994" s="385"/>
      <c r="W994" s="385"/>
      <c r="X994" s="386"/>
    </row>
    <row r="995" spans="2:24">
      <c r="B995" s="395"/>
      <c r="C995" s="371"/>
      <c r="D995" s="372" t="str">
        <f>IFERROR(INDEX('[11]Equipment List'!$B$2:$B$2038,MATCH(E995,'[11]Equipment List'!$A$2:$A$2038,0)),"")</f>
        <v/>
      </c>
      <c r="E995" s="388"/>
      <c r="F995" s="374"/>
      <c r="G995" s="375"/>
      <c r="H995" s="397"/>
      <c r="I995" s="377"/>
      <c r="J995" s="378"/>
      <c r="K995" s="379"/>
      <c r="L995" s="387"/>
      <c r="M995" s="380" t="str">
        <f t="array" ref="M995">IF(L995="","",(MAX(IF(AN$15:AN$144=B995,AO$15:AO$144))/60))</f>
        <v/>
      </c>
      <c r="N995" s="387"/>
      <c r="O995" s="387"/>
      <c r="P995" s="381" t="str">
        <f t="shared" si="61"/>
        <v/>
      </c>
      <c r="Q995" s="382" t="str">
        <f t="array" ref="Q995">IFERROR(INDEX($D$13:$D$1000,MATCH(0,COUNTIF($Q$13:Q994,$D$13:$D$1000&amp;"")+IF($D$13:$D$1000="",1,0),0)),"")</f>
        <v/>
      </c>
      <c r="R995" s="356" t="str">
        <f t="shared" si="62"/>
        <v/>
      </c>
      <c r="S995" s="383" t="str">
        <f t="shared" si="60"/>
        <v/>
      </c>
      <c r="T995" s="384" t="str">
        <f t="shared" si="63"/>
        <v/>
      </c>
      <c r="V995" s="385"/>
      <c r="W995" s="385"/>
      <c r="X995" s="386"/>
    </row>
    <row r="996" spans="2:24">
      <c r="B996" s="395"/>
      <c r="C996" s="371"/>
      <c r="D996" s="372" t="str">
        <f>IFERROR(INDEX('[11]Equipment List'!$B$2:$B$2038,MATCH(E996,'[11]Equipment List'!$A$2:$A$2038,0)),"")</f>
        <v/>
      </c>
      <c r="E996" s="388"/>
      <c r="F996" s="374"/>
      <c r="G996" s="375"/>
      <c r="H996" s="397"/>
      <c r="I996" s="377"/>
      <c r="J996" s="378"/>
      <c r="K996" s="379"/>
      <c r="L996" s="387"/>
      <c r="M996" s="380" t="str">
        <f t="array" ref="M996">IF(L996="","",(MAX(IF(AN$15:AN$144=B996,AO$15:AO$144))/60))</f>
        <v/>
      </c>
      <c r="N996" s="387"/>
      <c r="O996" s="387"/>
      <c r="P996" s="381" t="str">
        <f t="shared" si="61"/>
        <v/>
      </c>
      <c r="Q996" s="382" t="str">
        <f t="array" ref="Q996">IFERROR(INDEX($D$13:$D$1000,MATCH(0,COUNTIF($Q$13:Q995,$D$13:$D$1000&amp;"")+IF($D$13:$D$1000="",1,0),0)),"")</f>
        <v/>
      </c>
      <c r="R996" s="356" t="str">
        <f t="shared" si="62"/>
        <v/>
      </c>
      <c r="S996" s="383" t="str">
        <f t="shared" si="60"/>
        <v/>
      </c>
      <c r="T996" s="384" t="str">
        <f t="shared" si="63"/>
        <v/>
      </c>
      <c r="V996" s="385"/>
      <c r="W996" s="385"/>
      <c r="X996" s="386"/>
    </row>
    <row r="997" spans="2:24">
      <c r="B997" s="395"/>
      <c r="C997" s="371"/>
      <c r="D997" s="372" t="str">
        <f>IFERROR(INDEX('[11]Equipment List'!$B$2:$B$2038,MATCH(E997,'[11]Equipment List'!$A$2:$A$2038,0)),"")</f>
        <v/>
      </c>
      <c r="E997" s="388"/>
      <c r="F997" s="374"/>
      <c r="G997" s="375"/>
      <c r="H997" s="397"/>
      <c r="I997" s="377"/>
      <c r="J997" s="378"/>
      <c r="K997" s="379"/>
      <c r="L997" s="387"/>
      <c r="M997" s="380" t="str">
        <f t="array" ref="M997">IF(L997="","",(MAX(IF(AN$15:AN$144=B997,AO$15:AO$144))/60))</f>
        <v/>
      </c>
      <c r="N997" s="387"/>
      <c r="O997" s="387"/>
      <c r="P997" s="381" t="str">
        <f t="shared" si="61"/>
        <v/>
      </c>
      <c r="Q997" s="382" t="str">
        <f t="array" ref="Q997">IFERROR(INDEX($D$13:$D$1000,MATCH(0,COUNTIF($Q$13:Q996,$D$13:$D$1000&amp;"")+IF($D$13:$D$1000="",1,0),0)),"")</f>
        <v/>
      </c>
      <c r="R997" s="356" t="str">
        <f t="shared" si="62"/>
        <v/>
      </c>
      <c r="S997" s="383" t="str">
        <f t="shared" si="60"/>
        <v/>
      </c>
      <c r="T997" s="384" t="str">
        <f t="shared" si="63"/>
        <v/>
      </c>
      <c r="V997" s="385"/>
      <c r="W997" s="385"/>
      <c r="X997" s="386"/>
    </row>
    <row r="998" spans="2:24">
      <c r="B998" s="395"/>
      <c r="C998" s="371"/>
      <c r="D998" s="372" t="str">
        <f>IFERROR(INDEX('[11]Equipment List'!$B$2:$B$2038,MATCH(E998,'[11]Equipment List'!$A$2:$A$2038,0)),"")</f>
        <v/>
      </c>
      <c r="E998" s="388"/>
      <c r="F998" s="374"/>
      <c r="G998" s="375"/>
      <c r="H998" s="397"/>
      <c r="I998" s="377"/>
      <c r="J998" s="378"/>
      <c r="K998" s="379"/>
      <c r="L998" s="387"/>
      <c r="M998" s="380" t="str">
        <f t="array" ref="M998">IF(L998="","",(MAX(IF(AN$15:AN$144=B998,AO$15:AO$144))/60))</f>
        <v/>
      </c>
      <c r="N998" s="387"/>
      <c r="O998" s="387"/>
      <c r="P998" s="381" t="str">
        <f t="shared" si="61"/>
        <v/>
      </c>
      <c r="Q998" s="382" t="str">
        <f t="array" ref="Q998">IFERROR(INDEX($D$13:$D$1000,MATCH(0,COUNTIF($Q$13:Q997,$D$13:$D$1000&amp;"")+IF($D$13:$D$1000="",1,0),0)),"")</f>
        <v/>
      </c>
      <c r="R998" s="356" t="str">
        <f t="shared" si="62"/>
        <v/>
      </c>
      <c r="S998" s="383" t="str">
        <f t="shared" si="60"/>
        <v/>
      </c>
      <c r="T998" s="384" t="str">
        <f t="shared" si="63"/>
        <v/>
      </c>
      <c r="V998" s="385"/>
      <c r="W998" s="385"/>
      <c r="X998" s="386"/>
    </row>
    <row r="999" spans="2:24">
      <c r="B999" s="395"/>
      <c r="C999" s="371"/>
      <c r="D999" s="372" t="str">
        <f>IFERROR(INDEX('[11]Equipment List'!$B$2:$B$2038,MATCH(E999,'[11]Equipment List'!$A$2:$A$2038,0)),"")</f>
        <v/>
      </c>
      <c r="E999" s="388"/>
      <c r="F999" s="374"/>
      <c r="G999" s="375"/>
      <c r="H999" s="397"/>
      <c r="I999" s="377"/>
      <c r="J999" s="378"/>
      <c r="K999" s="379"/>
      <c r="L999" s="387"/>
      <c r="M999" s="380" t="str">
        <f t="array" ref="M999">IF(L999="","",(MAX(IF(AN$15:AN$144=B999,AO$15:AO$144))/60))</f>
        <v/>
      </c>
      <c r="N999" s="387"/>
      <c r="O999" s="387"/>
      <c r="P999" s="381" t="str">
        <f t="shared" si="61"/>
        <v/>
      </c>
      <c r="Q999" s="382" t="str">
        <f t="array" ref="Q999">IFERROR(INDEX($D$13:$D$1000,MATCH(0,COUNTIF($Q$13:Q998,$D$13:$D$1000&amp;"")+IF($D$13:$D$1000="",1,0),0)),"")</f>
        <v/>
      </c>
      <c r="R999" s="356" t="str">
        <f t="shared" si="62"/>
        <v/>
      </c>
      <c r="S999" s="383" t="str">
        <f t="shared" si="60"/>
        <v/>
      </c>
      <c r="T999" s="384" t="str">
        <f t="shared" si="63"/>
        <v/>
      </c>
      <c r="V999" s="385"/>
      <c r="W999" s="385"/>
      <c r="X999" s="386"/>
    </row>
    <row r="1000" spans="2:24">
      <c r="B1000" s="395"/>
      <c r="C1000" s="371"/>
      <c r="D1000" s="372" t="str">
        <f>IFERROR(INDEX('[11]Equipment List'!$B$2:$B$2038,MATCH(E1000,'[11]Equipment List'!$A$2:$A$2038,0)),"")</f>
        <v/>
      </c>
      <c r="E1000" s="388"/>
      <c r="F1000" s="374"/>
      <c r="G1000" s="375"/>
      <c r="H1000" s="397"/>
      <c r="I1000" s="377"/>
      <c r="J1000" s="378"/>
      <c r="K1000" s="379"/>
      <c r="L1000" s="387"/>
      <c r="M1000" s="380" t="str">
        <f t="array" ref="M1000">IF(L1000="","",(MAX(IF(AN$15:AN$144=B1000,AO$15:AO$144))/60))</f>
        <v/>
      </c>
      <c r="N1000" s="387"/>
      <c r="O1000" s="387"/>
      <c r="P1000" s="381" t="str">
        <f t="shared" si="61"/>
        <v/>
      </c>
      <c r="Q1000" s="382" t="str">
        <f t="array" ref="Q1000">IFERROR(INDEX($D$13:$D$1000,MATCH(0,COUNTIF($Q$13:Q999,$D$13:$D$1000&amp;"")+IF($D$13:$D$1000="",1,0),0)),"")</f>
        <v/>
      </c>
      <c r="R1000" s="356" t="str">
        <f t="shared" si="62"/>
        <v/>
      </c>
      <c r="S1000" s="383" t="str">
        <f t="shared" si="60"/>
        <v/>
      </c>
      <c r="T1000" s="384" t="str">
        <f t="shared" si="63"/>
        <v/>
      </c>
      <c r="V1000" s="385"/>
      <c r="W1000" s="385"/>
      <c r="X1000" s="386"/>
    </row>
    <row r="1001" spans="2:24">
      <c r="F1001" s="399"/>
      <c r="G1001" s="399"/>
    </row>
  </sheetData>
  <mergeCells count="5">
    <mergeCell ref="E3:F3"/>
    <mergeCell ref="H3:K3"/>
    <mergeCell ref="M3:P3"/>
    <mergeCell ref="AH4:AL7"/>
    <mergeCell ref="Y5:Z5"/>
  </mergeCells>
  <phoneticPr fontId="3" type="noConversion"/>
  <conditionalFormatting sqref="E13:E48 E50:E1000">
    <cfRule type="duplicateValues" dxfId="39" priority="14" stopIfTrue="1"/>
  </conditionalFormatting>
  <conditionalFormatting sqref="F4:F9">
    <cfRule type="cellIs" dxfId="38" priority="8" operator="equal">
      <formula>0</formula>
    </cfRule>
  </conditionalFormatting>
  <conditionalFormatting sqref="F7:F8">
    <cfRule type="cellIs" dxfId="37" priority="6" operator="equal">
      <formula>0</formula>
    </cfRule>
    <cfRule type="cellIs" dxfId="36" priority="7" stopIfTrue="1" operator="equal">
      <formula>"="</formula>
    </cfRule>
  </conditionalFormatting>
  <conditionalFormatting sqref="H13:H1000">
    <cfRule type="expression" dxfId="35" priority="11">
      <formula>$G13="Existing Equipment"</formula>
    </cfRule>
  </conditionalFormatting>
  <conditionalFormatting sqref="I4:I5">
    <cfRule type="cellIs" dxfId="34" priority="5" stopIfTrue="1" operator="equal">
      <formula>"="</formula>
    </cfRule>
  </conditionalFormatting>
  <conditionalFormatting sqref="I4:I9">
    <cfRule type="cellIs" dxfId="33" priority="4" operator="equal">
      <formula>0</formula>
    </cfRule>
  </conditionalFormatting>
  <conditionalFormatting sqref="K4:K9">
    <cfRule type="cellIs" dxfId="32" priority="2" operator="equal">
      <formula>0</formula>
    </cfRule>
    <cfRule type="cellIs" dxfId="31" priority="3" stopIfTrue="1" operator="equal">
      <formula>"="</formula>
    </cfRule>
  </conditionalFormatting>
  <conditionalFormatting sqref="L13:L1000">
    <cfRule type="cellIs" dxfId="30" priority="1" operator="greaterThan">
      <formula>$S$5</formula>
    </cfRule>
  </conditionalFormatting>
  <conditionalFormatting sqref="N4:N7">
    <cfRule type="cellIs" dxfId="29" priority="12" operator="equal">
      <formula>0</formula>
    </cfRule>
    <cfRule type="cellIs" dxfId="28" priority="13" stopIfTrue="1" operator="equal">
      <formula>"="</formula>
    </cfRule>
  </conditionalFormatting>
  <conditionalFormatting sqref="P4:P7">
    <cfRule type="cellIs" dxfId="27" priority="9" operator="equal">
      <formula>0</formula>
    </cfRule>
    <cfRule type="cellIs" dxfId="26" priority="10" stopIfTrue="1" operator="equal">
      <formula>"="</formula>
    </cfRule>
  </conditionalFormatting>
  <dataValidations count="2">
    <dataValidation type="list" allowBlank="1" showInputMessage="1" showErrorMessage="1" sqref="F13:F1000" xr:uid="{9082D9C8-E7F3-4A41-817E-E5BD7AFA6FDF}">
      <formula1>$X$13:$X$39</formula1>
    </dataValidation>
    <dataValidation type="list" allowBlank="1" showInputMessage="1" showErrorMessage="1" sqref="G13:G1000" xr:uid="{D441438F-01E1-45C4-8008-F89B65DB1020}">
      <formula1>"Existing Equipment, New Equipment"</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60C79-4F55-4467-B545-8915ECFEA2BE}">
  <sheetPr>
    <tabColor rgb="FFFFC2C1"/>
  </sheetPr>
  <dimension ref="A1:AO1001"/>
  <sheetViews>
    <sheetView topLeftCell="D44" zoomScale="46" zoomScaleNormal="70" workbookViewId="0">
      <selection activeCell="N81" sqref="N13:N81"/>
    </sheetView>
  </sheetViews>
  <sheetFormatPr defaultColWidth="12.54296875" defaultRowHeight="12.5"/>
  <cols>
    <col min="1" max="1" width="1.90625" style="298" customWidth="1"/>
    <col min="2" max="2" width="8.81640625" style="303" customWidth="1"/>
    <col min="3" max="3" width="8.08984375" style="303" customWidth="1"/>
    <col min="4" max="4" width="35.26953125" style="299" customWidth="1"/>
    <col min="5" max="5" width="54.1796875" style="398" customWidth="1"/>
    <col min="6" max="7" width="26.54296875" style="303" customWidth="1"/>
    <col min="8" max="8" width="21.81640625" style="303" customWidth="1"/>
    <col min="9" max="9" width="31.453125" style="303" customWidth="1"/>
    <col min="10" max="10" width="31.7265625" style="303" customWidth="1"/>
    <col min="11" max="11" width="30" style="303" customWidth="1"/>
    <col min="12" max="12" width="25.54296875" style="303" customWidth="1"/>
    <col min="13" max="13" width="27.6328125" style="303" customWidth="1"/>
    <col min="14" max="14" width="14.90625" style="303" customWidth="1"/>
    <col min="15" max="15" width="43" style="303" customWidth="1"/>
    <col min="16" max="16" width="22" style="303" customWidth="1"/>
    <col min="17" max="17" width="42.36328125" style="298" customWidth="1"/>
    <col min="18" max="18" width="24.1796875" style="298" bestFit="1" customWidth="1"/>
    <col min="19" max="19" width="34.26953125" style="298" customWidth="1"/>
    <col min="20" max="20" width="6.453125" style="298" customWidth="1"/>
    <col min="21" max="21" width="2.90625" style="298" customWidth="1"/>
    <col min="22" max="22" width="35.90625" style="303" customWidth="1"/>
    <col min="23" max="23" width="33.08984375" style="303" bestFit="1" customWidth="1"/>
    <col min="24" max="24" width="5.90625" style="305" customWidth="1"/>
    <col min="25" max="25" width="12.54296875" style="306"/>
    <col min="26" max="31" width="12.54296875" style="303"/>
    <col min="32" max="33" width="1.36328125" style="303" customWidth="1"/>
    <col min="34" max="38" width="12.54296875" style="303"/>
    <col min="39" max="39" width="12.54296875" style="298"/>
    <col min="40" max="41" width="8.6328125" style="298" bestFit="1" customWidth="1"/>
    <col min="42" max="16384" width="12.54296875" style="298"/>
  </cols>
  <sheetData>
    <row r="1" spans="1:41">
      <c r="B1" s="298"/>
      <c r="C1" s="298"/>
      <c r="E1" s="300"/>
      <c r="F1" s="298"/>
      <c r="G1" s="301"/>
      <c r="H1" s="301"/>
      <c r="I1" s="298"/>
      <c r="J1" s="302"/>
      <c r="K1" s="298"/>
      <c r="M1" s="304"/>
      <c r="N1" s="298"/>
      <c r="O1" s="298"/>
      <c r="P1" s="298"/>
      <c r="V1" s="298"/>
      <c r="W1" s="298"/>
    </row>
    <row r="2" spans="1:41" ht="6" customHeight="1">
      <c r="B2" s="298"/>
      <c r="C2" s="298"/>
      <c r="D2" s="307"/>
      <c r="E2" s="308"/>
      <c r="F2" s="309"/>
      <c r="G2" s="309"/>
      <c r="H2" s="309"/>
      <c r="I2" s="309"/>
      <c r="J2" s="309"/>
      <c r="K2" s="310"/>
      <c r="L2" s="311"/>
      <c r="M2" s="311"/>
      <c r="N2" s="311"/>
      <c r="O2" s="312"/>
      <c r="P2" s="298"/>
      <c r="V2" s="298"/>
      <c r="W2" s="298"/>
    </row>
    <row r="3" spans="1:41" ht="28" customHeight="1">
      <c r="B3" s="298"/>
      <c r="C3" s="301"/>
      <c r="D3" s="301"/>
      <c r="E3" s="942" t="s">
        <v>634</v>
      </c>
      <c r="F3" s="942"/>
      <c r="G3" s="313"/>
      <c r="H3" s="942" t="s">
        <v>635</v>
      </c>
      <c r="I3" s="942"/>
      <c r="J3" s="942"/>
      <c r="K3" s="942"/>
      <c r="L3" s="314"/>
      <c r="M3" s="942" t="s">
        <v>636</v>
      </c>
      <c r="N3" s="942"/>
      <c r="O3" s="942"/>
      <c r="P3" s="943"/>
      <c r="V3" s="298"/>
      <c r="W3" s="298"/>
    </row>
    <row r="4" spans="1:41" ht="16.5" customHeight="1">
      <c r="B4" s="298"/>
      <c r="C4" s="298"/>
      <c r="D4" s="298"/>
      <c r="E4" s="315" t="s">
        <v>637</v>
      </c>
      <c r="F4" s="316" t="s">
        <v>638</v>
      </c>
      <c r="G4" s="298"/>
      <c r="H4" s="317" t="s">
        <v>639</v>
      </c>
      <c r="I4" s="318" t="s">
        <v>6</v>
      </c>
      <c r="J4" s="317" t="s">
        <v>640</v>
      </c>
      <c r="K4" s="318" t="s">
        <v>641</v>
      </c>
      <c r="L4" s="298"/>
      <c r="M4" s="319" t="s">
        <v>642</v>
      </c>
      <c r="N4" s="320">
        <v>0.8</v>
      </c>
      <c r="O4" s="319" t="s">
        <v>643</v>
      </c>
      <c r="P4" s="321"/>
      <c r="R4" s="322" t="s">
        <v>644</v>
      </c>
      <c r="S4" s="323">
        <v>0.85</v>
      </c>
      <c r="U4" s="300"/>
      <c r="V4" s="298"/>
      <c r="W4" s="298"/>
      <c r="X4" s="324"/>
      <c r="Z4" s="325"/>
      <c r="AA4" s="325"/>
      <c r="AB4" s="325"/>
      <c r="AC4" s="325"/>
      <c r="AD4" s="325"/>
      <c r="AE4" s="325"/>
      <c r="AH4" s="944"/>
      <c r="AI4" s="945"/>
      <c r="AJ4" s="945"/>
      <c r="AK4" s="945"/>
      <c r="AL4" s="945"/>
    </row>
    <row r="5" spans="1:41" ht="16.5" customHeight="1">
      <c r="B5" s="326"/>
      <c r="C5" s="326"/>
      <c r="D5" s="327" t="s">
        <v>645</v>
      </c>
      <c r="E5" s="315" t="s">
        <v>646</v>
      </c>
      <c r="F5" s="316" t="s">
        <v>647</v>
      </c>
      <c r="G5" s="298"/>
      <c r="H5" s="328" t="s">
        <v>648</v>
      </c>
      <c r="I5" s="318" t="s">
        <v>649</v>
      </c>
      <c r="J5" s="329" t="s">
        <v>650</v>
      </c>
      <c r="K5" s="330">
        <v>120</v>
      </c>
      <c r="L5" s="298"/>
      <c r="M5" s="319" t="s">
        <v>651</v>
      </c>
      <c r="N5" s="330">
        <v>0</v>
      </c>
      <c r="O5" s="319" t="s">
        <v>652</v>
      </c>
      <c r="P5" s="331"/>
      <c r="R5" s="322" t="s">
        <v>653</v>
      </c>
      <c r="S5" s="332">
        <f>IFERROR(($F$7*$F$8*3600/$I$9)*S4,"")</f>
        <v>328.95</v>
      </c>
      <c r="U5" s="300"/>
      <c r="V5" s="298"/>
      <c r="W5" s="298"/>
      <c r="X5" s="324"/>
      <c r="Y5" s="950"/>
      <c r="Z5" s="951"/>
      <c r="AA5" s="325"/>
      <c r="AB5" s="325"/>
      <c r="AC5" s="325"/>
      <c r="AD5" s="325"/>
      <c r="AE5" s="325"/>
      <c r="AH5" s="946"/>
      <c r="AI5" s="947"/>
      <c r="AJ5" s="947"/>
      <c r="AK5" s="947"/>
      <c r="AL5" s="947"/>
    </row>
    <row r="6" spans="1:41" ht="16.5" customHeight="1">
      <c r="B6" s="300"/>
      <c r="C6" s="300"/>
      <c r="D6" s="333" t="s">
        <v>654</v>
      </c>
      <c r="E6" s="315" t="s">
        <v>655</v>
      </c>
      <c r="F6" s="316" t="s">
        <v>656</v>
      </c>
      <c r="G6" s="298"/>
      <c r="H6" s="329" t="s">
        <v>657</v>
      </c>
      <c r="I6" s="334">
        <v>8</v>
      </c>
      <c r="J6" s="329" t="s">
        <v>658</v>
      </c>
      <c r="K6" s="330">
        <v>67</v>
      </c>
      <c r="L6" s="298"/>
      <c r="M6" s="319" t="s">
        <v>659</v>
      </c>
      <c r="N6" s="330">
        <v>0</v>
      </c>
      <c r="O6" s="319" t="s">
        <v>660</v>
      </c>
      <c r="P6" s="331"/>
      <c r="R6" s="335" t="s">
        <v>661</v>
      </c>
      <c r="S6" s="336">
        <f>MAX([12]Summary!D3:D28)</f>
        <v>0</v>
      </c>
      <c r="U6" s="300"/>
      <c r="V6" s="298"/>
      <c r="W6" s="298"/>
      <c r="X6" s="324"/>
      <c r="Y6" s="337"/>
      <c r="Z6" s="325"/>
      <c r="AA6" s="325"/>
      <c r="AB6" s="325"/>
      <c r="AC6" s="325"/>
      <c r="AD6" s="325"/>
      <c r="AE6" s="325"/>
      <c r="AH6" s="946"/>
      <c r="AI6" s="947"/>
      <c r="AJ6" s="947"/>
      <c r="AK6" s="947"/>
      <c r="AL6" s="947"/>
    </row>
    <row r="7" spans="1:41" ht="16.5" customHeight="1">
      <c r="B7" s="300"/>
      <c r="C7" s="300"/>
      <c r="D7" s="338" t="s">
        <v>662</v>
      </c>
      <c r="E7" s="315" t="s">
        <v>663</v>
      </c>
      <c r="F7" s="316">
        <v>5</v>
      </c>
      <c r="G7" s="298"/>
      <c r="H7" s="328" t="s">
        <v>664</v>
      </c>
      <c r="I7" s="334" t="s">
        <v>665</v>
      </c>
      <c r="J7" s="322" t="s">
        <v>666</v>
      </c>
      <c r="K7" s="330" t="s">
        <v>667</v>
      </c>
      <c r="L7" s="298"/>
      <c r="M7" s="319" t="s">
        <v>668</v>
      </c>
      <c r="N7" s="330">
        <v>0</v>
      </c>
      <c r="O7" s="319" t="s">
        <v>669</v>
      </c>
      <c r="P7" s="331"/>
      <c r="R7" s="339" t="s">
        <v>670</v>
      </c>
      <c r="S7" s="340">
        <f ca="1">TODAY()+(MAX($H$13:$H$9998))*7</f>
        <v>46294</v>
      </c>
      <c r="U7" s="300"/>
      <c r="V7" s="298"/>
      <c r="W7" s="298"/>
      <c r="X7" s="324"/>
      <c r="Y7" s="337"/>
      <c r="Z7" s="325"/>
      <c r="AA7" s="325"/>
      <c r="AB7" s="325"/>
      <c r="AC7" s="325"/>
      <c r="AD7" s="325"/>
      <c r="AE7" s="325"/>
      <c r="AH7" s="948"/>
      <c r="AI7" s="949"/>
      <c r="AJ7" s="949"/>
      <c r="AK7" s="949"/>
      <c r="AL7" s="949"/>
    </row>
    <row r="8" spans="1:41" ht="16.5" customHeight="1">
      <c r="B8" s="300"/>
      <c r="C8" s="300"/>
      <c r="D8" s="341" t="s">
        <v>671</v>
      </c>
      <c r="E8" s="315" t="s">
        <v>672</v>
      </c>
      <c r="F8" s="316">
        <v>21.5</v>
      </c>
      <c r="G8" s="298"/>
      <c r="H8" s="328" t="s">
        <v>673</v>
      </c>
      <c r="I8" s="334">
        <v>155.05000000000001</v>
      </c>
      <c r="J8" s="322" t="s">
        <v>666</v>
      </c>
      <c r="K8" s="330" t="s">
        <v>674</v>
      </c>
      <c r="L8" s="298"/>
      <c r="M8" s="339"/>
      <c r="N8" s="342"/>
      <c r="O8" s="298"/>
      <c r="P8" s="343"/>
      <c r="Q8" s="344"/>
      <c r="S8" s="300"/>
      <c r="T8" s="300"/>
      <c r="U8" s="300"/>
      <c r="V8" s="298"/>
      <c r="W8" s="298"/>
      <c r="X8" s="324"/>
      <c r="Y8" s="337"/>
      <c r="Z8" s="325"/>
      <c r="AA8" s="325"/>
      <c r="AB8" s="325"/>
      <c r="AC8" s="325"/>
      <c r="AD8" s="325"/>
      <c r="AE8" s="325"/>
      <c r="AH8" s="345"/>
      <c r="AI8" s="346"/>
      <c r="AJ8" s="346"/>
      <c r="AK8" s="346"/>
      <c r="AL8" s="346"/>
    </row>
    <row r="9" spans="1:41" ht="15" customHeight="1">
      <c r="B9" s="298"/>
      <c r="C9" s="298"/>
      <c r="D9" s="298"/>
      <c r="E9" s="315" t="s">
        <v>675</v>
      </c>
      <c r="F9" s="316">
        <v>9.5</v>
      </c>
      <c r="G9" s="298"/>
      <c r="H9" s="319" t="s">
        <v>676</v>
      </c>
      <c r="I9" s="347">
        <v>1000</v>
      </c>
      <c r="J9" s="322" t="s">
        <v>677</v>
      </c>
      <c r="K9" s="348">
        <v>540</v>
      </c>
      <c r="L9" s="298"/>
      <c r="M9" s="298"/>
      <c r="N9" s="298"/>
      <c r="O9" s="298"/>
      <c r="P9" s="301"/>
      <c r="U9" s="349"/>
      <c r="V9" s="298"/>
      <c r="W9" s="298"/>
    </row>
    <row r="10" spans="1:41" ht="15" customHeight="1">
      <c r="B10" s="312"/>
      <c r="C10" s="312"/>
      <c r="D10" s="312"/>
      <c r="E10" s="298"/>
      <c r="F10" s="298"/>
      <c r="G10" s="298"/>
      <c r="H10" s="298"/>
      <c r="I10" s="298"/>
      <c r="J10" s="298"/>
      <c r="K10" s="298"/>
      <c r="L10" s="298"/>
      <c r="M10" s="298"/>
      <c r="N10" s="298"/>
      <c r="O10" s="312"/>
      <c r="P10" s="312"/>
      <c r="Q10" s="301"/>
      <c r="S10" s="350"/>
      <c r="U10" s="349"/>
      <c r="V10" s="298"/>
      <c r="W10" s="298"/>
    </row>
    <row r="11" spans="1:41" ht="18" customHeight="1">
      <c r="B11" s="312"/>
      <c r="C11" s="312"/>
      <c r="D11" s="307"/>
      <c r="E11" s="351"/>
      <c r="F11" s="352"/>
      <c r="G11" s="352"/>
      <c r="H11" s="312"/>
      <c r="I11" s="352"/>
      <c r="J11" s="312"/>
      <c r="K11" s="352"/>
      <c r="L11" s="312"/>
      <c r="M11" s="312"/>
      <c r="N11" s="309"/>
      <c r="O11" s="353" t="s">
        <v>678</v>
      </c>
      <c r="P11" s="354">
        <f>SUM($P$13:$P$999)</f>
        <v>0.14649121330106282</v>
      </c>
      <c r="Q11" s="355"/>
      <c r="R11" s="356">
        <f>SUM(R13:R212)</f>
        <v>61</v>
      </c>
      <c r="S11" s="357">
        <f>SUM(S13:S212)</f>
        <v>4410995</v>
      </c>
      <c r="T11" s="358">
        <f>SUM(T13:T212)</f>
        <v>11.899999999999999</v>
      </c>
      <c r="V11" s="298"/>
      <c r="W11" s="298"/>
    </row>
    <row r="12" spans="1:41" ht="57" customHeight="1">
      <c r="A12" s="301"/>
      <c r="B12" s="359" t="s">
        <v>679</v>
      </c>
      <c r="C12" s="360" t="s">
        <v>680</v>
      </c>
      <c r="D12" s="359" t="s">
        <v>681</v>
      </c>
      <c r="E12" s="359" t="s">
        <v>682</v>
      </c>
      <c r="F12" s="360" t="s">
        <v>683</v>
      </c>
      <c r="G12" s="360" t="s">
        <v>684</v>
      </c>
      <c r="H12" s="359" t="s">
        <v>685</v>
      </c>
      <c r="I12" s="359" t="s">
        <v>686</v>
      </c>
      <c r="J12" s="361" t="s">
        <v>687</v>
      </c>
      <c r="K12" s="362" t="s">
        <v>688</v>
      </c>
      <c r="L12" s="359" t="s">
        <v>689</v>
      </c>
      <c r="M12" s="359" t="s">
        <v>690</v>
      </c>
      <c r="N12" s="359" t="s">
        <v>691</v>
      </c>
      <c r="O12" s="363" t="s">
        <v>692</v>
      </c>
      <c r="P12" s="364" t="s">
        <v>678</v>
      </c>
      <c r="Q12" s="365" t="s">
        <v>693</v>
      </c>
      <c r="R12" s="365" t="s">
        <v>694</v>
      </c>
      <c r="S12" s="366" t="s">
        <v>695</v>
      </c>
      <c r="T12" s="365" t="s">
        <v>696</v>
      </c>
      <c r="U12" s="367"/>
      <c r="V12" s="368" t="s">
        <v>1044</v>
      </c>
      <c r="W12" s="368" t="s">
        <v>1045</v>
      </c>
      <c r="X12" s="369"/>
    </row>
    <row r="13" spans="1:41" ht="16.5" customHeight="1">
      <c r="A13" s="301"/>
      <c r="B13" s="370">
        <v>1</v>
      </c>
      <c r="C13" s="371">
        <v>1</v>
      </c>
      <c r="D13" s="372" t="str">
        <f>IFERROR(INDEX('[12]Equipment List'!$B$2:$B$2008,MATCH(E13,'[12]Equipment List'!$A$2:$A$2008,0)),"")</f>
        <v>Transport Loader/Unloader</v>
      </c>
      <c r="E13" s="373" t="s">
        <v>697</v>
      </c>
      <c r="F13" s="374" t="s">
        <v>698</v>
      </c>
      <c r="G13" s="375" t="s">
        <v>699</v>
      </c>
      <c r="H13" s="376">
        <v>0</v>
      </c>
      <c r="I13" s="377" t="s">
        <v>700</v>
      </c>
      <c r="J13" s="378" t="s">
        <v>701</v>
      </c>
      <c r="K13" s="379">
        <v>8190</v>
      </c>
      <c r="L13" s="370">
        <v>0.5</v>
      </c>
      <c r="M13" s="380">
        <f t="array" ref="M13">IF(L13="","",(MAX(IF(AN$15:AN$144=B13,AO$15:AO$144))/60))</f>
        <v>7.6923076923076913E-2</v>
      </c>
      <c r="N13" s="370">
        <v>0</v>
      </c>
      <c r="O13" s="370" t="s">
        <v>201</v>
      </c>
      <c r="P13" s="381">
        <f t="shared" ref="P13:P73" si="0">IFERROR((((K13/5/250/$F$8)+(N13*$F$9))/$S$4)*(M13/60),"")</f>
        <v>4.5964432284541711E-4</v>
      </c>
      <c r="Q13" s="382" t="str">
        <f t="array" ref="Q13">IFERROR(INDEX($D$13:$D$1000,MATCH(0,COUNTIF($Q$12:Q12,$D$13:$D$1000&amp;"")+IF($D$13:$D$1000="",1,0),0)),"")</f>
        <v>Transport Loader/Unloader</v>
      </c>
      <c r="R13" s="356">
        <f t="shared" ref="R13:R76" si="1">IF(Q13="","",COUNTIF($D$13:$D$1000,$Q13))</f>
        <v>7</v>
      </c>
      <c r="S13" s="383">
        <f>IF($Q13="","",SUMIF($D$13:$D$1000,$Q13,K$13:K$1000))</f>
        <v>57330</v>
      </c>
      <c r="T13" s="384">
        <f t="shared" ref="T13:T76" si="2">IF($Q13="","",SUMIF($D$13:$D$1000,$Q13,N$13:N$1000))</f>
        <v>2.5999999999999996</v>
      </c>
      <c r="U13" s="349"/>
      <c r="V13" s="385"/>
      <c r="W13" s="385"/>
      <c r="X13" s="386" t="s">
        <v>702</v>
      </c>
    </row>
    <row r="14" spans="1:41" ht="16.5" customHeight="1">
      <c r="A14" s="301"/>
      <c r="B14" s="387">
        <v>1</v>
      </c>
      <c r="C14" s="371">
        <v>2</v>
      </c>
      <c r="D14" s="372" t="str">
        <f>IFERROR(INDEX('[12]Equipment List'!$B$2:$B$2008,MATCH(E14,'[12]Equipment List'!$A$2:$A$2008,0)),"")</f>
        <v>Transport Destacker</v>
      </c>
      <c r="E14" s="388" t="s">
        <v>703</v>
      </c>
      <c r="F14" s="374" t="s">
        <v>698</v>
      </c>
      <c r="G14" s="375" t="s">
        <v>699</v>
      </c>
      <c r="H14" s="376">
        <v>0</v>
      </c>
      <c r="I14" s="377" t="s">
        <v>700</v>
      </c>
      <c r="J14" s="378" t="s">
        <v>704</v>
      </c>
      <c r="K14" s="379">
        <v>6500</v>
      </c>
      <c r="L14" s="370">
        <v>0.5</v>
      </c>
      <c r="M14" s="380">
        <f t="array" ref="M14">IF(L14="","",(MAX(IF(AN$15:AN$144=B14,AO$15:AO$144))/60))</f>
        <v>7.6923076923076913E-2</v>
      </c>
      <c r="N14" s="387">
        <v>0.3</v>
      </c>
      <c r="O14" s="387" t="s">
        <v>705</v>
      </c>
      <c r="P14" s="381">
        <f t="shared" si="0"/>
        <v>4.6634396155599981E-3</v>
      </c>
      <c r="Q14" s="382" t="str">
        <f t="array" ref="Q14">IFERROR(INDEX($D$13:$D$1000,MATCH(0,COUNTIF($Q$12:Q13,$D$13:$D$1000&amp;"")+IF($D$13:$D$1000="",1,0),0)),"")</f>
        <v>Transport Destacker</v>
      </c>
      <c r="R14" s="356">
        <f t="shared" si="1"/>
        <v>2</v>
      </c>
      <c r="S14" s="383">
        <f t="shared" ref="S14:S77" si="3">IF($Q14="","",SUMIF($D$13:$D$1000,$Q14,K$13:K$1000))</f>
        <v>13000</v>
      </c>
      <c r="T14" s="384">
        <f t="shared" si="2"/>
        <v>0.3</v>
      </c>
      <c r="U14" s="349"/>
      <c r="V14" s="385"/>
      <c r="W14" s="385"/>
      <c r="X14" s="386" t="s">
        <v>698</v>
      </c>
    </row>
    <row r="15" spans="1:41" ht="16.5" customHeight="1">
      <c r="A15" s="301"/>
      <c r="B15" s="370">
        <v>1</v>
      </c>
      <c r="C15" s="371">
        <v>3</v>
      </c>
      <c r="D15" s="372" t="str">
        <f>IFERROR(INDEX('[12]Equipment List'!$B$2:$B$2008,MATCH(E15,'[12]Equipment List'!$A$2:$A$2008,0)),"")</f>
        <v>Transport Conveyor</v>
      </c>
      <c r="E15" s="388" t="s">
        <v>706</v>
      </c>
      <c r="F15" s="374" t="s">
        <v>698</v>
      </c>
      <c r="G15" s="375" t="s">
        <v>699</v>
      </c>
      <c r="H15" s="376">
        <v>0</v>
      </c>
      <c r="I15" s="377" t="s">
        <v>700</v>
      </c>
      <c r="J15" s="378" t="s">
        <v>707</v>
      </c>
      <c r="K15" s="379">
        <v>3818</v>
      </c>
      <c r="L15" s="370">
        <v>0.5</v>
      </c>
      <c r="M15" s="380">
        <f t="array" ref="M15">IF(L15="","",(MAX(IF(AN$15:AN$144=B15,AO$15:AO$144))/60))</f>
        <v>7.6923076923076913E-2</v>
      </c>
      <c r="N15" s="387">
        <v>0</v>
      </c>
      <c r="O15" s="387"/>
      <c r="P15" s="381">
        <f t="shared" si="0"/>
        <v>2.1427619348275982E-4</v>
      </c>
      <c r="Q15" s="382" t="str">
        <f t="array" ref="Q15">IFERROR(INDEX($D$13:$D$1000,MATCH(0,COUNTIF($Q$12:Q14,$D$13:$D$1000&amp;"")+IF($D$13:$D$1000="",1,0),0)),"")</f>
        <v>Transport Conveyor</v>
      </c>
      <c r="R15" s="356">
        <f t="shared" si="1"/>
        <v>12</v>
      </c>
      <c r="S15" s="383">
        <f t="shared" si="3"/>
        <v>46920</v>
      </c>
      <c r="T15" s="384">
        <f t="shared" si="2"/>
        <v>0</v>
      </c>
      <c r="U15" s="349"/>
      <c r="V15" s="372"/>
      <c r="W15" s="385"/>
      <c r="X15" s="386" t="s">
        <v>708</v>
      </c>
      <c r="AN15" s="298">
        <f t="array" ref="AN15">_xlfn.UNIQUE($B$13:$B$9998,FALSE,FALSE)</f>
        <v>1</v>
      </c>
      <c r="AO15" s="298">
        <f t="array" ref="AO15">MAX(IF($B$13:$B$1753=AN15,$L$13:$L$1753))</f>
        <v>4.615384615384615</v>
      </c>
    </row>
    <row r="16" spans="1:41" ht="16.5" customHeight="1">
      <c r="A16" s="301"/>
      <c r="B16" s="387">
        <v>1</v>
      </c>
      <c r="C16" s="371">
        <v>4</v>
      </c>
      <c r="D16" s="372" t="str">
        <f>IFERROR(INDEX('[12]Equipment List'!$B$2:$B$2008,MATCH(E16,'[12]Equipment List'!$A$2:$A$2008,0)),"")</f>
        <v>Labeling</v>
      </c>
      <c r="E16" s="388" t="s">
        <v>709</v>
      </c>
      <c r="F16" s="374" t="s">
        <v>702</v>
      </c>
      <c r="G16" s="375" t="s">
        <v>699</v>
      </c>
      <c r="H16" s="376">
        <v>0</v>
      </c>
      <c r="I16" s="377" t="s">
        <v>710</v>
      </c>
      <c r="J16" s="378" t="s">
        <v>711</v>
      </c>
      <c r="K16" s="379">
        <v>76181</v>
      </c>
      <c r="L16" s="387">
        <v>4</v>
      </c>
      <c r="M16" s="380">
        <f>IF(L16="","",(MAX(IF(AN$15:AN$144=B16,AO$15:AO$144))/60))</f>
        <v>0</v>
      </c>
      <c r="N16" s="387">
        <v>0</v>
      </c>
      <c r="O16" s="387"/>
      <c r="P16" s="381">
        <f t="shared" si="0"/>
        <v>0</v>
      </c>
      <c r="Q16" s="382" t="str">
        <f t="array" ref="Q16">IFERROR(INDEX($D$13:$D$1000,MATCH(0,COUNTIF($Q$12:Q15,$D$13:$D$1000&amp;"")+IF($D$13:$D$1000="",1,0),0)),"")</f>
        <v>Labeling</v>
      </c>
      <c r="R16" s="356">
        <f t="shared" si="1"/>
        <v>2</v>
      </c>
      <c r="S16" s="383">
        <f t="shared" si="3"/>
        <v>152362</v>
      </c>
      <c r="T16" s="384">
        <f t="shared" si="2"/>
        <v>0</v>
      </c>
      <c r="U16" s="349"/>
      <c r="V16" s="385"/>
      <c r="W16" s="385"/>
      <c r="X16" s="386" t="s">
        <v>712</v>
      </c>
      <c r="AO16" s="298">
        <f t="array" ref="AO16">MAX(IF($B$13:$B$1753=AN16,$L$13:$L$1753))</f>
        <v>0</v>
      </c>
    </row>
    <row r="17" spans="1:41" ht="16.5" customHeight="1">
      <c r="A17" s="301"/>
      <c r="B17" s="370">
        <v>1</v>
      </c>
      <c r="C17" s="371">
        <v>5</v>
      </c>
      <c r="D17" s="372" t="str">
        <f>IFERROR(INDEX('[12]Equipment List'!$B$2:$B$2008,MATCH(E17,'[12]Equipment List'!$A$2:$A$2008,0)),"")</f>
        <v>Transport Conveyor</v>
      </c>
      <c r="E17" s="388" t="s">
        <v>713</v>
      </c>
      <c r="F17" s="374" t="s">
        <v>698</v>
      </c>
      <c r="G17" s="375" t="s">
        <v>699</v>
      </c>
      <c r="H17" s="376">
        <v>0</v>
      </c>
      <c r="I17" s="377" t="s">
        <v>700</v>
      </c>
      <c r="J17" s="378" t="s">
        <v>707</v>
      </c>
      <c r="K17" s="379">
        <v>3818</v>
      </c>
      <c r="L17" s="387">
        <v>0.5</v>
      </c>
      <c r="M17" s="380">
        <f t="array" ref="M17">IF(L17="","",(MAX(IF(AN$15:AN$144=B17,AO$15:AO$144))/60))</f>
        <v>7.6923076923076913E-2</v>
      </c>
      <c r="N17" s="387">
        <v>0</v>
      </c>
      <c r="O17" s="387"/>
      <c r="P17" s="381">
        <f t="shared" si="0"/>
        <v>2.1427619348275982E-4</v>
      </c>
      <c r="Q17" s="382" t="str">
        <f t="array" ref="Q17">IFERROR(INDEX($D$13:$D$1000,MATCH(0,COUNTIF($Q$12:Q16,$D$13:$D$1000&amp;"")+IF($D$13:$D$1000="",1,0),0)),"")</f>
        <v>Solder Paste Printing</v>
      </c>
      <c r="R17" s="356">
        <f t="shared" si="1"/>
        <v>2</v>
      </c>
      <c r="S17" s="383">
        <f t="shared" si="3"/>
        <v>220000</v>
      </c>
      <c r="T17" s="384">
        <f t="shared" si="2"/>
        <v>1</v>
      </c>
      <c r="U17" s="349"/>
      <c r="V17" s="385"/>
      <c r="W17" s="385"/>
      <c r="X17" s="386" t="s">
        <v>714</v>
      </c>
      <c r="AO17" s="298">
        <f t="array" ref="AO17">MAX(IF($B$13:$B$1753=AN17,$L$13:$L$1753))</f>
        <v>0</v>
      </c>
    </row>
    <row r="18" spans="1:41" ht="16.5" customHeight="1">
      <c r="A18" s="301"/>
      <c r="B18" s="387">
        <v>1</v>
      </c>
      <c r="C18" s="371">
        <v>6</v>
      </c>
      <c r="D18" s="372" t="str">
        <f>IFERROR(INDEX('[12]Equipment List'!$B$2:$B$2008,MATCH(E18,'[12]Equipment List'!$A$2:$A$2008,0)),"")</f>
        <v>Solder Paste Printing</v>
      </c>
      <c r="E18" s="388" t="s">
        <v>715</v>
      </c>
      <c r="F18" s="374" t="s">
        <v>698</v>
      </c>
      <c r="G18" s="375" t="s">
        <v>699</v>
      </c>
      <c r="H18" s="376">
        <v>0</v>
      </c>
      <c r="I18" s="377" t="s">
        <v>289</v>
      </c>
      <c r="J18" s="378" t="s">
        <v>1046</v>
      </c>
      <c r="K18" s="379">
        <v>110000</v>
      </c>
      <c r="L18" s="387">
        <v>4</v>
      </c>
      <c r="M18" s="380">
        <f t="array" ref="M18">IF(L18="","",(MAX(IF(AN$15:AN$144=B18,AO$15:AO$144))/60))</f>
        <v>7.6923076923076913E-2</v>
      </c>
      <c r="N18" s="387">
        <v>0.5</v>
      </c>
      <c r="O18" s="387"/>
      <c r="P18" s="381">
        <f t="shared" si="0"/>
        <v>1.3337893296853623E-2</v>
      </c>
      <c r="Q18" s="382" t="str">
        <f t="array" ref="Q18">IFERROR(INDEX($D$13:$D$1000,MATCH(0,COUNTIF($Q$12:Q17,$D$13:$D$1000&amp;"")+IF($D$13:$D$1000="",1,0),0)),"")</f>
        <v>Transport Shuttle</v>
      </c>
      <c r="R18" s="356">
        <f t="shared" si="1"/>
        <v>8</v>
      </c>
      <c r="S18" s="383">
        <f t="shared" si="3"/>
        <v>38864</v>
      </c>
      <c r="T18" s="384">
        <f t="shared" si="2"/>
        <v>0</v>
      </c>
      <c r="U18" s="349"/>
      <c r="V18" s="385"/>
      <c r="W18" s="385"/>
      <c r="X18" s="386" t="s">
        <v>717</v>
      </c>
      <c r="AO18" s="298">
        <f t="array" ref="AO18">MAX(IF($B$13:$B$1753=AN18,$L$13:$L$1753))</f>
        <v>0</v>
      </c>
    </row>
    <row r="19" spans="1:41" ht="16.5" customHeight="1">
      <c r="A19" s="301"/>
      <c r="B19" s="370">
        <v>1</v>
      </c>
      <c r="C19" s="371">
        <v>7</v>
      </c>
      <c r="D19" s="372" t="str">
        <f>IFERROR(INDEX('[12]Equipment List'!$B$2:$B$2008,MATCH(E19,'[12]Equipment List'!$A$2:$A$2008,0)),"")</f>
        <v>Transport Conveyor</v>
      </c>
      <c r="E19" s="388" t="s">
        <v>718</v>
      </c>
      <c r="F19" s="374" t="s">
        <v>698</v>
      </c>
      <c r="G19" s="375" t="s">
        <v>699</v>
      </c>
      <c r="H19" s="376">
        <v>0</v>
      </c>
      <c r="I19" s="377" t="s">
        <v>700</v>
      </c>
      <c r="J19" s="378" t="s">
        <v>707</v>
      </c>
      <c r="K19" s="379">
        <v>3818</v>
      </c>
      <c r="L19" s="387">
        <v>0.5</v>
      </c>
      <c r="M19" s="380">
        <f t="array" ref="M19">IF(L19="","",(MAX(IF(AN$15:AN$144=B19,AO$15:AO$144))/60))</f>
        <v>7.6923076923076913E-2</v>
      </c>
      <c r="N19" s="387">
        <v>0</v>
      </c>
      <c r="O19" s="387"/>
      <c r="P19" s="381">
        <f t="shared" si="0"/>
        <v>2.1427619348275982E-4</v>
      </c>
      <c r="Q19" s="382" t="str">
        <f t="array" ref="Q19">IFERROR(INDEX($D$13:$D$1000,MATCH(0,COUNTIF($Q$12:Q18,$D$13:$D$1000&amp;"")+IF($D$13:$D$1000="",1,0),0)),"")</f>
        <v>Automatic Solder Paste Inspection</v>
      </c>
      <c r="R19" s="356">
        <f t="shared" si="1"/>
        <v>2</v>
      </c>
      <c r="S19" s="383">
        <f t="shared" si="3"/>
        <v>198380</v>
      </c>
      <c r="T19" s="384">
        <f t="shared" si="2"/>
        <v>0</v>
      </c>
      <c r="U19" s="349"/>
      <c r="V19" s="385"/>
      <c r="W19" s="385"/>
      <c r="X19" s="386" t="s">
        <v>719</v>
      </c>
      <c r="AO19" s="298">
        <f t="array" ref="AO19">MAX(IF($B$13:$B$1753=AN19,$L$13:$L$1753))</f>
        <v>0</v>
      </c>
    </row>
    <row r="20" spans="1:41" ht="16.5" customHeight="1">
      <c r="A20" s="301"/>
      <c r="B20" s="387">
        <v>1</v>
      </c>
      <c r="C20" s="371">
        <v>8</v>
      </c>
      <c r="D20" s="372" t="str">
        <f>IFERROR(INDEX('[12]Equipment List'!$B$2:$B$2008,MATCH(E20,'[12]Equipment List'!$A$2:$A$2008,0)),"")</f>
        <v>Transport Shuttle</v>
      </c>
      <c r="E20" s="388" t="s">
        <v>720</v>
      </c>
      <c r="F20" s="374" t="s">
        <v>698</v>
      </c>
      <c r="G20" s="375" t="s">
        <v>699</v>
      </c>
      <c r="H20" s="376">
        <v>0</v>
      </c>
      <c r="I20" s="377" t="s">
        <v>721</v>
      </c>
      <c r="J20" s="378" t="s">
        <v>722</v>
      </c>
      <c r="K20" s="379">
        <v>4858</v>
      </c>
      <c r="L20" s="387">
        <v>0.5</v>
      </c>
      <c r="M20" s="380">
        <f t="array" ref="M20">IF(L20="","",(MAX(IF(AN$15:AN$144=B20,AO$15:AO$144))/60))</f>
        <v>7.6923076923076913E-2</v>
      </c>
      <c r="N20" s="387">
        <v>0</v>
      </c>
      <c r="O20" s="387"/>
      <c r="P20" s="381">
        <f t="shared" si="0"/>
        <v>2.7264372654249531E-4</v>
      </c>
      <c r="Q20" s="382" t="str">
        <f t="array" ref="Q20">IFERROR(INDEX($D$13:$D$1000,MATCH(0,COUNTIF($Q$12:Q19,$D$13:$D$1000&amp;"")+IF($D$13:$D$1000="",1,0),0)),"")</f>
        <v>Transport reject</v>
      </c>
      <c r="R20" s="356">
        <f t="shared" si="1"/>
        <v>5</v>
      </c>
      <c r="S20" s="383">
        <f t="shared" si="3"/>
        <v>40476</v>
      </c>
      <c r="T20" s="384">
        <f t="shared" si="2"/>
        <v>0</v>
      </c>
      <c r="U20" s="349"/>
      <c r="V20" s="385"/>
      <c r="W20" s="385"/>
      <c r="X20" s="386" t="s">
        <v>723</v>
      </c>
      <c r="AO20" s="298">
        <f t="array" ref="AO20">MAX(IF($B$13:$B$1753=AN20,$L$13:$L$1753))</f>
        <v>0</v>
      </c>
    </row>
    <row r="21" spans="1:41" ht="16.5" customHeight="1">
      <c r="A21" s="301"/>
      <c r="B21" s="370">
        <v>1</v>
      </c>
      <c r="C21" s="371">
        <v>9</v>
      </c>
      <c r="D21" s="372" t="str">
        <f>IFERROR(INDEX('[12]Equipment List'!$B$2:$B$2008,MATCH(E21,'[12]Equipment List'!$A$2:$A$2008,0)),"")</f>
        <v>Automatic Solder Paste Inspection</v>
      </c>
      <c r="E21" s="388" t="s">
        <v>724</v>
      </c>
      <c r="F21" s="374" t="s">
        <v>698</v>
      </c>
      <c r="G21" s="375" t="s">
        <v>699</v>
      </c>
      <c r="H21" s="376">
        <v>0</v>
      </c>
      <c r="I21" s="377" t="s">
        <v>725</v>
      </c>
      <c r="J21" s="378" t="s">
        <v>726</v>
      </c>
      <c r="K21" s="379">
        <v>99190</v>
      </c>
      <c r="L21" s="387">
        <v>4</v>
      </c>
      <c r="M21" s="380">
        <f t="array" ref="M21">IF(L21="","",(MAX(IF(AN$15:AN$144=B21,AO$15:AO$144))/60))</f>
        <v>7.6923076923076913E-2</v>
      </c>
      <c r="N21" s="387">
        <v>0</v>
      </c>
      <c r="O21" s="387" t="s">
        <v>727</v>
      </c>
      <c r="P21" s="381">
        <f t="shared" si="0"/>
        <v>5.5668034655722747E-3</v>
      </c>
      <c r="Q21" s="382" t="str">
        <f t="array" ref="Q21">IFERROR(INDEX($D$13:$D$1000,MATCH(0,COUNTIF($Q$12:Q20,$D$13:$D$1000&amp;"")+IF($D$13:$D$1000="",1,0),0)),"")</f>
        <v>Automatic Placement --- SMT</v>
      </c>
      <c r="R21" s="356">
        <f t="shared" si="1"/>
        <v>8</v>
      </c>
      <c r="S21" s="383">
        <f t="shared" si="3"/>
        <v>1622672</v>
      </c>
      <c r="T21" s="384">
        <f t="shared" si="2"/>
        <v>6</v>
      </c>
      <c r="U21" s="349"/>
      <c r="V21" s="385"/>
      <c r="W21" s="385"/>
      <c r="X21" s="386" t="s">
        <v>211</v>
      </c>
      <c r="AO21" s="298">
        <f t="array" ref="AO21">MAX(IF($B$13:$B$1753=AN21,$L$13:$L$1753))</f>
        <v>0</v>
      </c>
    </row>
    <row r="22" spans="1:41" ht="16.5" customHeight="1">
      <c r="A22" s="301"/>
      <c r="B22" s="387">
        <v>1</v>
      </c>
      <c r="C22" s="371">
        <v>10</v>
      </c>
      <c r="D22" s="372" t="str">
        <f>IFERROR(INDEX('[12]Equipment List'!$B$2:$B$2008,MATCH(E22,'[12]Equipment List'!$A$2:$A$2008,0)),"")</f>
        <v>Transport reject</v>
      </c>
      <c r="E22" s="388" t="s">
        <v>728</v>
      </c>
      <c r="F22" s="374" t="s">
        <v>698</v>
      </c>
      <c r="G22" s="375" t="s">
        <v>699</v>
      </c>
      <c r="H22" s="376">
        <v>0</v>
      </c>
      <c r="I22" s="377" t="s">
        <v>729</v>
      </c>
      <c r="J22" s="378" t="s">
        <v>730</v>
      </c>
      <c r="K22" s="379">
        <v>8190</v>
      </c>
      <c r="L22" s="387">
        <v>0.5</v>
      </c>
      <c r="M22" s="380">
        <f t="array" ref="M22">IF(L22="","",(MAX(IF(AN$15:AN$144=B22,AO$15:AO$144))/60))</f>
        <v>7.6923076923076913E-2</v>
      </c>
      <c r="N22" s="387">
        <v>0</v>
      </c>
      <c r="O22" s="387"/>
      <c r="P22" s="381">
        <f t="shared" si="0"/>
        <v>4.5964432284541711E-4</v>
      </c>
      <c r="Q22" s="382" t="str">
        <f t="array" ref="Q22">IFERROR(INDEX($D$13:$D$1000,MATCH(0,COUNTIF($Q$12:Q21,$D$13:$D$1000&amp;"")+IF($D$13:$D$1000="",1,0),0)),"")</f>
        <v>SMT Reflow Vacuum</v>
      </c>
      <c r="R22" s="356">
        <f t="shared" si="1"/>
        <v>2</v>
      </c>
      <c r="S22" s="383">
        <f t="shared" si="3"/>
        <v>590000</v>
      </c>
      <c r="T22" s="384">
        <f t="shared" si="2"/>
        <v>0</v>
      </c>
      <c r="U22" s="349"/>
      <c r="V22" s="385"/>
      <c r="W22" s="385"/>
      <c r="X22" s="386" t="s">
        <v>731</v>
      </c>
      <c r="AO22" s="298">
        <f t="array" ref="AO22">MAX(IF($B$13:$B$1753=AN22,$L$13:$L$1753))</f>
        <v>0</v>
      </c>
    </row>
    <row r="23" spans="1:41" ht="16.5" customHeight="1">
      <c r="A23" s="301"/>
      <c r="B23" s="370">
        <v>1</v>
      </c>
      <c r="C23" s="371">
        <v>11</v>
      </c>
      <c r="D23" s="372" t="str">
        <f>IFERROR(INDEX('[12]Equipment List'!$B$2:$B$2008,MATCH(E23,'[12]Equipment List'!$A$2:$A$2008,0)),"")</f>
        <v>Automatic Placement --- SMT</v>
      </c>
      <c r="E23" s="388" t="s">
        <v>732</v>
      </c>
      <c r="F23" s="374" t="s">
        <v>698</v>
      </c>
      <c r="G23" s="375" t="s">
        <v>699</v>
      </c>
      <c r="H23" s="376">
        <v>0</v>
      </c>
      <c r="I23" s="377" t="s">
        <v>289</v>
      </c>
      <c r="J23" s="378" t="s">
        <v>733</v>
      </c>
      <c r="K23" s="379">
        <v>202834</v>
      </c>
      <c r="L23" s="389">
        <v>4.0519480519480515</v>
      </c>
      <c r="M23" s="380">
        <f t="array" ref="M23">IF(L23="","",(MAX(IF(AN$15:AN$144=B23,AO$15:AO$144))/60))</f>
        <v>7.6923076923076913E-2</v>
      </c>
      <c r="N23" s="387">
        <v>3</v>
      </c>
      <c r="O23" s="387"/>
      <c r="P23" s="381">
        <f t="shared" si="0"/>
        <v>5.4370002455364969E-2</v>
      </c>
      <c r="Q23" s="382" t="str">
        <f t="array" ref="Q23">IFERROR(INDEX($D$13:$D$1000,MATCH(0,COUNTIF($Q$12:Q22,$D$13:$D$1000&amp;"")+IF($D$13:$D$1000="",1,0),0)),"")</f>
        <v>Transport Buffer</v>
      </c>
      <c r="R23" s="356">
        <f t="shared" si="1"/>
        <v>2</v>
      </c>
      <c r="S23" s="383">
        <f t="shared" si="3"/>
        <v>25220</v>
      </c>
      <c r="T23" s="384">
        <f t="shared" si="2"/>
        <v>0</v>
      </c>
      <c r="U23" s="349"/>
      <c r="V23" s="385"/>
      <c r="W23" s="385"/>
      <c r="X23" s="386"/>
      <c r="AO23" s="298">
        <f t="array" ref="AO23">MAX(IF($B$13:$B$1753=AN23,$L$13:$L$1753))</f>
        <v>0</v>
      </c>
    </row>
    <row r="24" spans="1:41" ht="16.5" customHeight="1">
      <c r="A24" s="301"/>
      <c r="B24" s="387">
        <v>1</v>
      </c>
      <c r="C24" s="371">
        <v>12</v>
      </c>
      <c r="D24" s="372" t="str">
        <f>IFERROR(INDEX('[12]Equipment List'!$B$2:$B$2008,MATCH(E24,'[12]Equipment List'!$A$2:$A$2008,0)),"")</f>
        <v>Automatic Placement --- SMT</v>
      </c>
      <c r="E24" s="388" t="s">
        <v>734</v>
      </c>
      <c r="F24" s="374" t="s">
        <v>698</v>
      </c>
      <c r="G24" s="375" t="s">
        <v>699</v>
      </c>
      <c r="H24" s="376">
        <v>0</v>
      </c>
      <c r="I24" s="377" t="s">
        <v>289</v>
      </c>
      <c r="J24" s="378" t="s">
        <v>733</v>
      </c>
      <c r="K24" s="379">
        <v>202834</v>
      </c>
      <c r="L24" s="389">
        <v>3.8961038961038956</v>
      </c>
      <c r="M24" s="380">
        <f t="array" ref="M24">IF(L24="","",(MAX(IF(AN$15:AN$144=B24,AO$15:AO$144))/60))</f>
        <v>7.6923076923076913E-2</v>
      </c>
      <c r="N24" s="390">
        <v>0</v>
      </c>
      <c r="O24" s="390"/>
      <c r="P24" s="381">
        <f t="shared" si="0"/>
        <v>1.1383577115998456E-2</v>
      </c>
      <c r="Q24" s="382" t="str">
        <f t="array" ref="Q24">IFERROR(INDEX($D$13:$D$1000,MATCH(0,COUNTIF($Q$12:Q23,$D$13:$D$1000&amp;"")+IF($D$13:$D$1000="",1,0),0)),"")</f>
        <v>Automatic Optical Inspection --- SMD</v>
      </c>
      <c r="R24" s="356">
        <f t="shared" si="1"/>
        <v>2</v>
      </c>
      <c r="S24" s="383">
        <f t="shared" si="3"/>
        <v>198380</v>
      </c>
      <c r="T24" s="384">
        <f t="shared" si="2"/>
        <v>0</v>
      </c>
      <c r="U24" s="349"/>
      <c r="V24" s="385"/>
      <c r="W24" s="385"/>
      <c r="X24" s="386"/>
      <c r="AO24" s="298">
        <f t="array" ref="AO24">MAX(IF($B$13:$B$1753=AN24,$L$13:$L$1753))</f>
        <v>0</v>
      </c>
    </row>
    <row r="25" spans="1:41" ht="16.5" customHeight="1">
      <c r="A25" s="301"/>
      <c r="B25" s="370">
        <v>1</v>
      </c>
      <c r="C25" s="371">
        <v>13</v>
      </c>
      <c r="D25" s="372" t="str">
        <f>IFERROR(INDEX('[12]Equipment List'!$B$2:$B$2008,MATCH(E25,'[12]Equipment List'!$A$2:$A$2008,0)),"")</f>
        <v>Automatic Placement --- SMT</v>
      </c>
      <c r="E25" s="388" t="s">
        <v>735</v>
      </c>
      <c r="F25" s="374" t="s">
        <v>698</v>
      </c>
      <c r="G25" s="375" t="s">
        <v>699</v>
      </c>
      <c r="H25" s="376">
        <v>0</v>
      </c>
      <c r="I25" s="377" t="s">
        <v>289</v>
      </c>
      <c r="J25" s="378" t="s">
        <v>736</v>
      </c>
      <c r="K25" s="379">
        <v>202834</v>
      </c>
      <c r="L25" s="389">
        <v>3.6666666666666661</v>
      </c>
      <c r="M25" s="380">
        <f t="array" ref="M25">IF(L25="","",(MAX(IF(AN$15:AN$144=B25,AO$15:AO$144))/60))</f>
        <v>7.6923076923076913E-2</v>
      </c>
      <c r="N25" s="390">
        <v>0</v>
      </c>
      <c r="O25" s="390"/>
      <c r="P25" s="381">
        <f t="shared" si="0"/>
        <v>1.1383577115998456E-2</v>
      </c>
      <c r="Q25" s="382" t="str">
        <f t="array" ref="Q25">IFERROR(INDEX($D$13:$D$1000,MATCH(0,COUNTIF($Q$12:Q24,$D$13:$D$1000&amp;"")+IF($D$13:$D$1000="",1,0),0)),"")</f>
        <v>Transport Flipper</v>
      </c>
      <c r="R25" s="356">
        <f t="shared" si="1"/>
        <v>3</v>
      </c>
      <c r="S25" s="383">
        <f t="shared" si="3"/>
        <v>20085</v>
      </c>
      <c r="T25" s="384">
        <f t="shared" si="2"/>
        <v>0</v>
      </c>
      <c r="U25" s="349"/>
      <c r="V25" s="385"/>
      <c r="W25" s="385"/>
      <c r="X25" s="386"/>
      <c r="AO25" s="298">
        <f t="array" ref="AO25">MAX(IF($B$13:$B$1753=AN25,$L$13:$L$1753))</f>
        <v>0</v>
      </c>
    </row>
    <row r="26" spans="1:41" ht="16.5" customHeight="1">
      <c r="A26" s="301"/>
      <c r="B26" s="387">
        <v>1</v>
      </c>
      <c r="C26" s="371">
        <v>14</v>
      </c>
      <c r="D26" s="372" t="str">
        <f>IFERROR(INDEX('[12]Equipment List'!$B$2:$B$2008,MATCH(E26,'[12]Equipment List'!$A$2:$A$2008,0)),"")</f>
        <v>Automatic Placement --- SMT</v>
      </c>
      <c r="E26" s="388" t="s">
        <v>737</v>
      </c>
      <c r="F26" s="374" t="s">
        <v>698</v>
      </c>
      <c r="G26" s="375" t="s">
        <v>699</v>
      </c>
      <c r="H26" s="376">
        <v>0</v>
      </c>
      <c r="I26" s="377" t="s">
        <v>289</v>
      </c>
      <c r="J26" s="378" t="s">
        <v>738</v>
      </c>
      <c r="K26" s="379">
        <v>202834</v>
      </c>
      <c r="L26" s="389">
        <v>4.615384615384615</v>
      </c>
      <c r="M26" s="380">
        <f t="array" ref="M26">IF(L26="","",(MAX(IF(AN$15:AN$144=B26,AO$15:AO$144))/60))</f>
        <v>7.6923076923076913E-2</v>
      </c>
      <c r="N26" s="390">
        <v>0</v>
      </c>
      <c r="O26" s="390"/>
      <c r="P26" s="381">
        <f t="shared" si="0"/>
        <v>1.1383577115998456E-2</v>
      </c>
      <c r="Q26" s="382" t="str">
        <f t="array" ref="Q26">IFERROR(INDEX($D$13:$D$1000,MATCH(0,COUNTIF($Q$12:Q25,$D$13:$D$1000&amp;"")+IF($D$13:$D$1000="",1,0),0)),"")</f>
        <v>Automatic X-ray Inspection</v>
      </c>
      <c r="R26" s="356">
        <f t="shared" si="1"/>
        <v>1</v>
      </c>
      <c r="S26" s="383">
        <f t="shared" si="3"/>
        <v>460787</v>
      </c>
      <c r="T26" s="384">
        <f t="shared" si="2"/>
        <v>0</v>
      </c>
      <c r="U26" s="349"/>
      <c r="V26" s="385">
        <v>2000</v>
      </c>
      <c r="W26" s="385">
        <v>199</v>
      </c>
      <c r="X26" s="386"/>
      <c r="AO26" s="298">
        <f t="array" ref="AO26">MAX(IF($B$13:$B$1753=AN26,$L$13:$L$1753))</f>
        <v>0</v>
      </c>
    </row>
    <row r="27" spans="1:41" ht="16.5" customHeight="1">
      <c r="A27" s="301"/>
      <c r="B27" s="370">
        <v>1</v>
      </c>
      <c r="C27" s="371">
        <v>15</v>
      </c>
      <c r="D27" s="372" t="str">
        <f>IFERROR(INDEX('[12]Equipment List'!$B$2:$B$2008,MATCH(E27,'[12]Equipment List'!$A$2:$A$2008,0)),"")</f>
        <v>Transport Conveyor</v>
      </c>
      <c r="E27" s="388" t="s">
        <v>739</v>
      </c>
      <c r="F27" s="374" t="s">
        <v>698</v>
      </c>
      <c r="G27" s="375" t="s">
        <v>699</v>
      </c>
      <c r="H27" s="376">
        <v>0</v>
      </c>
      <c r="I27" s="377" t="s">
        <v>729</v>
      </c>
      <c r="J27" s="378" t="s">
        <v>740</v>
      </c>
      <c r="K27" s="379">
        <v>4094</v>
      </c>
      <c r="L27" s="389">
        <v>0.5</v>
      </c>
      <c r="M27" s="380">
        <f t="array" ref="M27">IF(L27="","",(MAX(IF(AN$15:AN$144=B27,AO$15:AO$144))/60))</f>
        <v>7.6923076923076913E-2</v>
      </c>
      <c r="N27" s="390">
        <v>0</v>
      </c>
      <c r="O27" s="390"/>
      <c r="P27" s="381">
        <f t="shared" si="0"/>
        <v>2.2976603879476653E-4</v>
      </c>
      <c r="Q27" s="382" t="str">
        <f t="array" ref="Q27">IFERROR(INDEX($D$13:$D$1000,MATCH(0,COUNTIF($Q$12:Q26,$D$13:$D$1000&amp;"")+IF($D$13:$D$1000="",1,0),0)),"")</f>
        <v>ICT off-line</v>
      </c>
      <c r="R27" s="356">
        <f t="shared" si="1"/>
        <v>1</v>
      </c>
      <c r="S27" s="383">
        <f t="shared" si="3"/>
        <v>584787</v>
      </c>
      <c r="T27" s="384">
        <f t="shared" si="2"/>
        <v>0.5</v>
      </c>
      <c r="U27" s="349"/>
      <c r="V27" s="385"/>
      <c r="W27" s="385"/>
      <c r="X27" s="386" t="s">
        <v>741</v>
      </c>
      <c r="AO27" s="298">
        <f t="array" ref="AO27">MAX(IF($B$13:$B$1753=AN27,$L$13:$L$1753))</f>
        <v>0</v>
      </c>
    </row>
    <row r="28" spans="1:41" ht="16.5" customHeight="1">
      <c r="A28" s="301"/>
      <c r="B28" s="387">
        <v>1</v>
      </c>
      <c r="C28" s="371">
        <v>16</v>
      </c>
      <c r="D28" s="372" t="str">
        <f>IFERROR(INDEX('[12]Equipment List'!$B$2:$B$2008,MATCH(E28,'[12]Equipment List'!$A$2:$A$2008,0)),"")</f>
        <v>Transport Shuttle</v>
      </c>
      <c r="E28" s="388" t="s">
        <v>742</v>
      </c>
      <c r="F28" s="374" t="s">
        <v>698</v>
      </c>
      <c r="G28" s="375" t="s">
        <v>699</v>
      </c>
      <c r="H28" s="376">
        <v>0</v>
      </c>
      <c r="I28" s="377" t="s">
        <v>721</v>
      </c>
      <c r="J28" s="378" t="s">
        <v>722</v>
      </c>
      <c r="K28" s="379">
        <v>4858</v>
      </c>
      <c r="L28" s="389">
        <v>0.5</v>
      </c>
      <c r="M28" s="380">
        <f t="array" ref="M28">IF(L28="","",(MAX(IF(AN$15:AN$144=B28,AO$15:AO$144))/60))</f>
        <v>7.6923076923076913E-2</v>
      </c>
      <c r="N28" s="387">
        <v>0</v>
      </c>
      <c r="O28" s="387"/>
      <c r="P28" s="381">
        <f t="shared" si="0"/>
        <v>2.7264372654249531E-4</v>
      </c>
      <c r="Q28" s="382" t="str">
        <f t="array" ref="Q28">IFERROR(INDEX($D$13:$D$1000,MATCH(0,COUNTIF($Q$12:Q27,$D$13:$D$1000&amp;"")+IF($D$13:$D$1000="",1,0),0)),"")</f>
        <v>Depaneling</v>
      </c>
      <c r="R28" s="356">
        <f t="shared" si="1"/>
        <v>1</v>
      </c>
      <c r="S28" s="383">
        <f t="shared" si="3"/>
        <v>138582</v>
      </c>
      <c r="T28" s="384">
        <f t="shared" si="2"/>
        <v>0.5</v>
      </c>
      <c r="U28" s="349"/>
      <c r="V28" s="385"/>
      <c r="W28" s="385"/>
      <c r="X28" s="386" t="s">
        <v>743</v>
      </c>
      <c r="AO28" s="298">
        <f t="array" ref="AO28">MAX(IF($B$13:$B$1753=AN28,$L$13:$L$1753))</f>
        <v>0</v>
      </c>
    </row>
    <row r="29" spans="1:41" ht="16.5" customHeight="1">
      <c r="A29" s="301"/>
      <c r="B29" s="370">
        <v>1</v>
      </c>
      <c r="C29" s="371">
        <v>17</v>
      </c>
      <c r="D29" s="372" t="str">
        <f>IFERROR(INDEX('[12]Equipment List'!$B$2:$B$2008,MATCH(E29,'[12]Equipment List'!$A$2:$A$2008,0)),"")</f>
        <v>SMT Reflow Vacuum</v>
      </c>
      <c r="E29" s="388" t="s">
        <v>744</v>
      </c>
      <c r="F29" s="374" t="s">
        <v>698</v>
      </c>
      <c r="G29" s="375" t="s">
        <v>699</v>
      </c>
      <c r="H29" s="376">
        <v>0</v>
      </c>
      <c r="I29" s="377" t="s">
        <v>745</v>
      </c>
      <c r="J29" s="378" t="s">
        <v>746</v>
      </c>
      <c r="K29" s="379">
        <v>295000</v>
      </c>
      <c r="L29" s="387">
        <v>4</v>
      </c>
      <c r="M29" s="380">
        <f t="array" ref="M29">IF(L29="","",(MAX(IF(AN$15:AN$144=B29,AO$15:AO$144))/60))</f>
        <v>7.6923076923076913E-2</v>
      </c>
      <c r="N29" s="387">
        <v>0</v>
      </c>
      <c r="O29" s="387" t="s">
        <v>188</v>
      </c>
      <c r="P29" s="381">
        <f t="shared" si="0"/>
        <v>1.6556175242905747E-2</v>
      </c>
      <c r="Q29" s="382" t="str">
        <f t="array" ref="Q29">IFERROR(INDEX($D$13:$D$1000,MATCH(0,COUNTIF($Q$12:Q28,$D$13:$D$1000&amp;"")+IF($D$13:$D$1000="",1,0),0)),"")</f>
        <v>FVT off-line</v>
      </c>
      <c r="R29" s="356">
        <f t="shared" si="1"/>
        <v>1</v>
      </c>
      <c r="S29" s="383">
        <f t="shared" si="3"/>
        <v>3150</v>
      </c>
      <c r="T29" s="384">
        <f t="shared" si="2"/>
        <v>1</v>
      </c>
      <c r="U29" s="349"/>
      <c r="V29" s="385"/>
      <c r="W29" s="385"/>
      <c r="X29" s="386" t="s">
        <v>747</v>
      </c>
      <c r="AO29" s="298">
        <f t="array" ref="AO29">MAX(IF($B$13:$B$1753=AN29,$L$13:$L$1753))</f>
        <v>0</v>
      </c>
    </row>
    <row r="30" spans="1:41" ht="16.5" customHeight="1">
      <c r="A30" s="301"/>
      <c r="B30" s="387">
        <v>1</v>
      </c>
      <c r="C30" s="371">
        <v>18</v>
      </c>
      <c r="D30" s="372" t="str">
        <f>IFERROR(INDEX('[12]Equipment List'!$B$2:$B$2008,MATCH(E30,'[12]Equipment List'!$A$2:$A$2008,0)),"")</f>
        <v>Transport Shuttle</v>
      </c>
      <c r="E30" s="388" t="s">
        <v>748</v>
      </c>
      <c r="F30" s="374" t="s">
        <v>698</v>
      </c>
      <c r="G30" s="375" t="s">
        <v>699</v>
      </c>
      <c r="H30" s="376">
        <v>0</v>
      </c>
      <c r="I30" s="377" t="s">
        <v>721</v>
      </c>
      <c r="J30" s="378" t="s">
        <v>722</v>
      </c>
      <c r="K30" s="379">
        <v>4858</v>
      </c>
      <c r="L30" s="387">
        <v>0.5</v>
      </c>
      <c r="M30" s="380">
        <f t="array" ref="M30">IF(L30="","",(MAX(IF(AN$15:AN$144=B30,AO$15:AO$144))/60))</f>
        <v>7.6923076923076913E-2</v>
      </c>
      <c r="N30" s="387">
        <v>0</v>
      </c>
      <c r="O30" s="387"/>
      <c r="P30" s="381">
        <f t="shared" si="0"/>
        <v>2.7264372654249531E-4</v>
      </c>
      <c r="Q30" s="382" t="str">
        <f t="array" ref="Q30">IFERROR(INDEX($D$13:$D$1000,MATCH(0,COUNTIF($Q$12:Q29,$D$13:$D$1000&amp;"")+IF($D$13:$D$1000="",1,0),0)),"")</f>
        <v/>
      </c>
      <c r="R30" s="356" t="str">
        <f t="shared" si="1"/>
        <v/>
      </c>
      <c r="S30" s="383" t="str">
        <f t="shared" si="3"/>
        <v/>
      </c>
      <c r="T30" s="384" t="str">
        <f t="shared" si="2"/>
        <v/>
      </c>
      <c r="U30" s="349"/>
      <c r="V30" s="385"/>
      <c r="W30" s="385"/>
      <c r="X30" s="386" t="s">
        <v>749</v>
      </c>
    </row>
    <row r="31" spans="1:41" ht="16.5" customHeight="1">
      <c r="A31" s="301"/>
      <c r="B31" s="370">
        <v>1</v>
      </c>
      <c r="C31" s="371">
        <v>19</v>
      </c>
      <c r="D31" s="372" t="str">
        <f>IFERROR(INDEX('[12]Equipment List'!$B$2:$B$2008,MATCH(E31,'[12]Equipment List'!$A$2:$A$2008,0)),"")</f>
        <v>Transport Conveyor</v>
      </c>
      <c r="E31" s="388" t="s">
        <v>750</v>
      </c>
      <c r="F31" s="374" t="s">
        <v>698</v>
      </c>
      <c r="G31" s="375" t="s">
        <v>699</v>
      </c>
      <c r="H31" s="376">
        <v>0</v>
      </c>
      <c r="I31" s="377" t="s">
        <v>729</v>
      </c>
      <c r="J31" s="378" t="s">
        <v>740</v>
      </c>
      <c r="K31" s="379">
        <v>4094</v>
      </c>
      <c r="L31" s="387">
        <v>0.5</v>
      </c>
      <c r="M31" s="380">
        <f t="array" ref="M31">IF(L31="","",(MAX(IF(AN$15:AN$144=B31,AO$15:AO$144))/60))</f>
        <v>7.6923076923076913E-2</v>
      </c>
      <c r="N31" s="387">
        <v>0</v>
      </c>
      <c r="O31" s="387"/>
      <c r="P31" s="381">
        <f t="shared" si="0"/>
        <v>2.2976603879476653E-4</v>
      </c>
      <c r="Q31" s="382" t="str">
        <f t="array" ref="Q31">IFERROR(INDEX($D$13:$D$1000,MATCH(0,COUNTIF($Q$12:Q30,$D$13:$D$1000&amp;"")+IF($D$13:$D$1000="",1,0),0)),"")</f>
        <v/>
      </c>
      <c r="R31" s="356" t="str">
        <f t="shared" si="1"/>
        <v/>
      </c>
      <c r="S31" s="383" t="str">
        <f t="shared" si="3"/>
        <v/>
      </c>
      <c r="T31" s="384" t="str">
        <f t="shared" si="2"/>
        <v/>
      </c>
      <c r="U31" s="349"/>
      <c r="V31" s="385"/>
      <c r="W31" s="385"/>
      <c r="X31" s="386" t="s">
        <v>751</v>
      </c>
    </row>
    <row r="32" spans="1:41" ht="16.5" customHeight="1">
      <c r="A32" s="301"/>
      <c r="B32" s="387">
        <v>1</v>
      </c>
      <c r="C32" s="371">
        <v>20</v>
      </c>
      <c r="D32" s="372" t="str">
        <f>IFERROR(INDEX('[12]Equipment List'!$B$2:$B$2008,MATCH(E32,'[12]Equipment List'!$A$2:$A$2008,0)),"")</f>
        <v>Transport Buffer</v>
      </c>
      <c r="E32" s="388" t="s">
        <v>752</v>
      </c>
      <c r="F32" s="374" t="s">
        <v>698</v>
      </c>
      <c r="G32" s="375" t="s">
        <v>699</v>
      </c>
      <c r="H32" s="376">
        <v>0</v>
      </c>
      <c r="I32" s="377" t="s">
        <v>729</v>
      </c>
      <c r="J32" s="378" t="s">
        <v>753</v>
      </c>
      <c r="K32" s="379">
        <v>12610</v>
      </c>
      <c r="L32" s="387">
        <v>0.5</v>
      </c>
      <c r="M32" s="380">
        <f t="array" ref="M32">IF(L32="","",(MAX(IF(AN$15:AN$144=B32,AO$15:AO$144))/60))</f>
        <v>7.6923076923076913E-2</v>
      </c>
      <c r="N32" s="387">
        <v>0</v>
      </c>
      <c r="O32" s="387" t="s">
        <v>1</v>
      </c>
      <c r="P32" s="381">
        <f t="shared" si="0"/>
        <v>7.0770633834929303E-4</v>
      </c>
      <c r="Q32" s="382" t="str">
        <f t="array" ref="Q32">IFERROR(INDEX($D$13:$D$1000,MATCH(0,COUNTIF($Q$12:Q31,$D$13:$D$1000&amp;"")+IF($D$13:$D$1000="",1,0),0)),"")</f>
        <v/>
      </c>
      <c r="R32" s="356" t="str">
        <f t="shared" si="1"/>
        <v/>
      </c>
      <c r="S32" s="383" t="str">
        <f t="shared" si="3"/>
        <v/>
      </c>
      <c r="T32" s="384" t="str">
        <f t="shared" si="2"/>
        <v/>
      </c>
      <c r="U32" s="349"/>
      <c r="V32" s="385"/>
      <c r="W32" s="385"/>
      <c r="X32" s="386" t="s">
        <v>754</v>
      </c>
    </row>
    <row r="33" spans="1:24" ht="16.5" customHeight="1">
      <c r="A33" s="301"/>
      <c r="B33" s="370">
        <v>1</v>
      </c>
      <c r="C33" s="371">
        <v>21</v>
      </c>
      <c r="D33" s="372" t="str">
        <f>IFERROR(INDEX('[12]Equipment List'!$B$2:$B$2008,MATCH(E33,'[12]Equipment List'!$A$2:$A$2008,0)),"")</f>
        <v>Automatic Optical Inspection --- SMD</v>
      </c>
      <c r="E33" s="388" t="s">
        <v>755</v>
      </c>
      <c r="F33" s="374" t="s">
        <v>698</v>
      </c>
      <c r="G33" s="375" t="s">
        <v>699</v>
      </c>
      <c r="H33" s="376">
        <v>0</v>
      </c>
      <c r="I33" s="377" t="s">
        <v>756</v>
      </c>
      <c r="J33" s="378" t="s">
        <v>757</v>
      </c>
      <c r="K33" s="391">
        <v>99190</v>
      </c>
      <c r="L33" s="387">
        <v>4</v>
      </c>
      <c r="M33" s="380">
        <f t="array" ref="M33">IF(L33="","",(MAX(IF(AN$15:AN$144=B33,AO$15:AO$144))/60))</f>
        <v>7.6923076923076913E-2</v>
      </c>
      <c r="N33" s="387">
        <v>0</v>
      </c>
      <c r="O33" s="387"/>
      <c r="P33" s="381">
        <f t="shared" si="0"/>
        <v>5.5668034655722747E-3</v>
      </c>
      <c r="Q33" s="382" t="str">
        <f t="array" ref="Q33">IFERROR(INDEX($D$13:$D$1000,MATCH(0,COUNTIF($Q$12:Q32,$D$13:$D$1000&amp;"")+IF($D$13:$D$1000="",1,0),0)),"")</f>
        <v/>
      </c>
      <c r="R33" s="356" t="str">
        <f t="shared" si="1"/>
        <v/>
      </c>
      <c r="S33" s="383" t="str">
        <f t="shared" si="3"/>
        <v/>
      </c>
      <c r="T33" s="384" t="str">
        <f t="shared" si="2"/>
        <v/>
      </c>
      <c r="U33" s="349"/>
      <c r="V33" s="385"/>
      <c r="W33" s="385"/>
      <c r="X33" s="386" t="s">
        <v>758</v>
      </c>
    </row>
    <row r="34" spans="1:24" ht="16.5" customHeight="1">
      <c r="A34" s="301"/>
      <c r="B34" s="387">
        <v>1</v>
      </c>
      <c r="C34" s="371">
        <v>22</v>
      </c>
      <c r="D34" s="372" t="str">
        <f>IFERROR(INDEX('[12]Equipment List'!$B$2:$B$2008,MATCH(E34,'[12]Equipment List'!$A$2:$A$2008,0)),"")</f>
        <v>Transport reject</v>
      </c>
      <c r="E34" s="388" t="s">
        <v>759</v>
      </c>
      <c r="F34" s="374" t="s">
        <v>698</v>
      </c>
      <c r="G34" s="375" t="s">
        <v>699</v>
      </c>
      <c r="H34" s="376">
        <v>0</v>
      </c>
      <c r="I34" s="377" t="s">
        <v>729</v>
      </c>
      <c r="J34" s="378" t="s">
        <v>730</v>
      </c>
      <c r="K34" s="379">
        <v>8190</v>
      </c>
      <c r="L34" s="387">
        <v>0.5</v>
      </c>
      <c r="M34" s="380">
        <f t="array" ref="M34">IF(L34="","",(MAX(IF(AN$15:AN$144=B34,AO$15:AO$144))/60))</f>
        <v>7.6923076923076913E-2</v>
      </c>
      <c r="N34" s="387">
        <v>0</v>
      </c>
      <c r="O34" s="387" t="s">
        <v>1</v>
      </c>
      <c r="P34" s="381">
        <f t="shared" si="0"/>
        <v>4.5964432284541711E-4</v>
      </c>
      <c r="Q34" s="382" t="str">
        <f t="array" ref="Q34">IFERROR(INDEX($D$13:$D$1000,MATCH(0,COUNTIF($Q$12:Q33,$D$13:$D$1000&amp;"")+IF($D$13:$D$1000="",1,0),0)),"")</f>
        <v/>
      </c>
      <c r="R34" s="356" t="str">
        <f t="shared" si="1"/>
        <v/>
      </c>
      <c r="S34" s="383" t="str">
        <f t="shared" si="3"/>
        <v/>
      </c>
      <c r="T34" s="384" t="str">
        <f t="shared" si="2"/>
        <v/>
      </c>
      <c r="U34" s="349"/>
      <c r="V34" s="385"/>
      <c r="W34" s="385"/>
      <c r="X34" s="386" t="s">
        <v>760</v>
      </c>
    </row>
    <row r="35" spans="1:24" ht="16.5" customHeight="1">
      <c r="A35" s="301"/>
      <c r="B35" s="370">
        <v>1</v>
      </c>
      <c r="C35" s="371">
        <v>23</v>
      </c>
      <c r="D35" s="372" t="str">
        <f>IFERROR(INDEX('[12]Equipment List'!$B$2:$B$2008,MATCH(E35,'[12]Equipment List'!$A$2:$A$2008,0)),"")</f>
        <v>Transport Shuttle</v>
      </c>
      <c r="E35" s="388" t="s">
        <v>761</v>
      </c>
      <c r="F35" s="374" t="s">
        <v>698</v>
      </c>
      <c r="G35" s="375" t="s">
        <v>699</v>
      </c>
      <c r="H35" s="376">
        <v>0</v>
      </c>
      <c r="I35" s="377" t="s">
        <v>721</v>
      </c>
      <c r="J35" s="378" t="s">
        <v>722</v>
      </c>
      <c r="K35" s="379">
        <v>4858</v>
      </c>
      <c r="L35" s="387">
        <v>0.5</v>
      </c>
      <c r="M35" s="380">
        <f t="array" ref="M35">IF(L35="","",(MAX(IF(AN$15:AN$144=B35,AO$15:AO$144))/60))</f>
        <v>7.6923076923076913E-2</v>
      </c>
      <c r="N35" s="387">
        <v>0</v>
      </c>
      <c r="O35" s="387"/>
      <c r="P35" s="381">
        <f t="shared" si="0"/>
        <v>2.7264372654249531E-4</v>
      </c>
      <c r="Q35" s="382" t="str">
        <f t="array" ref="Q35">IFERROR(INDEX($D$13:$D$1000,MATCH(0,COUNTIF($Q$12:Q34,$D$13:$D$1000&amp;"")+IF($D$13:$D$1000="",1,0),0)),"")</f>
        <v/>
      </c>
      <c r="R35" s="356" t="str">
        <f t="shared" si="1"/>
        <v/>
      </c>
      <c r="S35" s="383" t="str">
        <f t="shared" si="3"/>
        <v/>
      </c>
      <c r="T35" s="384" t="str">
        <f t="shared" si="2"/>
        <v/>
      </c>
      <c r="U35" s="349"/>
      <c r="V35" s="385"/>
      <c r="W35" s="385"/>
      <c r="X35" s="386" t="s">
        <v>762</v>
      </c>
    </row>
    <row r="36" spans="1:24" ht="16.5" customHeight="1">
      <c r="A36" s="301"/>
      <c r="B36" s="387">
        <v>1</v>
      </c>
      <c r="C36" s="371">
        <v>24</v>
      </c>
      <c r="D36" s="372" t="str">
        <f>IFERROR(INDEX('[12]Equipment List'!$B$2:$B$2008,MATCH(E36,'[12]Equipment List'!$A$2:$A$2008,0)),"")</f>
        <v>Transport Flipper</v>
      </c>
      <c r="E36" s="388" t="s">
        <v>763</v>
      </c>
      <c r="F36" s="374" t="s">
        <v>698</v>
      </c>
      <c r="G36" s="375" t="s">
        <v>699</v>
      </c>
      <c r="H36" s="376">
        <v>0</v>
      </c>
      <c r="I36" s="377" t="s">
        <v>764</v>
      </c>
      <c r="J36" s="378" t="s">
        <v>765</v>
      </c>
      <c r="K36" s="379">
        <v>6695</v>
      </c>
      <c r="L36" s="387">
        <v>0.5</v>
      </c>
      <c r="M36" s="380">
        <f t="array" ref="M36">IF(L36="","",(MAX(IF(AN$15:AN$144=B36,AO$15:AO$144))/60))</f>
        <v>7.6923076923076913E-2</v>
      </c>
      <c r="N36" s="387">
        <v>0</v>
      </c>
      <c r="O36" s="387" t="s">
        <v>766</v>
      </c>
      <c r="P36" s="381">
        <f t="shared" si="0"/>
        <v>3.7574099407204739E-4</v>
      </c>
      <c r="Q36" s="382" t="str">
        <f t="array" ref="Q36">IFERROR(INDEX($D$13:$D$1000,MATCH(0,COUNTIF($Q$12:Q35,$D$13:$D$1000&amp;"")+IF($D$13:$D$1000="",1,0),0)),"")</f>
        <v/>
      </c>
      <c r="R36" s="356" t="str">
        <f t="shared" si="1"/>
        <v/>
      </c>
      <c r="S36" s="383" t="str">
        <f t="shared" si="3"/>
        <v/>
      </c>
      <c r="T36" s="384" t="str">
        <f t="shared" si="2"/>
        <v/>
      </c>
      <c r="U36" s="349"/>
      <c r="V36" s="385"/>
      <c r="W36" s="385"/>
      <c r="X36" s="386" t="s">
        <v>767</v>
      </c>
    </row>
    <row r="37" spans="1:24" ht="16.5" customHeight="1">
      <c r="A37" s="301"/>
      <c r="B37" s="370">
        <v>1</v>
      </c>
      <c r="C37" s="371">
        <v>25</v>
      </c>
      <c r="D37" s="372" t="str">
        <f>IFERROR(INDEX('[12]Equipment List'!$B$2:$B$2008,MATCH(E37,'[12]Equipment List'!$A$2:$A$2008,0)),"")</f>
        <v>Transport Loader/Unloader</v>
      </c>
      <c r="E37" s="388" t="s">
        <v>768</v>
      </c>
      <c r="F37" s="374" t="s">
        <v>698</v>
      </c>
      <c r="G37" s="375" t="s">
        <v>699</v>
      </c>
      <c r="H37" s="376">
        <v>0</v>
      </c>
      <c r="I37" s="377" t="s">
        <v>764</v>
      </c>
      <c r="J37" s="378" t="s">
        <v>701</v>
      </c>
      <c r="K37" s="379">
        <v>8190</v>
      </c>
      <c r="L37" s="387">
        <v>0.5</v>
      </c>
      <c r="M37" s="380">
        <f t="array" ref="M37">IF(L37="","",(MAX(IF(AN$15:AN$144=B37,AO$15:AO$144))/60))</f>
        <v>7.6923076923076913E-2</v>
      </c>
      <c r="N37" s="387">
        <v>0.5</v>
      </c>
      <c r="O37" s="387" t="s">
        <v>769</v>
      </c>
      <c r="P37" s="381">
        <f t="shared" si="0"/>
        <v>7.6240485460731689E-3</v>
      </c>
      <c r="Q37" s="382" t="str">
        <f t="array" ref="Q37">IFERROR(INDEX($D$13:$D$1000,MATCH(0,COUNTIF($Q$12:Q36,$D$13:$D$1000&amp;"")+IF($D$13:$D$1000="",1,0),0)),"")</f>
        <v/>
      </c>
      <c r="R37" s="356" t="str">
        <f t="shared" si="1"/>
        <v/>
      </c>
      <c r="S37" s="383" t="str">
        <f t="shared" si="3"/>
        <v/>
      </c>
      <c r="T37" s="384" t="str">
        <f t="shared" si="2"/>
        <v/>
      </c>
      <c r="U37" s="349"/>
      <c r="V37" s="385"/>
      <c r="W37" s="385"/>
      <c r="X37" s="386" t="s">
        <v>770</v>
      </c>
    </row>
    <row r="38" spans="1:24" ht="16.5" customHeight="1">
      <c r="A38" s="301"/>
      <c r="B38" s="387">
        <v>2</v>
      </c>
      <c r="C38" s="371">
        <v>26</v>
      </c>
      <c r="D38" s="372" t="str">
        <f>IFERROR(INDEX('[12]Equipment List'!$B$2:$B$2008,MATCH(E38,'[12]Equipment List'!$A$2:$A$2008,0)),"")</f>
        <v>Transport Loader/Unloader</v>
      </c>
      <c r="E38" s="388" t="s">
        <v>771</v>
      </c>
      <c r="F38" s="374" t="s">
        <v>708</v>
      </c>
      <c r="G38" s="375" t="s">
        <v>699</v>
      </c>
      <c r="H38" s="376">
        <v>0</v>
      </c>
      <c r="I38" s="377" t="s">
        <v>700</v>
      </c>
      <c r="J38" s="378" t="s">
        <v>701</v>
      </c>
      <c r="K38" s="379">
        <v>8190</v>
      </c>
      <c r="L38" s="387">
        <v>0.5</v>
      </c>
      <c r="M38" s="380">
        <f t="array" ref="M38">IF(L38="","",(MAX(IF(AN$15:AN$144=B38,AO$15:AO$144))/60))</f>
        <v>0</v>
      </c>
      <c r="N38" s="387">
        <v>0.3</v>
      </c>
      <c r="O38" s="387" t="s">
        <v>772</v>
      </c>
      <c r="P38" s="381">
        <f t="shared" si="0"/>
        <v>0</v>
      </c>
      <c r="Q38" s="382" t="str">
        <f t="array" ref="Q38">IFERROR(INDEX($D$13:$D$1000,MATCH(0,COUNTIF($Q$12:Q37,$D$13:$D$1000&amp;"")+IF($D$13:$D$1000="",1,0),0)),"")</f>
        <v/>
      </c>
      <c r="R38" s="356" t="str">
        <f t="shared" si="1"/>
        <v/>
      </c>
      <c r="S38" s="383" t="str">
        <f t="shared" si="3"/>
        <v/>
      </c>
      <c r="T38" s="384" t="str">
        <f t="shared" si="2"/>
        <v/>
      </c>
      <c r="U38" s="349"/>
      <c r="V38" s="385"/>
      <c r="W38" s="385"/>
      <c r="X38" s="386" t="s">
        <v>773</v>
      </c>
    </row>
    <row r="39" spans="1:24" ht="16.5" customHeight="1">
      <c r="A39" s="301"/>
      <c r="B39" s="370">
        <v>2</v>
      </c>
      <c r="C39" s="371">
        <v>27</v>
      </c>
      <c r="D39" s="372" t="str">
        <f>IFERROR(INDEX('[12]Equipment List'!$B$2:$B$2008,MATCH(E39,'[12]Equipment List'!$A$2:$A$2008,0)),"")</f>
        <v>Transport Destacker</v>
      </c>
      <c r="E39" s="388" t="s">
        <v>774</v>
      </c>
      <c r="F39" s="374" t="s">
        <v>708</v>
      </c>
      <c r="G39" s="375" t="s">
        <v>699</v>
      </c>
      <c r="H39" s="376">
        <v>0</v>
      </c>
      <c r="I39" s="377" t="s">
        <v>700</v>
      </c>
      <c r="J39" s="378" t="s">
        <v>704</v>
      </c>
      <c r="K39" s="379">
        <v>6500</v>
      </c>
      <c r="L39" s="387">
        <v>0.5</v>
      </c>
      <c r="M39" s="380">
        <f t="array" ref="M39">IF(L39="","",(MAX(IF(AN$15:AN$144=B39,AO$15:AO$144))/60))</f>
        <v>0</v>
      </c>
      <c r="N39" s="387">
        <v>0</v>
      </c>
      <c r="O39" s="387" t="s">
        <v>775</v>
      </c>
      <c r="P39" s="381">
        <f t="shared" si="0"/>
        <v>0</v>
      </c>
      <c r="Q39" s="382" t="str">
        <f t="array" ref="Q39">IFERROR(INDEX($D$13:$D$1000,MATCH(0,COUNTIF($Q$12:Q38,$D$13:$D$1000&amp;"")+IF($D$13:$D$1000="",1,0),0)),"")</f>
        <v/>
      </c>
      <c r="R39" s="356" t="str">
        <f t="shared" si="1"/>
        <v/>
      </c>
      <c r="S39" s="383" t="str">
        <f t="shared" si="3"/>
        <v/>
      </c>
      <c r="T39" s="384" t="str">
        <f t="shared" si="2"/>
        <v/>
      </c>
      <c r="U39" s="349"/>
      <c r="V39" s="385"/>
      <c r="W39" s="385"/>
      <c r="X39" s="386" t="s">
        <v>776</v>
      </c>
    </row>
    <row r="40" spans="1:24" ht="16.5" customHeight="1">
      <c r="A40" s="301"/>
      <c r="B40" s="387">
        <v>2</v>
      </c>
      <c r="C40" s="371">
        <v>28</v>
      </c>
      <c r="D40" s="372" t="str">
        <f>IFERROR(INDEX('[12]Equipment List'!$B$2:$B$2008,MATCH(E40,'[12]Equipment List'!$A$2:$A$2008,0)),"")</f>
        <v>Transport Conveyor</v>
      </c>
      <c r="E40" s="388" t="s">
        <v>777</v>
      </c>
      <c r="F40" s="374" t="s">
        <v>708</v>
      </c>
      <c r="G40" s="375" t="s">
        <v>699</v>
      </c>
      <c r="H40" s="376">
        <v>0</v>
      </c>
      <c r="I40" s="377" t="s">
        <v>700</v>
      </c>
      <c r="J40" s="378" t="s">
        <v>707</v>
      </c>
      <c r="K40" s="379">
        <v>3818</v>
      </c>
      <c r="L40" s="387">
        <v>0.5</v>
      </c>
      <c r="M40" s="380">
        <f t="array" ref="M40">IF(L40="","",(MAX(IF(AN$15:AN$144=B40,AO$15:AO$144))/60))</f>
        <v>0</v>
      </c>
      <c r="N40" s="387">
        <v>0</v>
      </c>
      <c r="O40" s="387"/>
      <c r="P40" s="381">
        <f t="shared" si="0"/>
        <v>0</v>
      </c>
      <c r="Q40" s="382" t="str">
        <f t="array" ref="Q40">IFERROR(INDEX($D$13:$D$1000,MATCH(0,COUNTIF($Q$12:Q39,$D$13:$D$1000&amp;"")+IF($D$13:$D$1000="",1,0),0)),"")</f>
        <v/>
      </c>
      <c r="R40" s="356" t="str">
        <f t="shared" si="1"/>
        <v/>
      </c>
      <c r="S40" s="383" t="str">
        <f t="shared" si="3"/>
        <v/>
      </c>
      <c r="T40" s="384" t="str">
        <f t="shared" si="2"/>
        <v/>
      </c>
      <c r="U40" s="349"/>
      <c r="V40" s="385"/>
      <c r="W40" s="385"/>
      <c r="X40" s="386"/>
    </row>
    <row r="41" spans="1:24" ht="16.5" customHeight="1">
      <c r="A41" s="301"/>
      <c r="B41" s="370">
        <v>2</v>
      </c>
      <c r="C41" s="371">
        <v>29</v>
      </c>
      <c r="D41" s="372" t="str">
        <f>IFERROR(INDEX('[12]Equipment List'!$B$2:$B$2008,MATCH(E41,'[12]Equipment List'!$A$2:$A$2008,0)),"")</f>
        <v>Labeling</v>
      </c>
      <c r="E41" s="388" t="s">
        <v>778</v>
      </c>
      <c r="F41" s="374" t="s">
        <v>702</v>
      </c>
      <c r="G41" s="375" t="s">
        <v>699</v>
      </c>
      <c r="H41" s="376">
        <v>0</v>
      </c>
      <c r="I41" s="377" t="s">
        <v>710</v>
      </c>
      <c r="J41" s="378" t="s">
        <v>711</v>
      </c>
      <c r="K41" s="379">
        <v>76181</v>
      </c>
      <c r="L41" s="387">
        <v>2</v>
      </c>
      <c r="M41" s="380">
        <f t="array" ref="M41">IF(L41="","",(MAX(IF(AN$15:AN$144=B41,AO$15:AO$144))/60))</f>
        <v>0</v>
      </c>
      <c r="N41" s="387">
        <v>0</v>
      </c>
      <c r="O41" s="387" t="s">
        <v>1</v>
      </c>
      <c r="P41" s="381">
        <f t="shared" si="0"/>
        <v>0</v>
      </c>
      <c r="Q41" s="382" t="str">
        <f t="array" ref="Q41">IFERROR(INDEX($D$13:$D$1000,MATCH(0,COUNTIF($Q$12:Q40,$D$13:$D$1000&amp;"")+IF($D$13:$D$1000="",1,0),0)),"")</f>
        <v/>
      </c>
      <c r="R41" s="356" t="str">
        <f t="shared" si="1"/>
        <v/>
      </c>
      <c r="S41" s="383" t="str">
        <f t="shared" si="3"/>
        <v/>
      </c>
      <c r="T41" s="384" t="str">
        <f t="shared" si="2"/>
        <v/>
      </c>
      <c r="U41" s="349"/>
      <c r="V41" s="385"/>
      <c r="W41" s="385"/>
      <c r="X41" s="386"/>
    </row>
    <row r="42" spans="1:24" ht="16.5" customHeight="1">
      <c r="A42" s="301"/>
      <c r="B42" s="387">
        <v>2</v>
      </c>
      <c r="C42" s="371">
        <v>30</v>
      </c>
      <c r="D42" s="372" t="str">
        <f>IFERROR(INDEX('[12]Equipment List'!$B$2:$B$2008,MATCH(E42,'[12]Equipment List'!$A$2:$A$2008,0)),"")</f>
        <v>Transport Conveyor</v>
      </c>
      <c r="E42" s="388" t="s">
        <v>779</v>
      </c>
      <c r="F42" s="374" t="s">
        <v>708</v>
      </c>
      <c r="G42" s="375" t="s">
        <v>699</v>
      </c>
      <c r="H42" s="376">
        <v>0</v>
      </c>
      <c r="I42" s="377" t="s">
        <v>700</v>
      </c>
      <c r="J42" s="378" t="s">
        <v>707</v>
      </c>
      <c r="K42" s="379">
        <v>3818</v>
      </c>
      <c r="L42" s="387">
        <v>0.5</v>
      </c>
      <c r="M42" s="380">
        <f t="array" ref="M42">IF(L42="","",(MAX(IF(AN$15:AN$144=B42,AO$15:AO$144))/60))</f>
        <v>0</v>
      </c>
      <c r="N42" s="387">
        <v>0</v>
      </c>
      <c r="O42" s="387"/>
      <c r="P42" s="381">
        <f t="shared" si="0"/>
        <v>0</v>
      </c>
      <c r="Q42" s="382" t="str">
        <f t="array" ref="Q42">IFERROR(INDEX($D$13:$D$1000,MATCH(0,COUNTIF($Q$12:Q41,$D$13:$D$1000&amp;"")+IF($D$13:$D$1000="",1,0),0)),"")</f>
        <v/>
      </c>
      <c r="R42" s="356" t="str">
        <f t="shared" si="1"/>
        <v/>
      </c>
      <c r="S42" s="383" t="str">
        <f t="shared" si="3"/>
        <v/>
      </c>
      <c r="T42" s="384" t="str">
        <f t="shared" si="2"/>
        <v/>
      </c>
      <c r="U42" s="349"/>
      <c r="V42" s="385"/>
      <c r="W42" s="385"/>
      <c r="X42" s="386"/>
    </row>
    <row r="43" spans="1:24" ht="16.5" customHeight="1">
      <c r="A43" s="301"/>
      <c r="B43" s="392">
        <v>2</v>
      </c>
      <c r="C43" s="371">
        <v>31</v>
      </c>
      <c r="D43" s="372" t="str">
        <f>IFERROR(INDEX('[12]Equipment List'!$B$2:$B$2008,MATCH(E43,'[12]Equipment List'!$A$2:$A$2008,0)),"")</f>
        <v>Solder Paste Printing</v>
      </c>
      <c r="E43" s="388" t="s">
        <v>780</v>
      </c>
      <c r="F43" s="374" t="s">
        <v>708</v>
      </c>
      <c r="G43" s="375" t="s">
        <v>699</v>
      </c>
      <c r="H43" s="376">
        <v>0</v>
      </c>
      <c r="I43" s="377" t="s">
        <v>289</v>
      </c>
      <c r="J43" s="378" t="s">
        <v>716</v>
      </c>
      <c r="K43" s="379">
        <v>110000</v>
      </c>
      <c r="L43" s="387">
        <v>4</v>
      </c>
      <c r="M43" s="380">
        <f t="array" ref="M43">IF(L43="","",(MAX(IF(AN$15:AN$144=B43,AO$15:AO$144))/60))</f>
        <v>0</v>
      </c>
      <c r="N43" s="387">
        <v>0.5</v>
      </c>
      <c r="O43" s="387"/>
      <c r="P43" s="381">
        <f t="shared" si="0"/>
        <v>0</v>
      </c>
      <c r="Q43" s="382" t="str">
        <f t="array" ref="Q43">IFERROR(INDEX($D$13:$D$1000,MATCH(0,COUNTIF($Q$12:Q42,$D$13:$D$1000&amp;"")+IF($D$13:$D$1000="",1,0),0)),"")</f>
        <v/>
      </c>
      <c r="R43" s="356" t="str">
        <f t="shared" si="1"/>
        <v/>
      </c>
      <c r="S43" s="383" t="str">
        <f t="shared" si="3"/>
        <v/>
      </c>
      <c r="T43" s="384" t="str">
        <f t="shared" si="2"/>
        <v/>
      </c>
      <c r="U43" s="349"/>
      <c r="V43" s="385"/>
      <c r="W43" s="385"/>
      <c r="X43" s="386"/>
    </row>
    <row r="44" spans="1:24" ht="16.5" customHeight="1">
      <c r="A44" s="301"/>
      <c r="B44" s="387">
        <v>2</v>
      </c>
      <c r="C44" s="371">
        <v>32</v>
      </c>
      <c r="D44" s="372" t="str">
        <f>IFERROR(INDEX('[12]Equipment List'!$B$2:$B$2008,MATCH(E44,'[12]Equipment List'!$A$2:$A$2008,0)),"")</f>
        <v>Transport Conveyor</v>
      </c>
      <c r="E44" s="388" t="s">
        <v>781</v>
      </c>
      <c r="F44" s="374" t="s">
        <v>708</v>
      </c>
      <c r="G44" s="375" t="s">
        <v>699</v>
      </c>
      <c r="H44" s="376">
        <v>0</v>
      </c>
      <c r="I44" s="377" t="s">
        <v>700</v>
      </c>
      <c r="J44" s="378" t="s">
        <v>707</v>
      </c>
      <c r="K44" s="379">
        <v>3818</v>
      </c>
      <c r="L44" s="387">
        <v>0.5</v>
      </c>
      <c r="M44" s="380">
        <f t="array" ref="M44">IF(L44="","",(MAX(IF(AN$15:AN$144=B44,AO$15:AO$144))/60))</f>
        <v>0</v>
      </c>
      <c r="N44" s="387">
        <v>0</v>
      </c>
      <c r="O44" s="387"/>
      <c r="P44" s="381">
        <f t="shared" si="0"/>
        <v>0</v>
      </c>
      <c r="Q44" s="382" t="str">
        <f t="array" ref="Q44">IFERROR(INDEX($D$13:$D$1000,MATCH(0,COUNTIF($Q$12:Q43,$D$13:$D$1000&amp;"")+IF($D$13:$D$1000="",1,0),0)),"")</f>
        <v/>
      </c>
      <c r="R44" s="356" t="str">
        <f t="shared" si="1"/>
        <v/>
      </c>
      <c r="S44" s="383" t="str">
        <f t="shared" si="3"/>
        <v/>
      </c>
      <c r="T44" s="384" t="str">
        <f t="shared" si="2"/>
        <v/>
      </c>
      <c r="U44" s="349"/>
      <c r="V44" s="385"/>
      <c r="W44" s="385"/>
      <c r="X44" s="386"/>
    </row>
    <row r="45" spans="1:24" ht="16.5" customHeight="1">
      <c r="A45" s="301"/>
      <c r="B45" s="392">
        <v>2</v>
      </c>
      <c r="C45" s="371">
        <v>33</v>
      </c>
      <c r="D45" s="372" t="str">
        <f>IFERROR(INDEX('[12]Equipment List'!$B$2:$B$2008,MATCH(E45,'[12]Equipment List'!$A$2:$A$2008,0)),"")</f>
        <v>Transport Shuttle</v>
      </c>
      <c r="E45" s="388" t="s">
        <v>782</v>
      </c>
      <c r="F45" s="374" t="s">
        <v>708</v>
      </c>
      <c r="G45" s="375" t="s">
        <v>699</v>
      </c>
      <c r="H45" s="376">
        <v>0</v>
      </c>
      <c r="I45" s="377" t="s">
        <v>721</v>
      </c>
      <c r="J45" s="378" t="s">
        <v>722</v>
      </c>
      <c r="K45" s="379">
        <v>4858</v>
      </c>
      <c r="L45" s="387">
        <v>0.5</v>
      </c>
      <c r="M45" s="380">
        <f t="array" ref="M45">IF(L45="","",(MAX(IF(AN$15:AN$144=B45,AO$15:AO$144))/60))</f>
        <v>0</v>
      </c>
      <c r="N45" s="387">
        <v>0</v>
      </c>
      <c r="O45" s="387"/>
      <c r="P45" s="381">
        <f t="shared" si="0"/>
        <v>0</v>
      </c>
      <c r="Q45" s="382" t="str">
        <f t="array" ref="Q45">IFERROR(INDEX($D$13:$D$1000,MATCH(0,COUNTIF($Q$12:Q44,$D$13:$D$1000&amp;"")+IF($D$13:$D$1000="",1,0),0)),"")</f>
        <v/>
      </c>
      <c r="R45" s="356" t="str">
        <f t="shared" si="1"/>
        <v/>
      </c>
      <c r="S45" s="383" t="str">
        <f t="shared" si="3"/>
        <v/>
      </c>
      <c r="T45" s="384" t="str">
        <f t="shared" si="2"/>
        <v/>
      </c>
      <c r="U45" s="349"/>
      <c r="V45" s="385"/>
      <c r="W45" s="385"/>
      <c r="X45" s="386"/>
    </row>
    <row r="46" spans="1:24" ht="16.5" customHeight="1">
      <c r="A46" s="301"/>
      <c r="B46" s="387">
        <v>2</v>
      </c>
      <c r="C46" s="371">
        <v>34</v>
      </c>
      <c r="D46" s="372" t="str">
        <f>IFERROR(INDEX('[12]Equipment List'!$B$2:$B$2008,MATCH(E46,'[12]Equipment List'!$A$2:$A$2008,0)),"")</f>
        <v>Automatic Solder Paste Inspection</v>
      </c>
      <c r="E46" s="388" t="s">
        <v>783</v>
      </c>
      <c r="F46" s="374" t="s">
        <v>708</v>
      </c>
      <c r="G46" s="375" t="s">
        <v>699</v>
      </c>
      <c r="H46" s="376">
        <v>0</v>
      </c>
      <c r="I46" s="377" t="s">
        <v>725</v>
      </c>
      <c r="J46" s="378" t="s">
        <v>726</v>
      </c>
      <c r="K46" s="379">
        <v>99190</v>
      </c>
      <c r="L46" s="387">
        <v>4</v>
      </c>
      <c r="M46" s="380">
        <f t="array" ref="M46">IF(L46="","",(MAX(IF(AN$15:AN$144=B46,AO$15:AO$144))/60))</f>
        <v>0</v>
      </c>
      <c r="N46" s="387">
        <v>0</v>
      </c>
      <c r="O46" s="387" t="s">
        <v>727</v>
      </c>
      <c r="P46" s="381">
        <f t="shared" si="0"/>
        <v>0</v>
      </c>
      <c r="Q46" s="382" t="str">
        <f t="array" ref="Q46">IFERROR(INDEX($D$13:$D$1000,MATCH(0,COUNTIF($Q$12:Q45,$D$13:$D$1000&amp;"")+IF($D$13:$D$1000="",1,0),0)),"")</f>
        <v/>
      </c>
      <c r="R46" s="356" t="str">
        <f t="shared" si="1"/>
        <v/>
      </c>
      <c r="S46" s="383" t="str">
        <f t="shared" si="3"/>
        <v/>
      </c>
      <c r="T46" s="384" t="str">
        <f t="shared" si="2"/>
        <v/>
      </c>
      <c r="U46" s="349"/>
      <c r="V46" s="385"/>
      <c r="W46" s="385"/>
      <c r="X46" s="386"/>
    </row>
    <row r="47" spans="1:24" ht="16.5" customHeight="1">
      <c r="A47" s="301"/>
      <c r="B47" s="392">
        <v>2</v>
      </c>
      <c r="C47" s="371">
        <v>35</v>
      </c>
      <c r="D47" s="372" t="str">
        <f>IFERROR(INDEX('[12]Equipment List'!$B$2:$B$2008,MATCH(E47,'[12]Equipment List'!$A$2:$A$2008,0)),"")</f>
        <v>Transport reject</v>
      </c>
      <c r="E47" s="388" t="s">
        <v>784</v>
      </c>
      <c r="F47" s="374" t="s">
        <v>708</v>
      </c>
      <c r="G47" s="375" t="s">
        <v>699</v>
      </c>
      <c r="H47" s="376">
        <v>0</v>
      </c>
      <c r="I47" s="377" t="s">
        <v>729</v>
      </c>
      <c r="J47" s="378" t="s">
        <v>730</v>
      </c>
      <c r="K47" s="379">
        <v>8190</v>
      </c>
      <c r="L47" s="387">
        <v>0.5</v>
      </c>
      <c r="M47" s="380">
        <f t="array" ref="M47">IF(L47="","",(MAX(IF(AN$15:AN$144=B47,AO$15:AO$144))/60))</f>
        <v>0</v>
      </c>
      <c r="N47" s="387">
        <v>0</v>
      </c>
      <c r="O47" s="387"/>
      <c r="P47" s="381">
        <f t="shared" si="0"/>
        <v>0</v>
      </c>
      <c r="Q47" s="382" t="str">
        <f t="array" ref="Q47">IFERROR(INDEX($D$13:$D$1000,MATCH(0,COUNTIF($Q$12:Q46,$D$13:$D$1000&amp;"")+IF($D$13:$D$1000="",1,0),0)),"")</f>
        <v/>
      </c>
      <c r="R47" s="356" t="str">
        <f t="shared" si="1"/>
        <v/>
      </c>
      <c r="S47" s="383" t="str">
        <f t="shared" si="3"/>
        <v/>
      </c>
      <c r="T47" s="384" t="str">
        <f t="shared" si="2"/>
        <v/>
      </c>
      <c r="U47" s="349"/>
      <c r="V47" s="385"/>
      <c r="W47" s="385"/>
      <c r="X47" s="386"/>
    </row>
    <row r="48" spans="1:24" ht="18" customHeight="1">
      <c r="A48" s="301"/>
      <c r="B48" s="392">
        <v>2</v>
      </c>
      <c r="C48" s="371">
        <v>36</v>
      </c>
      <c r="D48" s="372" t="str">
        <f>IFERROR(INDEX('[12]Equipment List'!$B$2:$B$2008,MATCH(E48,'[12]Equipment List'!$A$2:$A$2008,0)),"")</f>
        <v>Automatic Placement --- SMT</v>
      </c>
      <c r="E48" s="388" t="s">
        <v>785</v>
      </c>
      <c r="F48" s="374" t="s">
        <v>708</v>
      </c>
      <c r="G48" s="375" t="s">
        <v>699</v>
      </c>
      <c r="H48" s="376">
        <v>0</v>
      </c>
      <c r="I48" s="377" t="s">
        <v>289</v>
      </c>
      <c r="J48" s="393" t="s">
        <v>733</v>
      </c>
      <c r="K48" s="379">
        <v>202834</v>
      </c>
      <c r="L48" s="389">
        <v>7.0129870129870122</v>
      </c>
      <c r="M48" s="380">
        <f t="array" ref="M48">IF(L48="","",(MAX(IF(AN$15:AN$144=B48,AO$15:AO$144))/60))</f>
        <v>0</v>
      </c>
      <c r="N48" s="387">
        <v>3</v>
      </c>
      <c r="O48" s="387"/>
      <c r="P48" s="381">
        <f t="shared" si="0"/>
        <v>0</v>
      </c>
      <c r="Q48" s="382" t="str">
        <f t="array" ref="Q48">IFERROR(INDEX($D$13:$D$1000,MATCH(0,COUNTIF($Q$12:Q47,$D$13:$D$1000&amp;"")+IF($D$13:$D$1000="",1,0),0)),"")</f>
        <v/>
      </c>
      <c r="R48" s="356" t="str">
        <f t="shared" si="1"/>
        <v/>
      </c>
      <c r="S48" s="383" t="str">
        <f t="shared" si="3"/>
        <v/>
      </c>
      <c r="T48" s="384" t="str">
        <f t="shared" si="2"/>
        <v/>
      </c>
      <c r="U48" s="349"/>
      <c r="V48" s="385"/>
      <c r="W48" s="385"/>
      <c r="X48" s="386"/>
    </row>
    <row r="49" spans="1:24" ht="16.5" customHeight="1">
      <c r="A49" s="301"/>
      <c r="B49" s="392">
        <v>2</v>
      </c>
      <c r="C49" s="371">
        <v>37</v>
      </c>
      <c r="D49" s="372" t="str">
        <f>IFERROR(INDEX('[12]Equipment List'!$B$2:$B$2008,MATCH(E49,'[12]Equipment List'!$A$2:$A$2008,0)),"")</f>
        <v>Automatic Placement --- SMT</v>
      </c>
      <c r="E49" s="388" t="s">
        <v>786</v>
      </c>
      <c r="F49" s="374" t="s">
        <v>708</v>
      </c>
      <c r="G49" s="375" t="s">
        <v>699</v>
      </c>
      <c r="H49" s="376">
        <v>0</v>
      </c>
      <c r="I49" s="377" t="s">
        <v>289</v>
      </c>
      <c r="J49" s="393" t="s">
        <v>733</v>
      </c>
      <c r="K49" s="379">
        <v>202834</v>
      </c>
      <c r="L49" s="389">
        <v>7.0129870129870122</v>
      </c>
      <c r="M49" s="380">
        <f t="array" ref="M49">IF(L49="","",(MAX(IF(AN$15:AN$144=B49,AO$15:AO$144))/60))</f>
        <v>0</v>
      </c>
      <c r="N49" s="387">
        <v>0</v>
      </c>
      <c r="O49" s="387"/>
      <c r="P49" s="381">
        <f t="shared" si="0"/>
        <v>0</v>
      </c>
      <c r="Q49" s="382" t="str">
        <f t="array" ref="Q49">IFERROR(INDEX($D$13:$D$1000,MATCH(0,COUNTIF($Q$12:Q48,$D$13:$D$1000&amp;"")+IF($D$13:$D$1000="",1,0),0)),"")</f>
        <v/>
      </c>
      <c r="R49" s="356" t="str">
        <f t="shared" si="1"/>
        <v/>
      </c>
      <c r="S49" s="383" t="str">
        <f t="shared" si="3"/>
        <v/>
      </c>
      <c r="T49" s="384" t="str">
        <f t="shared" si="2"/>
        <v/>
      </c>
      <c r="U49" s="349"/>
      <c r="V49" s="385"/>
      <c r="W49" s="385"/>
      <c r="X49" s="386"/>
    </row>
    <row r="50" spans="1:24" ht="16.5" customHeight="1">
      <c r="A50" s="301"/>
      <c r="B50" s="392">
        <v>2</v>
      </c>
      <c r="C50" s="371">
        <v>38</v>
      </c>
      <c r="D50" s="372" t="str">
        <f>IFERROR(INDEX('[12]Equipment List'!$B$2:$B$2008,MATCH(E50,'[12]Equipment List'!$A$2:$A$2008,0)),"")</f>
        <v>Automatic Placement --- SMT</v>
      </c>
      <c r="E50" s="388" t="s">
        <v>787</v>
      </c>
      <c r="F50" s="374" t="s">
        <v>708</v>
      </c>
      <c r="G50" s="375" t="s">
        <v>699</v>
      </c>
      <c r="H50" s="376">
        <v>0</v>
      </c>
      <c r="I50" s="377" t="s">
        <v>289</v>
      </c>
      <c r="J50" s="393" t="s">
        <v>736</v>
      </c>
      <c r="K50" s="379">
        <v>202834</v>
      </c>
      <c r="L50" s="389">
        <v>7.3333333333333321</v>
      </c>
      <c r="M50" s="380">
        <f t="array" ref="M50">IF(L50="","",(MAX(IF(AN$15:AN$144=B50,AO$15:AO$144))/60))</f>
        <v>0</v>
      </c>
      <c r="N50" s="387">
        <v>0</v>
      </c>
      <c r="O50" s="387"/>
      <c r="P50" s="381">
        <f t="shared" si="0"/>
        <v>0</v>
      </c>
      <c r="Q50" s="382" t="str">
        <f t="array" ref="Q50">IFERROR(INDEX($D$13:$D$1000,MATCH(0,COUNTIF($Q$12:Q49,$D$13:$D$1000&amp;"")+IF($D$13:$D$1000="",1,0),0)),"")</f>
        <v/>
      </c>
      <c r="R50" s="356" t="str">
        <f t="shared" si="1"/>
        <v/>
      </c>
      <c r="S50" s="383" t="str">
        <f t="shared" si="3"/>
        <v/>
      </c>
      <c r="T50" s="384" t="str">
        <f t="shared" si="2"/>
        <v/>
      </c>
      <c r="U50" s="349"/>
      <c r="V50" s="385"/>
      <c r="W50" s="385"/>
      <c r="X50" s="386"/>
    </row>
    <row r="51" spans="1:24" ht="16.5" customHeight="1">
      <c r="A51" s="301"/>
      <c r="B51" s="392">
        <v>2</v>
      </c>
      <c r="C51" s="371">
        <v>39</v>
      </c>
      <c r="D51" s="372" t="str">
        <f>IFERROR(INDEX('[12]Equipment List'!$B$2:$B$2008,MATCH(E51,'[12]Equipment List'!$A$2:$A$2008,0)),"")</f>
        <v>Automatic Placement --- SMT</v>
      </c>
      <c r="E51" s="388" t="s">
        <v>788</v>
      </c>
      <c r="F51" s="374" t="s">
        <v>708</v>
      </c>
      <c r="G51" s="375" t="s">
        <v>699</v>
      </c>
      <c r="H51" s="376">
        <v>0</v>
      </c>
      <c r="I51" s="377" t="s">
        <v>289</v>
      </c>
      <c r="J51" s="378" t="s">
        <v>738</v>
      </c>
      <c r="K51" s="379">
        <v>202834</v>
      </c>
      <c r="L51" s="389">
        <v>7.3846153846153841</v>
      </c>
      <c r="M51" s="380">
        <f t="array" ref="M51">IF(L51="","",(MAX(IF(AN$15:AN$144=B51,AO$15:AO$144))/60))</f>
        <v>0</v>
      </c>
      <c r="N51" s="387">
        <v>0</v>
      </c>
      <c r="O51" s="387"/>
      <c r="P51" s="381">
        <f t="shared" si="0"/>
        <v>0</v>
      </c>
      <c r="Q51" s="382" t="str">
        <f t="array" ref="Q51">IFERROR(INDEX($D$13:$D$1000,MATCH(0,COUNTIF($Q$12:Q50,$D$13:$D$1000&amp;"")+IF($D$13:$D$1000="",1,0),0)),"")</f>
        <v/>
      </c>
      <c r="R51" s="356" t="str">
        <f t="shared" si="1"/>
        <v/>
      </c>
      <c r="S51" s="383" t="str">
        <f t="shared" si="3"/>
        <v/>
      </c>
      <c r="T51" s="384" t="str">
        <f t="shared" si="2"/>
        <v/>
      </c>
      <c r="U51" s="349"/>
      <c r="V51" s="385"/>
      <c r="W51" s="385"/>
      <c r="X51" s="386"/>
    </row>
    <row r="52" spans="1:24" ht="16" customHeight="1">
      <c r="A52" s="301"/>
      <c r="B52" s="392">
        <v>2</v>
      </c>
      <c r="C52" s="371">
        <v>40</v>
      </c>
      <c r="D52" s="372" t="str">
        <f>IFERROR(INDEX('[12]Equipment List'!$B$2:$B$2008,MATCH(E52,'[12]Equipment List'!$A$2:$A$2008,0)),"")</f>
        <v>Transport Conveyor</v>
      </c>
      <c r="E52" s="388" t="s">
        <v>789</v>
      </c>
      <c r="F52" s="374" t="s">
        <v>708</v>
      </c>
      <c r="G52" s="375" t="s">
        <v>699</v>
      </c>
      <c r="H52" s="376">
        <v>0</v>
      </c>
      <c r="I52" s="377" t="s">
        <v>729</v>
      </c>
      <c r="J52" s="378" t="s">
        <v>740</v>
      </c>
      <c r="K52" s="379">
        <v>4094</v>
      </c>
      <c r="L52" s="387">
        <v>0.5</v>
      </c>
      <c r="M52" s="380">
        <f t="array" ref="M52">IF(L52="","",(MAX(IF(AN$15:AN$144=B52,AO$15:AO$144))/60))</f>
        <v>0</v>
      </c>
      <c r="N52" s="387">
        <v>0</v>
      </c>
      <c r="O52" s="387" t="s">
        <v>1</v>
      </c>
      <c r="P52" s="381">
        <f t="shared" si="0"/>
        <v>0</v>
      </c>
      <c r="Q52" s="382" t="str">
        <f t="array" ref="Q52">IFERROR(INDEX($D$13:$D$1000,MATCH(0,COUNTIF($Q$12:Q51,$D$13:$D$1000&amp;"")+IF($D$13:$D$1000="",1,0),0)),"")</f>
        <v/>
      </c>
      <c r="R52" s="356" t="str">
        <f t="shared" si="1"/>
        <v/>
      </c>
      <c r="S52" s="383" t="str">
        <f t="shared" si="3"/>
        <v/>
      </c>
      <c r="T52" s="384" t="str">
        <f t="shared" si="2"/>
        <v/>
      </c>
      <c r="U52" s="349"/>
      <c r="V52" s="385"/>
      <c r="W52" s="385"/>
      <c r="X52" s="386"/>
    </row>
    <row r="53" spans="1:24" ht="16.5" customHeight="1">
      <c r="A53" s="301"/>
      <c r="B53" s="392">
        <v>2</v>
      </c>
      <c r="C53" s="371">
        <v>41</v>
      </c>
      <c r="D53" s="372" t="str">
        <f>IFERROR(INDEX('[12]Equipment List'!$B$2:$B$2008,MATCH(E53,'[12]Equipment List'!$A$2:$A$2008,0)),"")</f>
        <v>Transport Shuttle</v>
      </c>
      <c r="E53" s="388" t="s">
        <v>790</v>
      </c>
      <c r="F53" s="374" t="s">
        <v>708</v>
      </c>
      <c r="G53" s="375" t="s">
        <v>699</v>
      </c>
      <c r="H53" s="376">
        <v>0</v>
      </c>
      <c r="I53" s="377" t="s">
        <v>721</v>
      </c>
      <c r="J53" s="378" t="s">
        <v>722</v>
      </c>
      <c r="K53" s="379">
        <v>4858</v>
      </c>
      <c r="L53" s="387">
        <v>0.5</v>
      </c>
      <c r="M53" s="380">
        <f t="array" ref="M53">IF(L53="","",(MAX(IF(AN$15:AN$144=B53,AO$15:AO$144))/60))</f>
        <v>0</v>
      </c>
      <c r="N53" s="387">
        <v>0</v>
      </c>
      <c r="O53" s="387"/>
      <c r="P53" s="381">
        <f t="shared" si="0"/>
        <v>0</v>
      </c>
      <c r="Q53" s="382" t="str">
        <f t="array" ref="Q53">IFERROR(INDEX($D$13:$D$1000,MATCH(0,COUNTIF($Q$12:Q52,$D$13:$D$1000&amp;"")+IF($D$13:$D$1000="",1,0),0)),"")</f>
        <v/>
      </c>
      <c r="R53" s="356" t="str">
        <f t="shared" si="1"/>
        <v/>
      </c>
      <c r="S53" s="383" t="str">
        <f t="shared" si="3"/>
        <v/>
      </c>
      <c r="T53" s="384" t="str">
        <f t="shared" si="2"/>
        <v/>
      </c>
      <c r="U53" s="349"/>
      <c r="V53" s="385"/>
      <c r="W53" s="385"/>
      <c r="X53" s="386"/>
    </row>
    <row r="54" spans="1:24" ht="16.5" customHeight="1">
      <c r="A54" s="301"/>
      <c r="B54" s="392">
        <v>2</v>
      </c>
      <c r="C54" s="371">
        <v>42</v>
      </c>
      <c r="D54" s="372" t="str">
        <f>IFERROR(INDEX('[12]Equipment List'!$B$2:$B$2008,MATCH(E54,'[12]Equipment List'!$A$2:$A$2008,0)),"")</f>
        <v>SMT Reflow Vacuum</v>
      </c>
      <c r="E54" s="388" t="s">
        <v>791</v>
      </c>
      <c r="F54" s="374" t="s">
        <v>708</v>
      </c>
      <c r="G54" s="375" t="s">
        <v>699</v>
      </c>
      <c r="H54" s="376">
        <v>0</v>
      </c>
      <c r="I54" s="377" t="s">
        <v>745</v>
      </c>
      <c r="J54" s="378" t="s">
        <v>746</v>
      </c>
      <c r="K54" s="391">
        <v>295000</v>
      </c>
      <c r="L54" s="387">
        <v>4.5</v>
      </c>
      <c r="M54" s="380">
        <f t="array" ref="M54">IF(L54="","",(MAX(IF(AN$15:AN$144=B54,AO$15:AO$144))/60))</f>
        <v>0</v>
      </c>
      <c r="N54" s="387">
        <v>0</v>
      </c>
      <c r="O54" s="387"/>
      <c r="P54" s="381">
        <f t="shared" si="0"/>
        <v>0</v>
      </c>
      <c r="Q54" s="382" t="str">
        <f t="array" ref="Q54">IFERROR(INDEX($D$13:$D$1000,MATCH(0,COUNTIF($Q$12:Q53,$D$13:$D$1000&amp;"")+IF($D$13:$D$1000="",1,0),0)),"")</f>
        <v/>
      </c>
      <c r="R54" s="356" t="str">
        <f t="shared" si="1"/>
        <v/>
      </c>
      <c r="S54" s="383" t="str">
        <f t="shared" si="3"/>
        <v/>
      </c>
      <c r="T54" s="384" t="str">
        <f t="shared" si="2"/>
        <v/>
      </c>
      <c r="U54" s="349"/>
      <c r="V54" s="385"/>
      <c r="W54" s="385"/>
      <c r="X54" s="386"/>
    </row>
    <row r="55" spans="1:24" ht="16.5" customHeight="1">
      <c r="A55" s="301"/>
      <c r="B55" s="392">
        <v>2</v>
      </c>
      <c r="C55" s="371">
        <v>43</v>
      </c>
      <c r="D55" s="372" t="str">
        <f>IFERROR(INDEX('[12]Equipment List'!$B$2:$B$2008,MATCH(E55,'[12]Equipment List'!$A$2:$A$2008,0)),"")</f>
        <v>Transport Shuttle</v>
      </c>
      <c r="E55" s="388" t="s">
        <v>792</v>
      </c>
      <c r="F55" s="374" t="s">
        <v>708</v>
      </c>
      <c r="G55" s="375" t="s">
        <v>699</v>
      </c>
      <c r="H55" s="376">
        <v>0</v>
      </c>
      <c r="I55" s="377" t="s">
        <v>721</v>
      </c>
      <c r="J55" s="378" t="s">
        <v>722</v>
      </c>
      <c r="K55" s="394">
        <v>4858</v>
      </c>
      <c r="L55" s="387">
        <v>0.5</v>
      </c>
      <c r="M55" s="380">
        <f t="array" ref="M55">IF(L55="","",(MAX(IF(AN$15:AN$144=B55,AO$15:AO$144))/60))</f>
        <v>0</v>
      </c>
      <c r="N55" s="387">
        <v>0</v>
      </c>
      <c r="O55" s="387"/>
      <c r="P55" s="381">
        <f t="shared" si="0"/>
        <v>0</v>
      </c>
      <c r="Q55" s="382" t="str">
        <f t="array" ref="Q55">IFERROR(INDEX($D$13:$D$1000,MATCH(0,COUNTIF($Q$12:Q54,$D$13:$D$1000&amp;"")+IF($D$13:$D$1000="",1,0),0)),"")</f>
        <v/>
      </c>
      <c r="R55" s="356" t="str">
        <f t="shared" si="1"/>
        <v/>
      </c>
      <c r="S55" s="383" t="str">
        <f t="shared" si="3"/>
        <v/>
      </c>
      <c r="T55" s="384" t="str">
        <f t="shared" si="2"/>
        <v/>
      </c>
      <c r="U55" s="349"/>
      <c r="V55" s="385"/>
      <c r="W55" s="385"/>
      <c r="X55" s="386"/>
    </row>
    <row r="56" spans="1:24" ht="16.5" customHeight="1">
      <c r="A56" s="301"/>
      <c r="B56" s="392">
        <v>2</v>
      </c>
      <c r="C56" s="371">
        <v>44</v>
      </c>
      <c r="D56" s="372" t="str">
        <f>IFERROR(INDEX('[12]Equipment List'!$B$2:$B$2008,MATCH(E56,'[12]Equipment List'!$A$2:$A$2008,0)),"")</f>
        <v>Transport Conveyor</v>
      </c>
      <c r="E56" s="388" t="s">
        <v>793</v>
      </c>
      <c r="F56" s="374" t="s">
        <v>708</v>
      </c>
      <c r="G56" s="375" t="s">
        <v>699</v>
      </c>
      <c r="H56" s="376">
        <v>0</v>
      </c>
      <c r="I56" s="377" t="s">
        <v>729</v>
      </c>
      <c r="J56" s="378" t="s">
        <v>740</v>
      </c>
      <c r="K56" s="379">
        <v>4094</v>
      </c>
      <c r="L56" s="387">
        <v>0.5</v>
      </c>
      <c r="M56" s="380">
        <f t="array" ref="M56">IF(L56="","",(MAX(IF(AN$15:AN$144=B56,AO$15:AO$144))/60))</f>
        <v>0</v>
      </c>
      <c r="N56" s="387">
        <v>0</v>
      </c>
      <c r="O56" s="387"/>
      <c r="P56" s="381">
        <f t="shared" si="0"/>
        <v>0</v>
      </c>
      <c r="Q56" s="382" t="str">
        <f t="array" ref="Q56">IFERROR(INDEX($D$13:$D$1000,MATCH(0,COUNTIF($Q$12:Q55,$D$13:$D$1000&amp;"")+IF($D$13:$D$1000="",1,0),0)),"")</f>
        <v/>
      </c>
      <c r="R56" s="356" t="str">
        <f t="shared" si="1"/>
        <v/>
      </c>
      <c r="S56" s="383" t="str">
        <f t="shared" si="3"/>
        <v/>
      </c>
      <c r="T56" s="384" t="str">
        <f t="shared" si="2"/>
        <v/>
      </c>
      <c r="U56" s="349"/>
      <c r="V56" s="385"/>
      <c r="W56" s="385"/>
      <c r="X56" s="386"/>
    </row>
    <row r="57" spans="1:24" ht="16.5" customHeight="1">
      <c r="A57" s="301"/>
      <c r="B57" s="392">
        <v>2</v>
      </c>
      <c r="C57" s="371">
        <v>45</v>
      </c>
      <c r="D57" s="372" t="str">
        <f>IFERROR(INDEX('[12]Equipment List'!$B$2:$B$2008,MATCH(E57,'[12]Equipment List'!$A$2:$A$2008,0)),"")</f>
        <v>Transport Buffer</v>
      </c>
      <c r="E57" s="388" t="s">
        <v>794</v>
      </c>
      <c r="F57" s="374" t="s">
        <v>708</v>
      </c>
      <c r="G57" s="375" t="s">
        <v>699</v>
      </c>
      <c r="H57" s="376">
        <v>0</v>
      </c>
      <c r="I57" s="377" t="s">
        <v>729</v>
      </c>
      <c r="J57" s="378" t="s">
        <v>753</v>
      </c>
      <c r="K57" s="394">
        <v>12610</v>
      </c>
      <c r="L57" s="387">
        <v>0.5</v>
      </c>
      <c r="M57" s="380">
        <f t="array" ref="M57">IF(L57="","",(MAX(IF(AN$15:AN$144=B57,AO$15:AO$144))/60))</f>
        <v>0</v>
      </c>
      <c r="N57" s="387">
        <v>0</v>
      </c>
      <c r="O57" s="387" t="s">
        <v>1</v>
      </c>
      <c r="P57" s="381">
        <f t="shared" si="0"/>
        <v>0</v>
      </c>
      <c r="Q57" s="382" t="str">
        <f t="array" ref="Q57">IFERROR(INDEX($D$13:$D$1000,MATCH(0,COUNTIF($Q$12:Q56,$D$13:$D$1000&amp;"")+IF($D$13:$D$1000="",1,0),0)),"")</f>
        <v/>
      </c>
      <c r="R57" s="356" t="str">
        <f t="shared" si="1"/>
        <v/>
      </c>
      <c r="S57" s="383" t="str">
        <f t="shared" si="3"/>
        <v/>
      </c>
      <c r="T57" s="384" t="str">
        <f t="shared" si="2"/>
        <v/>
      </c>
      <c r="U57" s="349"/>
      <c r="V57" s="385"/>
      <c r="W57" s="385"/>
      <c r="X57" s="386"/>
    </row>
    <row r="58" spans="1:24" ht="16.5" customHeight="1">
      <c r="A58" s="301"/>
      <c r="B58" s="392">
        <v>2</v>
      </c>
      <c r="C58" s="371">
        <v>46</v>
      </c>
      <c r="D58" s="372" t="str">
        <f>IFERROR(INDEX('[12]Equipment List'!$B$2:$B$2008,MATCH(E58,'[12]Equipment List'!$A$2:$A$2008,0)),"")</f>
        <v>Automatic Optical Inspection --- SMD</v>
      </c>
      <c r="E58" s="388" t="s">
        <v>795</v>
      </c>
      <c r="F58" s="374" t="s">
        <v>708</v>
      </c>
      <c r="G58" s="375" t="s">
        <v>699</v>
      </c>
      <c r="H58" s="376">
        <v>0</v>
      </c>
      <c r="I58" s="377" t="s">
        <v>756</v>
      </c>
      <c r="J58" s="378" t="s">
        <v>757</v>
      </c>
      <c r="K58" s="379">
        <v>99190</v>
      </c>
      <c r="L58" s="387">
        <v>4</v>
      </c>
      <c r="M58" s="380">
        <f t="array" ref="M58">IF(L58="","",(MAX(IF(AN$15:AN$144=B58,AO$15:AO$144))/60))</f>
        <v>0</v>
      </c>
      <c r="N58" s="387">
        <v>0</v>
      </c>
      <c r="O58" s="387"/>
      <c r="P58" s="381">
        <f t="shared" si="0"/>
        <v>0</v>
      </c>
      <c r="Q58" s="382" t="str">
        <f t="array" ref="Q58">IFERROR(INDEX($D$13:$D$1000,MATCH(0,COUNTIF($Q$12:Q57,$D$13:$D$1000&amp;"")+IF($D$13:$D$1000="",1,0),0)),"")</f>
        <v/>
      </c>
      <c r="R58" s="356" t="str">
        <f t="shared" si="1"/>
        <v/>
      </c>
      <c r="S58" s="383" t="str">
        <f t="shared" si="3"/>
        <v/>
      </c>
      <c r="T58" s="384" t="str">
        <f t="shared" si="2"/>
        <v/>
      </c>
      <c r="U58" s="349"/>
      <c r="V58" s="385"/>
      <c r="W58" s="385"/>
      <c r="X58" s="386"/>
    </row>
    <row r="59" spans="1:24" ht="16.5" customHeight="1">
      <c r="A59" s="301"/>
      <c r="B59" s="392">
        <v>2</v>
      </c>
      <c r="C59" s="371">
        <v>47</v>
      </c>
      <c r="D59" s="372" t="str">
        <f>IFERROR(INDEX('[12]Equipment List'!$B$2:$B$2008,MATCH(E59,'[12]Equipment List'!$A$2:$A$2008,0)),"")</f>
        <v>Transport reject</v>
      </c>
      <c r="E59" s="388" t="s">
        <v>796</v>
      </c>
      <c r="F59" s="374" t="s">
        <v>708</v>
      </c>
      <c r="G59" s="375" t="s">
        <v>699</v>
      </c>
      <c r="H59" s="376">
        <v>0</v>
      </c>
      <c r="I59" s="377" t="s">
        <v>729</v>
      </c>
      <c r="J59" s="378" t="s">
        <v>730</v>
      </c>
      <c r="K59" s="379">
        <v>8190</v>
      </c>
      <c r="L59" s="387">
        <v>0.5</v>
      </c>
      <c r="M59" s="380">
        <f t="array" ref="M59">IF(L59="","",(MAX(IF(AN$15:AN$144=B59,AO$15:AO$144))/60))</f>
        <v>0</v>
      </c>
      <c r="N59" s="387">
        <v>0</v>
      </c>
      <c r="O59" s="387" t="s">
        <v>1</v>
      </c>
      <c r="P59" s="381">
        <f t="shared" si="0"/>
        <v>0</v>
      </c>
      <c r="Q59" s="382" t="str">
        <f t="array" ref="Q59">IFERROR(INDEX($D$13:$D$1000,MATCH(0,COUNTIF($Q$12:Q58,$D$13:$D$1000&amp;"")+IF($D$13:$D$1000="",1,0),0)),"")</f>
        <v/>
      </c>
      <c r="R59" s="356" t="str">
        <f t="shared" si="1"/>
        <v/>
      </c>
      <c r="S59" s="383" t="str">
        <f t="shared" si="3"/>
        <v/>
      </c>
      <c r="T59" s="384" t="str">
        <f t="shared" si="2"/>
        <v/>
      </c>
      <c r="U59" s="349"/>
      <c r="V59" s="385"/>
      <c r="W59" s="385"/>
      <c r="X59" s="386"/>
    </row>
    <row r="60" spans="1:24" ht="16.5" customHeight="1">
      <c r="A60" s="301"/>
      <c r="B60" s="392">
        <v>2</v>
      </c>
      <c r="C60" s="371">
        <v>48</v>
      </c>
      <c r="D60" s="372" t="str">
        <f>IFERROR(INDEX('[12]Equipment List'!$B$2:$B$2008,MATCH(E60,'[12]Equipment List'!$A$2:$A$2008,0)),"")</f>
        <v>Transport Shuttle</v>
      </c>
      <c r="E60" s="388" t="s">
        <v>797</v>
      </c>
      <c r="F60" s="374" t="s">
        <v>708</v>
      </c>
      <c r="G60" s="375" t="s">
        <v>699</v>
      </c>
      <c r="H60" s="376">
        <v>0</v>
      </c>
      <c r="I60" s="377" t="s">
        <v>721</v>
      </c>
      <c r="J60" s="378" t="s">
        <v>722</v>
      </c>
      <c r="K60" s="391">
        <v>4858</v>
      </c>
      <c r="L60" s="387">
        <v>0.5</v>
      </c>
      <c r="M60" s="380">
        <f t="array" ref="M60">IF(L60="","",(MAX(IF(AN$15:AN$144=B60,AO$15:AO$144))/60))</f>
        <v>0</v>
      </c>
      <c r="N60" s="387">
        <v>0</v>
      </c>
      <c r="O60" s="387"/>
      <c r="P60" s="381">
        <f t="shared" si="0"/>
        <v>0</v>
      </c>
      <c r="Q60" s="382" t="str">
        <f t="array" ref="Q60">IFERROR(INDEX($D$13:$D$1000,MATCH(0,COUNTIF($Q$12:Q59,$D$13:$D$1000&amp;"")+IF($D$13:$D$1000="",1,0),0)),"")</f>
        <v/>
      </c>
      <c r="R60" s="356" t="str">
        <f t="shared" si="1"/>
        <v/>
      </c>
      <c r="S60" s="383" t="str">
        <f t="shared" si="3"/>
        <v/>
      </c>
      <c r="T60" s="384" t="str">
        <f t="shared" si="2"/>
        <v/>
      </c>
      <c r="U60" s="349"/>
      <c r="V60" s="385"/>
      <c r="W60" s="385"/>
      <c r="X60" s="386"/>
    </row>
    <row r="61" spans="1:24" ht="16.5" customHeight="1">
      <c r="A61" s="301"/>
      <c r="B61" s="392">
        <v>2</v>
      </c>
      <c r="C61" s="371">
        <v>49</v>
      </c>
      <c r="D61" s="372" t="str">
        <f>IFERROR(INDEX('[12]Equipment List'!$B$2:$B$2008,MATCH(E61,'[12]Equipment List'!$A$2:$A$2008,0)),"")</f>
        <v>Transport Flipper</v>
      </c>
      <c r="E61" s="388" t="s">
        <v>798</v>
      </c>
      <c r="F61" s="374" t="s">
        <v>708</v>
      </c>
      <c r="G61" s="375" t="s">
        <v>699</v>
      </c>
      <c r="H61" s="376">
        <v>0</v>
      </c>
      <c r="I61" s="377" t="s">
        <v>764</v>
      </c>
      <c r="J61" s="378" t="s">
        <v>765</v>
      </c>
      <c r="K61" s="391">
        <v>6695</v>
      </c>
      <c r="L61" s="387">
        <v>0.5</v>
      </c>
      <c r="M61" s="380">
        <f t="array" ref="M61">IF(L61="","",(MAX(IF(AN$15:AN$144=B61,AO$15:AO$144))/60))</f>
        <v>0</v>
      </c>
      <c r="N61" s="387">
        <v>0</v>
      </c>
      <c r="O61" s="387" t="s">
        <v>766</v>
      </c>
      <c r="P61" s="381">
        <f t="shared" si="0"/>
        <v>0</v>
      </c>
      <c r="Q61" s="382" t="str">
        <f t="array" ref="Q61">IFERROR(INDEX($D$13:$D$1000,MATCH(0,COUNTIF($Q$12:Q60,$D$13:$D$1000&amp;"")+IF($D$13:$D$1000="",1,0),0)),"")</f>
        <v/>
      </c>
      <c r="R61" s="356" t="str">
        <f t="shared" si="1"/>
        <v/>
      </c>
      <c r="S61" s="383" t="str">
        <f t="shared" si="3"/>
        <v/>
      </c>
      <c r="T61" s="384" t="str">
        <f t="shared" si="2"/>
        <v/>
      </c>
      <c r="U61" s="349"/>
      <c r="V61" s="385"/>
      <c r="W61" s="385"/>
      <c r="X61" s="386"/>
    </row>
    <row r="62" spans="1:24" ht="16.5" customHeight="1">
      <c r="A62" s="301"/>
      <c r="B62" s="392">
        <v>2</v>
      </c>
      <c r="C62" s="371">
        <v>50</v>
      </c>
      <c r="D62" s="372" t="str">
        <f>IFERROR(INDEX('[12]Equipment List'!$B$2:$B$2008,MATCH(E62,'[12]Equipment List'!$A$2:$A$2008,0)),"")</f>
        <v>Transport Loader/Unloader</v>
      </c>
      <c r="E62" s="388" t="s">
        <v>799</v>
      </c>
      <c r="F62" s="374" t="s">
        <v>708</v>
      </c>
      <c r="G62" s="375" t="s">
        <v>699</v>
      </c>
      <c r="H62" s="376">
        <v>0</v>
      </c>
      <c r="I62" s="377" t="s">
        <v>764</v>
      </c>
      <c r="J62" s="378" t="s">
        <v>701</v>
      </c>
      <c r="K62" s="391">
        <v>8190</v>
      </c>
      <c r="L62" s="387">
        <v>0.5</v>
      </c>
      <c r="M62" s="380">
        <f t="array" ref="M62">IF(L62="","",(MAX(IF(AN$15:AN$144=B62,AO$15:AO$144))/60))</f>
        <v>0</v>
      </c>
      <c r="N62" s="387">
        <v>0.5</v>
      </c>
      <c r="O62" s="387" t="s">
        <v>800</v>
      </c>
      <c r="P62" s="381">
        <f t="shared" si="0"/>
        <v>0</v>
      </c>
      <c r="Q62" s="382" t="str">
        <f t="array" ref="Q62">IFERROR(INDEX($D$13:$D$1000,MATCH(0,COUNTIF($Q$12:Q61,$D$13:$D$1000&amp;"")+IF($D$13:$D$1000="",1,0),0)),"")</f>
        <v/>
      </c>
      <c r="R62" s="356" t="str">
        <f t="shared" si="1"/>
        <v/>
      </c>
      <c r="S62" s="383" t="str">
        <f t="shared" si="3"/>
        <v/>
      </c>
      <c r="T62" s="384" t="str">
        <f t="shared" si="2"/>
        <v/>
      </c>
      <c r="U62" s="349"/>
      <c r="V62" s="385"/>
      <c r="W62" s="385"/>
      <c r="X62" s="386"/>
    </row>
    <row r="63" spans="1:24" ht="16.5" customHeight="1">
      <c r="A63" s="301"/>
      <c r="B63" s="392">
        <v>3</v>
      </c>
      <c r="C63" s="371">
        <v>51</v>
      </c>
      <c r="D63" s="372" t="str">
        <f>IFERROR(INDEX('[12]Equipment List'!$B$2:$B$2008,MATCH(E63,'[12]Equipment List'!$A$2:$A$2008,0)),"")</f>
        <v>Transport Loader/Unloader</v>
      </c>
      <c r="E63" s="388" t="s">
        <v>801</v>
      </c>
      <c r="F63" s="374" t="s">
        <v>211</v>
      </c>
      <c r="G63" s="375" t="s">
        <v>699</v>
      </c>
      <c r="H63" s="376">
        <v>0</v>
      </c>
      <c r="I63" s="377" t="s">
        <v>764</v>
      </c>
      <c r="J63" s="378" t="s">
        <v>701</v>
      </c>
      <c r="K63" s="379">
        <v>8190</v>
      </c>
      <c r="L63" s="387">
        <v>0.5</v>
      </c>
      <c r="M63" s="380">
        <f t="array" ref="M63">IF(L63="","",(MAX(IF(AN$15:AN$144=B63,AO$15:AO$144))/60))</f>
        <v>0</v>
      </c>
      <c r="N63" s="387">
        <v>0.5</v>
      </c>
      <c r="O63" s="387" t="s">
        <v>802</v>
      </c>
      <c r="P63" s="381">
        <f t="shared" si="0"/>
        <v>0</v>
      </c>
      <c r="Q63" s="382" t="str">
        <f t="array" ref="Q63">IFERROR(INDEX($D$13:$D$1000,MATCH(0,COUNTIF($Q$12:Q62,$D$13:$D$1000&amp;"")+IF($D$13:$D$1000="",1,0),0)),"")</f>
        <v/>
      </c>
      <c r="R63" s="356" t="str">
        <f t="shared" si="1"/>
        <v/>
      </c>
      <c r="S63" s="383" t="str">
        <f t="shared" si="3"/>
        <v/>
      </c>
      <c r="T63" s="384" t="str">
        <f t="shared" si="2"/>
        <v/>
      </c>
      <c r="U63" s="349"/>
      <c r="V63" s="385"/>
      <c r="W63" s="385"/>
      <c r="X63" s="386"/>
    </row>
    <row r="64" spans="1:24" ht="16.5" customHeight="1">
      <c r="A64" s="301"/>
      <c r="B64" s="392">
        <v>3</v>
      </c>
      <c r="C64" s="371">
        <v>52</v>
      </c>
      <c r="D64" s="372" t="str">
        <f>IFERROR(INDEX('[12]Equipment List'!$B$2:$B$2008,MATCH(E64,'[12]Equipment List'!$A$2:$A$2008,0)),"")</f>
        <v>Transport Conveyor</v>
      </c>
      <c r="E64" s="388" t="s">
        <v>803</v>
      </c>
      <c r="F64" s="374" t="s">
        <v>211</v>
      </c>
      <c r="G64" s="375" t="s">
        <v>699</v>
      </c>
      <c r="H64" s="376">
        <v>0</v>
      </c>
      <c r="I64" s="377" t="s">
        <v>700</v>
      </c>
      <c r="J64" s="378" t="s">
        <v>707</v>
      </c>
      <c r="K64" s="379">
        <v>3818</v>
      </c>
      <c r="L64" s="387">
        <v>0.5</v>
      </c>
      <c r="M64" s="380">
        <f t="array" ref="M64">IF(L64="","",(MAX(IF(AN$15:AN$144=B64,AO$15:AO$144))/60))</f>
        <v>0</v>
      </c>
      <c r="N64" s="387">
        <v>0</v>
      </c>
      <c r="O64" s="387"/>
      <c r="P64" s="381">
        <f t="shared" si="0"/>
        <v>0</v>
      </c>
      <c r="Q64" s="382" t="str">
        <f t="array" ref="Q64">IFERROR(INDEX($D$13:$D$1000,MATCH(0,COUNTIF($Q$12:Q63,$D$13:$D$1000&amp;"")+IF($D$13:$D$1000="",1,0),0)),"")</f>
        <v/>
      </c>
      <c r="R64" s="356" t="str">
        <f t="shared" si="1"/>
        <v/>
      </c>
      <c r="S64" s="383" t="str">
        <f t="shared" si="3"/>
        <v/>
      </c>
      <c r="T64" s="384" t="str">
        <f t="shared" si="2"/>
        <v/>
      </c>
      <c r="U64" s="349"/>
      <c r="V64" s="385"/>
      <c r="W64" s="385"/>
      <c r="X64" s="386"/>
    </row>
    <row r="65" spans="1:24" ht="16.5" customHeight="1">
      <c r="A65" s="301"/>
      <c r="B65" s="392">
        <v>3</v>
      </c>
      <c r="C65" s="371">
        <v>53</v>
      </c>
      <c r="D65" s="372" t="str">
        <f>IFERROR(INDEX('[12]Equipment List'!$B$2:$B$2008,MATCH(E65,'[12]Equipment List'!$A$2:$A$2008,0)),"")</f>
        <v>Automatic X-ray Inspection</v>
      </c>
      <c r="E65" s="388" t="s">
        <v>804</v>
      </c>
      <c r="F65" s="374" t="s">
        <v>211</v>
      </c>
      <c r="G65" s="375" t="s">
        <v>699</v>
      </c>
      <c r="H65" s="376">
        <v>0</v>
      </c>
      <c r="I65" s="377" t="s">
        <v>805</v>
      </c>
      <c r="J65" s="378" t="s">
        <v>806</v>
      </c>
      <c r="K65" s="379">
        <v>460787</v>
      </c>
      <c r="L65" s="387">
        <v>7.5</v>
      </c>
      <c r="M65" s="380">
        <f t="array" ref="M65">IF(L65="","",(MAX(IF(AN$15:AN$144=B65,AO$15:AO$144))/60))</f>
        <v>0</v>
      </c>
      <c r="N65" s="387">
        <v>0</v>
      </c>
      <c r="O65" s="387" t="s">
        <v>807</v>
      </c>
      <c r="P65" s="381">
        <f t="shared" si="0"/>
        <v>0</v>
      </c>
      <c r="Q65" s="382" t="str">
        <f t="array" ref="Q65">IFERROR(INDEX($D$13:$D$1000,MATCH(0,COUNTIF($Q$12:Q64,$D$13:$D$1000&amp;"")+IF($D$13:$D$1000="",1,0),0)),"")</f>
        <v/>
      </c>
      <c r="R65" s="356" t="str">
        <f t="shared" si="1"/>
        <v/>
      </c>
      <c r="S65" s="383" t="str">
        <f t="shared" si="3"/>
        <v/>
      </c>
      <c r="T65" s="384" t="str">
        <f t="shared" si="2"/>
        <v/>
      </c>
      <c r="U65" s="349"/>
      <c r="V65" s="385"/>
      <c r="W65" s="385"/>
      <c r="X65" s="386"/>
    </row>
    <row r="66" spans="1:24" ht="16.5" customHeight="1">
      <c r="A66" s="301"/>
      <c r="B66" s="392">
        <v>3</v>
      </c>
      <c r="C66" s="371">
        <v>54</v>
      </c>
      <c r="D66" s="372" t="str">
        <f>IFERROR(INDEX('[12]Equipment List'!$B$2:$B$2008,MATCH(E66,'[12]Equipment List'!$A$2:$A$2008,0)),"")</f>
        <v>Transport reject</v>
      </c>
      <c r="E66" s="388" t="s">
        <v>808</v>
      </c>
      <c r="F66" s="374" t="s">
        <v>211</v>
      </c>
      <c r="G66" s="375" t="s">
        <v>699</v>
      </c>
      <c r="H66" s="376">
        <v>0</v>
      </c>
      <c r="I66" s="377" t="s">
        <v>764</v>
      </c>
      <c r="J66" s="378" t="s">
        <v>809</v>
      </c>
      <c r="K66" s="379">
        <v>7716</v>
      </c>
      <c r="L66" s="387">
        <v>0.4</v>
      </c>
      <c r="M66" s="380">
        <f t="array" ref="M66">IF(L66="","",(MAX(IF(AN$15:AN$144=B66,AO$15:AO$144))/60))</f>
        <v>0</v>
      </c>
      <c r="N66" s="387">
        <v>0</v>
      </c>
      <c r="O66" s="387"/>
      <c r="P66" s="381">
        <f t="shared" si="0"/>
        <v>0</v>
      </c>
      <c r="Q66" s="382" t="str">
        <f t="array" ref="Q66">IFERROR(INDEX($D$13:$D$1000,MATCH(0,COUNTIF($Q$12:Q65,$D$13:$D$1000&amp;"")+IF($D$13:$D$1000="",1,0),0)),"")</f>
        <v/>
      </c>
      <c r="R66" s="356" t="str">
        <f t="shared" si="1"/>
        <v/>
      </c>
      <c r="S66" s="383" t="str">
        <f t="shared" si="3"/>
        <v/>
      </c>
      <c r="T66" s="384" t="str">
        <f t="shared" si="2"/>
        <v/>
      </c>
      <c r="U66" s="349"/>
      <c r="V66" s="385"/>
      <c r="W66" s="385"/>
      <c r="X66" s="386"/>
    </row>
    <row r="67" spans="1:24" ht="16.5" customHeight="1">
      <c r="A67" s="301"/>
      <c r="B67" s="392">
        <v>3</v>
      </c>
      <c r="C67" s="371">
        <v>55</v>
      </c>
      <c r="D67" s="372" t="str">
        <f>IFERROR(INDEX('[12]Equipment List'!$B$2:$B$2008,MATCH(E67,'[12]Equipment List'!$A$2:$A$2008,0)),"")</f>
        <v>Transport Flipper</v>
      </c>
      <c r="E67" s="388" t="s">
        <v>810</v>
      </c>
      <c r="F67" s="374" t="s">
        <v>211</v>
      </c>
      <c r="G67" s="375" t="s">
        <v>699</v>
      </c>
      <c r="H67" s="376">
        <v>0</v>
      </c>
      <c r="I67" s="377" t="s">
        <v>764</v>
      </c>
      <c r="J67" s="378" t="s">
        <v>765</v>
      </c>
      <c r="K67" s="379">
        <v>6695</v>
      </c>
      <c r="L67" s="387">
        <v>0.4</v>
      </c>
      <c r="M67" s="380">
        <f t="array" ref="M67">IF(L67="","",(MAX(IF(AN$15:AN$144=B67,AO$15:AO$144))/60))</f>
        <v>0</v>
      </c>
      <c r="N67" s="387">
        <v>0</v>
      </c>
      <c r="O67" s="387" t="s">
        <v>766</v>
      </c>
      <c r="P67" s="381">
        <f t="shared" si="0"/>
        <v>0</v>
      </c>
      <c r="Q67" s="382" t="str">
        <f t="array" ref="Q67">IFERROR(INDEX($D$13:$D$1000,MATCH(0,COUNTIF($Q$12:Q66,$D$13:$D$1000&amp;"")+IF($D$13:$D$1000="",1,0),0)),"")</f>
        <v/>
      </c>
      <c r="R67" s="356" t="str">
        <f t="shared" si="1"/>
        <v/>
      </c>
      <c r="S67" s="383" t="str">
        <f t="shared" si="3"/>
        <v/>
      </c>
      <c r="T67" s="384" t="str">
        <f t="shared" si="2"/>
        <v/>
      </c>
      <c r="U67" s="349"/>
      <c r="V67" s="385"/>
      <c r="W67" s="385"/>
      <c r="X67" s="386"/>
    </row>
    <row r="68" spans="1:24" ht="16.5" customHeight="1">
      <c r="A68" s="301"/>
      <c r="B68" s="395">
        <v>3</v>
      </c>
      <c r="C68" s="371">
        <v>56</v>
      </c>
      <c r="D68" s="372" t="str">
        <f>IFERROR(INDEX('[12]Equipment List'!$B$2:$B$2008,MATCH(E68,'[12]Equipment List'!$A$2:$A$2008,0)),"")</f>
        <v>Transport Loader/Unloader</v>
      </c>
      <c r="E68" s="388" t="s">
        <v>811</v>
      </c>
      <c r="F68" s="374" t="s">
        <v>211</v>
      </c>
      <c r="G68" s="375" t="s">
        <v>699</v>
      </c>
      <c r="H68" s="376">
        <v>0</v>
      </c>
      <c r="I68" s="377" t="s">
        <v>764</v>
      </c>
      <c r="J68" s="378" t="s">
        <v>701</v>
      </c>
      <c r="K68" s="379">
        <v>8190</v>
      </c>
      <c r="L68" s="387">
        <v>0.4</v>
      </c>
      <c r="M68" s="380">
        <f t="array" ref="M68">IF(L68="","",(MAX(IF(AN$15:AN$144=B68,AO$15:AO$144))/60))</f>
        <v>0</v>
      </c>
      <c r="N68" s="387">
        <v>0.5</v>
      </c>
      <c r="O68" s="387" t="s">
        <v>800</v>
      </c>
      <c r="P68" s="381">
        <f t="shared" si="0"/>
        <v>0</v>
      </c>
      <c r="Q68" s="382" t="str">
        <f t="array" ref="Q68">IFERROR(INDEX($D$13:$D$1000,MATCH(0,COUNTIF($Q$12:Q67,$D$13:$D$1000&amp;"")+IF($D$13:$D$1000="",1,0),0)),"")</f>
        <v/>
      </c>
      <c r="R68" s="356" t="str">
        <f t="shared" si="1"/>
        <v/>
      </c>
      <c r="S68" s="383" t="str">
        <f t="shared" si="3"/>
        <v/>
      </c>
      <c r="T68" s="384" t="str">
        <f t="shared" si="2"/>
        <v/>
      </c>
      <c r="U68" s="349"/>
      <c r="V68" s="385"/>
      <c r="W68" s="385"/>
      <c r="X68" s="386"/>
    </row>
    <row r="69" spans="1:24" ht="16.5" customHeight="1">
      <c r="A69" s="301"/>
      <c r="B69" s="395">
        <v>4</v>
      </c>
      <c r="C69" s="371">
        <v>57</v>
      </c>
      <c r="D69" s="372" t="str">
        <f>IFERROR(INDEX('[12]Equipment List'!$B$2:$B$2008,MATCH(E69,'[12]Equipment List'!$A$2:$A$2008,0)),"")</f>
        <v>ICT off-line</v>
      </c>
      <c r="E69" s="388" t="s">
        <v>812</v>
      </c>
      <c r="F69" s="374" t="s">
        <v>762</v>
      </c>
      <c r="G69" s="375" t="s">
        <v>813</v>
      </c>
      <c r="H69" s="376">
        <v>24</v>
      </c>
      <c r="I69" s="377" t="s">
        <v>814</v>
      </c>
      <c r="J69" s="378" t="s">
        <v>815</v>
      </c>
      <c r="K69" s="379">
        <v>584787</v>
      </c>
      <c r="L69" s="387">
        <v>18.75</v>
      </c>
      <c r="M69" s="380">
        <f t="array" ref="M69">IF(L69="","",(MAX(IF(AN$15:AN$144=B69,AO$15:AO$144))/60))</f>
        <v>0</v>
      </c>
      <c r="N69" s="387">
        <v>0.5</v>
      </c>
      <c r="O69" s="387" t="s">
        <v>816</v>
      </c>
      <c r="P69" s="381">
        <f t="shared" si="0"/>
        <v>0</v>
      </c>
      <c r="Q69" s="382" t="str">
        <f t="array" ref="Q69">IFERROR(INDEX($D$13:$D$1000,MATCH(0,COUNTIF($Q$12:Q68,$D$13:$D$1000&amp;"")+IF($D$13:$D$1000="",1,0),0)),"")</f>
        <v/>
      </c>
      <c r="R69" s="356" t="str">
        <f t="shared" si="1"/>
        <v/>
      </c>
      <c r="S69" s="383" t="str">
        <f t="shared" si="3"/>
        <v/>
      </c>
      <c r="T69" s="384" t="str">
        <f t="shared" si="2"/>
        <v/>
      </c>
      <c r="U69" s="349"/>
      <c r="V69" s="385"/>
      <c r="W69" s="385"/>
      <c r="X69" s="386"/>
    </row>
    <row r="70" spans="1:24" ht="16.5" customHeight="1">
      <c r="A70" s="301"/>
      <c r="B70" s="395">
        <v>5</v>
      </c>
      <c r="C70" s="371">
        <v>58</v>
      </c>
      <c r="D70" s="372" t="str">
        <f>IFERROR(INDEX('[12]Equipment List'!$B$2:$B$2008,MATCH(E70,'[12]Equipment List'!$A$2:$A$2008,0)),"")</f>
        <v>Transport Loader/Unloader</v>
      </c>
      <c r="E70" s="388" t="s">
        <v>817</v>
      </c>
      <c r="F70" s="374" t="s">
        <v>712</v>
      </c>
      <c r="G70" s="375" t="s">
        <v>699</v>
      </c>
      <c r="H70" s="376">
        <v>0</v>
      </c>
      <c r="I70" s="377" t="s">
        <v>764</v>
      </c>
      <c r="J70" s="378" t="s">
        <v>701</v>
      </c>
      <c r="K70" s="379">
        <v>8190</v>
      </c>
      <c r="L70" s="387">
        <v>0.8</v>
      </c>
      <c r="M70" s="380">
        <f t="array" ref="M70">IF(L70="","",(MAX(IF(AN$15:AN$144=B70,AO$15:AO$144))/60))</f>
        <v>0</v>
      </c>
      <c r="N70" s="387">
        <v>0.3</v>
      </c>
      <c r="O70" s="387" t="s">
        <v>818</v>
      </c>
      <c r="P70" s="381">
        <f t="shared" si="0"/>
        <v>0</v>
      </c>
      <c r="Q70" s="382" t="str">
        <f t="array" ref="Q70">IFERROR(INDEX($D$13:$D$1000,MATCH(0,COUNTIF($Q$12:Q69,$D$13:$D$1000&amp;"")+IF($D$13:$D$1000="",1,0),0)),"")</f>
        <v/>
      </c>
      <c r="R70" s="356" t="str">
        <f t="shared" si="1"/>
        <v/>
      </c>
      <c r="S70" s="383" t="str">
        <f t="shared" si="3"/>
        <v/>
      </c>
      <c r="T70" s="384" t="str">
        <f t="shared" si="2"/>
        <v/>
      </c>
      <c r="U70" s="349"/>
      <c r="V70" s="385"/>
      <c r="W70" s="385"/>
      <c r="X70" s="386"/>
    </row>
    <row r="71" spans="1:24" ht="16.5" customHeight="1">
      <c r="A71" s="301"/>
      <c r="B71" s="395">
        <v>5</v>
      </c>
      <c r="C71" s="371">
        <v>59</v>
      </c>
      <c r="D71" s="372" t="str">
        <f>IFERROR(INDEX('[12]Equipment List'!$B$2:$B$2008,MATCH(E71,'[12]Equipment List'!$A$2:$A$2008,0)),"")</f>
        <v>Transport Conveyor</v>
      </c>
      <c r="E71" s="388" t="s">
        <v>819</v>
      </c>
      <c r="F71" s="374" t="s">
        <v>712</v>
      </c>
      <c r="G71" s="375" t="s">
        <v>699</v>
      </c>
      <c r="H71" s="376">
        <v>0</v>
      </c>
      <c r="I71" s="377" t="s">
        <v>700</v>
      </c>
      <c r="J71" s="378" t="s">
        <v>707</v>
      </c>
      <c r="K71" s="379">
        <v>3818</v>
      </c>
      <c r="L71" s="387">
        <v>0.8</v>
      </c>
      <c r="M71" s="380">
        <f t="array" ref="M71">IF(L71="","",(MAX(IF(AN$15:AN$144=B71,AO$15:AO$144))/60))</f>
        <v>0</v>
      </c>
      <c r="N71" s="387">
        <v>0</v>
      </c>
      <c r="O71" s="387"/>
      <c r="P71" s="381">
        <f t="shared" si="0"/>
        <v>0</v>
      </c>
      <c r="Q71" s="382" t="str">
        <f t="array" ref="Q71">IFERROR(INDEX($D$13:$D$1000,MATCH(0,COUNTIF($Q$12:Q70,$D$13:$D$1000&amp;"")+IF($D$13:$D$1000="",1,0),0)),"")</f>
        <v/>
      </c>
      <c r="R71" s="356" t="str">
        <f t="shared" si="1"/>
        <v/>
      </c>
      <c r="S71" s="383" t="str">
        <f t="shared" si="3"/>
        <v/>
      </c>
      <c r="T71" s="384" t="str">
        <f t="shared" si="2"/>
        <v/>
      </c>
      <c r="U71" s="349"/>
      <c r="V71" s="385"/>
      <c r="W71" s="385"/>
      <c r="X71" s="386"/>
    </row>
    <row r="72" spans="1:24" ht="16.5" customHeight="1">
      <c r="A72" s="301"/>
      <c r="B72" s="395">
        <v>5</v>
      </c>
      <c r="C72" s="371">
        <v>60</v>
      </c>
      <c r="D72" s="372" t="str">
        <f>IFERROR(INDEX('[12]Equipment List'!$B$2:$B$2008,MATCH(E72,'[12]Equipment List'!$A$2:$A$2008,0)),"")</f>
        <v>Depaneling</v>
      </c>
      <c r="E72" s="388" t="s">
        <v>820</v>
      </c>
      <c r="F72" s="374" t="s">
        <v>712</v>
      </c>
      <c r="G72" s="375" t="s">
        <v>699</v>
      </c>
      <c r="H72" s="376">
        <v>0</v>
      </c>
      <c r="I72" s="377" t="s">
        <v>821</v>
      </c>
      <c r="J72" s="378" t="s">
        <v>822</v>
      </c>
      <c r="K72" s="379">
        <v>138582</v>
      </c>
      <c r="L72" s="387">
        <v>25</v>
      </c>
      <c r="M72" s="380">
        <f t="array" ref="M72">IF(L72="","",(MAX(IF(AN$15:AN$144=B72,AO$15:AO$144))/60))</f>
        <v>0</v>
      </c>
      <c r="N72" s="387">
        <v>0.5</v>
      </c>
      <c r="O72" s="387" t="s">
        <v>823</v>
      </c>
      <c r="P72" s="381">
        <f t="shared" si="0"/>
        <v>0</v>
      </c>
      <c r="Q72" s="382" t="str">
        <f t="array" ref="Q72">IFERROR(INDEX($D$13:$D$1000,MATCH(0,COUNTIF($Q$12:Q71,$D$13:$D$1000&amp;"")+IF($D$13:$D$1000="",1,0),0)),"")</f>
        <v/>
      </c>
      <c r="R72" s="356" t="str">
        <f t="shared" si="1"/>
        <v/>
      </c>
      <c r="S72" s="383" t="str">
        <f t="shared" si="3"/>
        <v/>
      </c>
      <c r="T72" s="384" t="str">
        <f t="shared" si="2"/>
        <v/>
      </c>
      <c r="U72" s="349"/>
      <c r="V72" s="385"/>
      <c r="W72" s="385"/>
      <c r="X72" s="386"/>
    </row>
    <row r="73" spans="1:24" ht="16.5" customHeight="1">
      <c r="A73" s="301"/>
      <c r="B73" s="395">
        <v>6</v>
      </c>
      <c r="C73" s="371">
        <v>61</v>
      </c>
      <c r="D73" s="372" t="str">
        <f>IFERROR(INDEX('[12]Equipment List'!$B$2:$B$2008,MATCH(E73,'[12]Equipment List'!$A$2:$A$2008,0)),"")</f>
        <v>FVT off-line</v>
      </c>
      <c r="E73" s="388" t="s">
        <v>824</v>
      </c>
      <c r="F73" s="374" t="s">
        <v>770</v>
      </c>
      <c r="G73" s="375" t="s">
        <v>813</v>
      </c>
      <c r="H73" s="376">
        <v>24</v>
      </c>
      <c r="I73" s="377" t="s">
        <v>825</v>
      </c>
      <c r="J73" s="378" t="s">
        <v>825</v>
      </c>
      <c r="K73" s="379">
        <v>3150</v>
      </c>
      <c r="L73" s="387">
        <v>75</v>
      </c>
      <c r="M73" s="380">
        <f t="array" ref="M73">IF(L73="","",(MAX(IF(AN$15:AN$144=B73,AO$15:AO$144))/60))</f>
        <v>0</v>
      </c>
      <c r="N73" s="387">
        <v>1</v>
      </c>
      <c r="O73" s="387" t="s">
        <v>826</v>
      </c>
      <c r="P73" s="381">
        <f t="shared" si="0"/>
        <v>0</v>
      </c>
      <c r="Q73" s="382" t="str">
        <f t="array" ref="Q73">IFERROR(INDEX($D$13:$D$1000,MATCH(0,COUNTIF($Q$12:Q72,$D$13:$D$1000&amp;"")+IF($D$13:$D$1000="",1,0),0)),"")</f>
        <v/>
      </c>
      <c r="R73" s="356" t="str">
        <f t="shared" si="1"/>
        <v/>
      </c>
      <c r="S73" s="383" t="str">
        <f t="shared" si="3"/>
        <v/>
      </c>
      <c r="T73" s="384" t="str">
        <f t="shared" si="2"/>
        <v/>
      </c>
      <c r="U73" s="349"/>
      <c r="V73" s="385"/>
      <c r="W73" s="385"/>
      <c r="X73" s="386"/>
    </row>
    <row r="74" spans="1:24" ht="16.5" customHeight="1">
      <c r="A74" s="301"/>
      <c r="B74" s="395"/>
      <c r="C74" s="371"/>
      <c r="D74" s="372" t="str">
        <f>IFERROR(INDEX('[12]Equipment List'!$B$2:$B$2008,MATCH(E74,'[12]Equipment List'!$A$2:$A$2008,0)),"")</f>
        <v/>
      </c>
      <c r="E74" s="388"/>
      <c r="F74" s="374"/>
      <c r="G74" s="375"/>
      <c r="H74" s="376"/>
      <c r="I74" s="377"/>
      <c r="J74" s="378"/>
      <c r="K74" s="379"/>
      <c r="L74" s="387"/>
      <c r="M74" s="380"/>
      <c r="N74" s="387"/>
      <c r="O74" s="387"/>
      <c r="P74" s="381"/>
      <c r="Q74" s="382" t="str">
        <f t="array" ref="Q74">IFERROR(INDEX($D$13:$D$1000,MATCH(0,COUNTIF($Q$12:Q73,$D$13:$D$1000&amp;"")+IF($D$13:$D$1000="",1,0),0)),"")</f>
        <v/>
      </c>
      <c r="R74" s="356" t="str">
        <f t="shared" si="1"/>
        <v/>
      </c>
      <c r="S74" s="383" t="str">
        <f t="shared" si="3"/>
        <v/>
      </c>
      <c r="T74" s="384" t="str">
        <f t="shared" si="2"/>
        <v/>
      </c>
      <c r="U74" s="349"/>
      <c r="V74" s="385"/>
      <c r="W74" s="385"/>
      <c r="X74" s="386"/>
    </row>
    <row r="75" spans="1:24" ht="16.5" customHeight="1">
      <c r="A75" s="301"/>
      <c r="B75" s="387"/>
      <c r="C75" s="371"/>
      <c r="D75" s="372" t="str">
        <f>IFERROR(INDEX('[12]Equipment List'!$B$2:$B$2008,MATCH(E75,'[12]Equipment List'!$A$2:$A$2008,0)),"")</f>
        <v/>
      </c>
      <c r="E75" s="388"/>
      <c r="F75" s="374"/>
      <c r="G75" s="375"/>
      <c r="H75" s="396"/>
      <c r="I75" s="377"/>
      <c r="J75" s="378"/>
      <c r="K75" s="379"/>
      <c r="L75" s="387"/>
      <c r="M75" s="380"/>
      <c r="N75" s="387"/>
      <c r="O75" s="387"/>
      <c r="P75" s="381"/>
      <c r="Q75" s="382" t="str">
        <f t="array" ref="Q75">IFERROR(INDEX($D$13:$D$1000,MATCH(0,COUNTIF($Q$12:Q74,$D$13:$D$1000&amp;"")+IF($D$13:$D$1000="",1,0),0)),"")</f>
        <v/>
      </c>
      <c r="R75" s="356" t="str">
        <f t="shared" si="1"/>
        <v/>
      </c>
      <c r="S75" s="383" t="str">
        <f t="shared" si="3"/>
        <v/>
      </c>
      <c r="T75" s="384" t="str">
        <f t="shared" si="2"/>
        <v/>
      </c>
      <c r="U75" s="349"/>
      <c r="V75" s="385"/>
      <c r="W75" s="385"/>
      <c r="X75" s="386"/>
    </row>
    <row r="76" spans="1:24" ht="16.5" customHeight="1">
      <c r="A76" s="301"/>
      <c r="B76" s="395"/>
      <c r="C76" s="371"/>
      <c r="D76" s="372" t="str">
        <f>IFERROR(INDEX('[12]Equipment List'!$B$2:$B$2008,MATCH(E76,'[12]Equipment List'!$A$2:$A$2008,0)),"")</f>
        <v/>
      </c>
      <c r="E76" s="388"/>
      <c r="F76" s="374"/>
      <c r="G76" s="375"/>
      <c r="H76" s="396"/>
      <c r="I76" s="377"/>
      <c r="J76" s="378"/>
      <c r="K76" s="379"/>
      <c r="L76" s="387"/>
      <c r="M76" s="380" t="str">
        <f t="array" ref="M76">IF(L76="","",(MAX(IF(AN$15:AN$144=B76,AO$15:AO$144))/60))</f>
        <v/>
      </c>
      <c r="N76" s="387"/>
      <c r="O76" s="387"/>
      <c r="P76" s="381" t="str">
        <f t="shared" ref="P76:P139" si="4">IFERROR((((K76/5/250/$F$8)+(N76*$F$9))/$S$4)*(M76/60),"")</f>
        <v/>
      </c>
      <c r="Q76" s="382" t="str">
        <f t="array" ref="Q76">IFERROR(INDEX($D$13:$D$1000,MATCH(0,COUNTIF($Q$12:Q75,$D$13:$D$1000&amp;"")+IF($D$13:$D$1000="",1,0),0)),"")</f>
        <v/>
      </c>
      <c r="R76" s="356" t="str">
        <f t="shared" si="1"/>
        <v/>
      </c>
      <c r="S76" s="383" t="str">
        <f t="shared" si="3"/>
        <v/>
      </c>
      <c r="T76" s="384" t="str">
        <f t="shared" si="2"/>
        <v/>
      </c>
      <c r="U76" s="349"/>
      <c r="V76" s="385"/>
      <c r="W76" s="385"/>
      <c r="X76" s="386"/>
    </row>
    <row r="77" spans="1:24" ht="16.5" customHeight="1">
      <c r="A77" s="301"/>
      <c r="B77" s="387"/>
      <c r="C77" s="371"/>
      <c r="D77" s="372" t="str">
        <f>IFERROR(INDEX('[12]Equipment List'!$B$2:$B$2008,MATCH(E77,'[12]Equipment List'!$A$2:$A$2008,0)),"")</f>
        <v/>
      </c>
      <c r="E77" s="388"/>
      <c r="F77" s="374"/>
      <c r="G77" s="375"/>
      <c r="H77" s="397"/>
      <c r="I77" s="377"/>
      <c r="J77" s="378"/>
      <c r="K77" s="379"/>
      <c r="L77" s="387"/>
      <c r="M77" s="380" t="str">
        <f t="array" ref="M77">IF(L77="","",(MAX(IF(AN$15:AN$144=B77,AO$15:AO$144))/60))</f>
        <v/>
      </c>
      <c r="N77" s="387"/>
      <c r="O77" s="387"/>
      <c r="P77" s="381" t="str">
        <f t="shared" si="4"/>
        <v/>
      </c>
      <c r="Q77" s="382" t="str">
        <f t="array" ref="Q77">IFERROR(INDEX($D$13:$D$1000,MATCH(0,COUNTIF($Q$12:Q76,$D$13:$D$1000&amp;"")+IF($D$13:$D$1000="",1,0),0)),"")</f>
        <v/>
      </c>
      <c r="R77" s="356" t="str">
        <f t="shared" ref="R77:R140" si="5">IF(Q77="","",COUNTIF($D$13:$D$1000,$Q77))</f>
        <v/>
      </c>
      <c r="S77" s="383" t="str">
        <f t="shared" si="3"/>
        <v/>
      </c>
      <c r="T77" s="384" t="str">
        <f t="shared" ref="T77:T140" si="6">IF($Q77="","",SUMIF($D$13:$D$1000,$Q77,N$13:N$1000))</f>
        <v/>
      </c>
      <c r="U77" s="349"/>
      <c r="V77" s="385"/>
      <c r="W77" s="385"/>
      <c r="X77" s="386"/>
    </row>
    <row r="78" spans="1:24" ht="16.5" customHeight="1">
      <c r="A78" s="301"/>
      <c r="B78" s="395"/>
      <c r="C78" s="371"/>
      <c r="D78" s="372" t="str">
        <f>IFERROR(INDEX('[12]Equipment List'!$B$2:$B$2008,MATCH(E78,'[12]Equipment List'!$A$2:$A$2008,0)),"")</f>
        <v/>
      </c>
      <c r="E78" s="388"/>
      <c r="F78" s="374"/>
      <c r="G78" s="375"/>
      <c r="H78" s="397"/>
      <c r="I78" s="377"/>
      <c r="J78" s="378"/>
      <c r="K78" s="379"/>
      <c r="L78" s="387"/>
      <c r="M78" s="380" t="str">
        <f t="array" ref="M78">IF(L78="","",(MAX(IF(AN$15:AN$144=B78,AO$15:AO$144))/60))</f>
        <v/>
      </c>
      <c r="N78" s="387"/>
      <c r="O78" s="387"/>
      <c r="P78" s="381" t="str">
        <f t="shared" si="4"/>
        <v/>
      </c>
      <c r="Q78" s="382" t="str">
        <f t="array" ref="Q78">IFERROR(INDEX($D$13:$D$1000,MATCH(0,COUNTIF($Q$12:Q77,$D$13:$D$1000&amp;"")+IF($D$13:$D$1000="",1,0),0)),"")</f>
        <v/>
      </c>
      <c r="R78" s="356" t="str">
        <f t="shared" si="5"/>
        <v/>
      </c>
      <c r="S78" s="383" t="str">
        <f t="shared" ref="S78:S141" si="7">IF($Q78="","",SUMIF($D$13:$D$1000,$Q78,K$13:K$1000))</f>
        <v/>
      </c>
      <c r="T78" s="384" t="str">
        <f t="shared" si="6"/>
        <v/>
      </c>
      <c r="U78" s="349"/>
      <c r="V78" s="385"/>
      <c r="W78" s="385"/>
      <c r="X78" s="386"/>
    </row>
    <row r="79" spans="1:24" ht="16.5" customHeight="1">
      <c r="A79" s="301"/>
      <c r="B79" s="387"/>
      <c r="C79" s="371"/>
      <c r="D79" s="372" t="str">
        <f>IFERROR(INDEX('[12]Equipment List'!$B$2:$B$2008,MATCH(E79,'[12]Equipment List'!$A$2:$A$2008,0)),"")</f>
        <v/>
      </c>
      <c r="E79" s="388"/>
      <c r="F79" s="374"/>
      <c r="G79" s="375"/>
      <c r="H79" s="397"/>
      <c r="I79" s="377"/>
      <c r="J79" s="378"/>
      <c r="K79" s="379"/>
      <c r="L79" s="387"/>
      <c r="M79" s="380" t="str">
        <f t="array" ref="M79">IF(L79="","",(MAX(IF(AN$15:AN$144=B79,AO$15:AO$144))/60))</f>
        <v/>
      </c>
      <c r="N79" s="387"/>
      <c r="O79" s="387"/>
      <c r="P79" s="381" t="str">
        <f t="shared" si="4"/>
        <v/>
      </c>
      <c r="Q79" s="382" t="str">
        <f t="array" ref="Q79">IFERROR(INDEX($D$13:$D$1000,MATCH(0,COUNTIF($Q$12:Q78,$D$13:$D$1000&amp;"")+IF($D$13:$D$1000="",1,0),0)),"")</f>
        <v/>
      </c>
      <c r="R79" s="356" t="str">
        <f t="shared" si="5"/>
        <v/>
      </c>
      <c r="S79" s="383" t="str">
        <f t="shared" si="7"/>
        <v/>
      </c>
      <c r="T79" s="384" t="str">
        <f t="shared" si="6"/>
        <v/>
      </c>
      <c r="U79" s="349"/>
      <c r="V79" s="385"/>
      <c r="W79" s="385"/>
      <c r="X79" s="386"/>
    </row>
    <row r="80" spans="1:24" ht="16.5" customHeight="1">
      <c r="A80" s="301"/>
      <c r="B80" s="395"/>
      <c r="C80" s="371"/>
      <c r="D80" s="372" t="str">
        <f>IFERROR(INDEX('[12]Equipment List'!$B$2:$B$2008,MATCH(E80,'[12]Equipment List'!$A$2:$A$2008,0)),"")</f>
        <v/>
      </c>
      <c r="E80" s="388"/>
      <c r="F80" s="374"/>
      <c r="G80" s="375"/>
      <c r="H80" s="397"/>
      <c r="I80" s="377"/>
      <c r="J80" s="378"/>
      <c r="K80" s="379"/>
      <c r="L80" s="387"/>
      <c r="M80" s="380" t="str">
        <f t="array" ref="M80">IF(L80="","",(MAX(IF(AN$15:AN$144=B80,AO$15:AO$144))/60))</f>
        <v/>
      </c>
      <c r="N80" s="387"/>
      <c r="O80" s="387"/>
      <c r="P80" s="381" t="str">
        <f t="shared" si="4"/>
        <v/>
      </c>
      <c r="Q80" s="382" t="str">
        <f t="array" ref="Q80">IFERROR(INDEX($D$13:$D$1000,MATCH(0,COUNTIF($Q$12:Q79,$D$13:$D$1000&amp;"")+IF($D$13:$D$1000="",1,0),0)),"")</f>
        <v/>
      </c>
      <c r="R80" s="356" t="str">
        <f t="shared" si="5"/>
        <v/>
      </c>
      <c r="S80" s="383" t="str">
        <f t="shared" si="7"/>
        <v/>
      </c>
      <c r="T80" s="384" t="str">
        <f t="shared" si="6"/>
        <v/>
      </c>
      <c r="U80" s="349"/>
      <c r="V80" s="385"/>
      <c r="W80" s="385"/>
      <c r="X80" s="386"/>
    </row>
    <row r="81" spans="1:24" ht="16.5" customHeight="1">
      <c r="A81" s="301"/>
      <c r="B81" s="387"/>
      <c r="C81" s="371"/>
      <c r="D81" s="372" t="str">
        <f>IFERROR(INDEX('[12]Equipment List'!$B$2:$B$2008,MATCH(E81,'[12]Equipment List'!$A$2:$A$2008,0)),"")</f>
        <v/>
      </c>
      <c r="E81" s="388"/>
      <c r="F81" s="374"/>
      <c r="G81" s="375"/>
      <c r="H81" s="397"/>
      <c r="I81" s="377"/>
      <c r="J81" s="378"/>
      <c r="K81" s="379"/>
      <c r="L81" s="387"/>
      <c r="M81" s="380" t="str">
        <f t="array" ref="M81">IF(L81="","",(MAX(IF(AN$15:AN$144=B81,AO$15:AO$144))/60))</f>
        <v/>
      </c>
      <c r="N81" s="387"/>
      <c r="O81" s="387"/>
      <c r="P81" s="381" t="str">
        <f t="shared" si="4"/>
        <v/>
      </c>
      <c r="Q81" s="382" t="str">
        <f t="array" ref="Q81">IFERROR(INDEX($D$13:$D$1000,MATCH(0,COUNTIF($Q$12:Q80,$D$13:$D$1000&amp;"")+IF($D$13:$D$1000="",1,0),0)),"")</f>
        <v/>
      </c>
      <c r="R81" s="356" t="str">
        <f t="shared" si="5"/>
        <v/>
      </c>
      <c r="S81" s="383" t="str">
        <f t="shared" si="7"/>
        <v/>
      </c>
      <c r="T81" s="384" t="str">
        <f t="shared" si="6"/>
        <v/>
      </c>
      <c r="U81" s="349"/>
      <c r="V81" s="385"/>
      <c r="W81" s="385"/>
      <c r="X81" s="386"/>
    </row>
    <row r="82" spans="1:24" ht="16.5" customHeight="1">
      <c r="A82" s="301"/>
      <c r="B82" s="395"/>
      <c r="C82" s="371"/>
      <c r="D82" s="372" t="str">
        <f>IFERROR(INDEX('[12]Equipment List'!$B$2:$B$2008,MATCH(E82,'[12]Equipment List'!$A$2:$A$2008,0)),"")</f>
        <v/>
      </c>
      <c r="E82" s="388"/>
      <c r="F82" s="374"/>
      <c r="G82" s="375"/>
      <c r="H82" s="397"/>
      <c r="I82" s="377"/>
      <c r="J82" s="378"/>
      <c r="K82" s="379"/>
      <c r="L82" s="387"/>
      <c r="M82" s="380" t="str">
        <f t="array" ref="M82">IF(L82="","",(MAX(IF(AN$15:AN$144=B82,AO$15:AO$144))/60))</f>
        <v/>
      </c>
      <c r="N82" s="387"/>
      <c r="O82" s="387"/>
      <c r="P82" s="381" t="str">
        <f t="shared" si="4"/>
        <v/>
      </c>
      <c r="Q82" s="382" t="str">
        <f t="array" ref="Q82">IFERROR(INDEX($D$13:$D$1000,MATCH(0,COUNTIF($Q$12:Q81,$D$13:$D$1000&amp;"")+IF($D$13:$D$1000="",1,0),0)),"")</f>
        <v/>
      </c>
      <c r="R82" s="356" t="str">
        <f t="shared" si="5"/>
        <v/>
      </c>
      <c r="S82" s="383" t="str">
        <f t="shared" si="7"/>
        <v/>
      </c>
      <c r="T82" s="384" t="str">
        <f t="shared" si="6"/>
        <v/>
      </c>
      <c r="U82" s="349"/>
      <c r="V82" s="385"/>
      <c r="W82" s="385"/>
      <c r="X82" s="386"/>
    </row>
    <row r="83" spans="1:24" ht="16.5" customHeight="1">
      <c r="A83" s="301"/>
      <c r="B83" s="387"/>
      <c r="C83" s="371"/>
      <c r="D83" s="372" t="str">
        <f>IFERROR(INDEX('[12]Equipment List'!$B$2:$B$2008,MATCH(E83,'[12]Equipment List'!$A$2:$A$2008,0)),"")</f>
        <v/>
      </c>
      <c r="E83" s="388"/>
      <c r="F83" s="374"/>
      <c r="G83" s="375"/>
      <c r="H83" s="397"/>
      <c r="I83" s="377"/>
      <c r="J83" s="378"/>
      <c r="K83" s="379"/>
      <c r="L83" s="387"/>
      <c r="M83" s="380" t="str">
        <f t="array" ref="M83">IF(L83="","",(MAX(IF(AN$15:AN$144=B83,AO$15:AO$144))/60))</f>
        <v/>
      </c>
      <c r="N83" s="387"/>
      <c r="O83" s="387"/>
      <c r="P83" s="381" t="str">
        <f t="shared" si="4"/>
        <v/>
      </c>
      <c r="Q83" s="382" t="str">
        <f t="array" ref="Q83">IFERROR(INDEX($D$13:$D$1000,MATCH(0,COUNTIF($Q$12:Q82,$D$13:$D$1000&amp;"")+IF($D$13:$D$1000="",1,0),0)),"")</f>
        <v/>
      </c>
      <c r="R83" s="356" t="str">
        <f t="shared" si="5"/>
        <v/>
      </c>
      <c r="S83" s="383" t="str">
        <f t="shared" si="7"/>
        <v/>
      </c>
      <c r="T83" s="384" t="str">
        <f t="shared" si="6"/>
        <v/>
      </c>
      <c r="U83" s="349"/>
      <c r="V83" s="385"/>
      <c r="W83" s="385"/>
      <c r="X83" s="386"/>
    </row>
    <row r="84" spans="1:24" ht="16.5" customHeight="1">
      <c r="A84" s="301"/>
      <c r="B84" s="395"/>
      <c r="C84" s="371"/>
      <c r="D84" s="372" t="str">
        <f>IFERROR(INDEX('[12]Equipment List'!$B$2:$B$2008,MATCH(E84,'[12]Equipment List'!$A$2:$A$2008,0)),"")</f>
        <v/>
      </c>
      <c r="E84" s="388"/>
      <c r="F84" s="374"/>
      <c r="G84" s="375"/>
      <c r="H84" s="397"/>
      <c r="I84" s="377"/>
      <c r="J84" s="378"/>
      <c r="K84" s="379"/>
      <c r="L84" s="387"/>
      <c r="M84" s="380" t="str">
        <f t="array" ref="M84">IF(L84="","",(MAX(IF(AN$15:AN$144=B84,AO$15:AO$144))/60))</f>
        <v/>
      </c>
      <c r="N84" s="387"/>
      <c r="O84" s="387"/>
      <c r="P84" s="381" t="str">
        <f t="shared" si="4"/>
        <v/>
      </c>
      <c r="Q84" s="382" t="str">
        <f t="array" ref="Q84">IFERROR(INDEX($D$13:$D$1000,MATCH(0,COUNTIF($Q$12:Q83,$D$13:$D$1000&amp;"")+IF($D$13:$D$1000="",1,0),0)),"")</f>
        <v/>
      </c>
      <c r="R84" s="356" t="str">
        <f t="shared" si="5"/>
        <v/>
      </c>
      <c r="S84" s="383" t="str">
        <f t="shared" si="7"/>
        <v/>
      </c>
      <c r="T84" s="384" t="str">
        <f t="shared" si="6"/>
        <v/>
      </c>
      <c r="U84" s="349"/>
      <c r="V84" s="385"/>
      <c r="W84" s="385"/>
      <c r="X84" s="386"/>
    </row>
    <row r="85" spans="1:24" ht="16.5" customHeight="1">
      <c r="A85" s="301"/>
      <c r="B85" s="387"/>
      <c r="C85" s="371"/>
      <c r="D85" s="372" t="str">
        <f>IFERROR(INDEX('[12]Equipment List'!$B$2:$B$2008,MATCH(E85,'[12]Equipment List'!$A$2:$A$2008,0)),"")</f>
        <v/>
      </c>
      <c r="E85" s="388"/>
      <c r="F85" s="374"/>
      <c r="G85" s="375"/>
      <c r="H85" s="397"/>
      <c r="I85" s="377"/>
      <c r="J85" s="378"/>
      <c r="K85" s="379"/>
      <c r="L85" s="387"/>
      <c r="M85" s="380" t="str">
        <f t="array" ref="M85">IF(L85="","",(MAX(IF(AN$15:AN$144=B85,AO$15:AO$144))/60))</f>
        <v/>
      </c>
      <c r="N85" s="387"/>
      <c r="O85" s="387"/>
      <c r="P85" s="381" t="str">
        <f t="shared" si="4"/>
        <v/>
      </c>
      <c r="Q85" s="382" t="str">
        <f t="array" ref="Q85">IFERROR(INDEX($D$13:$D$1000,MATCH(0,COUNTIF($Q$12:Q84,$D$13:$D$1000&amp;"")+IF($D$13:$D$1000="",1,0),0)),"")</f>
        <v/>
      </c>
      <c r="R85" s="356" t="str">
        <f t="shared" si="5"/>
        <v/>
      </c>
      <c r="S85" s="383" t="str">
        <f t="shared" si="7"/>
        <v/>
      </c>
      <c r="T85" s="384" t="str">
        <f t="shared" si="6"/>
        <v/>
      </c>
      <c r="U85" s="349"/>
      <c r="V85" s="385"/>
      <c r="W85" s="385"/>
      <c r="X85" s="386"/>
    </row>
    <row r="86" spans="1:24" ht="16.5" customHeight="1">
      <c r="A86" s="301"/>
      <c r="B86" s="395"/>
      <c r="C86" s="371"/>
      <c r="D86" s="372" t="str">
        <f>IFERROR(INDEX('[12]Equipment List'!$B$2:$B$2008,MATCH(E86,'[12]Equipment List'!$A$2:$A$2008,0)),"")</f>
        <v/>
      </c>
      <c r="E86" s="388"/>
      <c r="F86" s="374"/>
      <c r="G86" s="375"/>
      <c r="H86" s="397"/>
      <c r="I86" s="377"/>
      <c r="J86" s="378"/>
      <c r="K86" s="379"/>
      <c r="L86" s="387"/>
      <c r="M86" s="380" t="str">
        <f t="array" ref="M86">IF(L86="","",(MAX(IF(AN$15:AN$144=B86,AO$15:AO$144))/60))</f>
        <v/>
      </c>
      <c r="N86" s="387"/>
      <c r="O86" s="387"/>
      <c r="P86" s="381" t="str">
        <f t="shared" si="4"/>
        <v/>
      </c>
      <c r="Q86" s="382" t="str">
        <f t="array" ref="Q86">IFERROR(INDEX($D$13:$D$1000,MATCH(0,COUNTIF($Q$12:Q85,$D$13:$D$1000&amp;"")+IF($D$13:$D$1000="",1,0),0)),"")</f>
        <v/>
      </c>
      <c r="R86" s="356" t="str">
        <f t="shared" si="5"/>
        <v/>
      </c>
      <c r="S86" s="383" t="str">
        <f t="shared" si="7"/>
        <v/>
      </c>
      <c r="T86" s="384" t="str">
        <f t="shared" si="6"/>
        <v/>
      </c>
      <c r="U86" s="349"/>
      <c r="V86" s="385"/>
      <c r="W86" s="385"/>
      <c r="X86" s="386"/>
    </row>
    <row r="87" spans="1:24" ht="16.5" customHeight="1">
      <c r="A87" s="301"/>
      <c r="B87" s="387"/>
      <c r="C87" s="371"/>
      <c r="D87" s="372" t="str">
        <f>IFERROR(INDEX('[12]Equipment List'!$B$2:$B$2008,MATCH(E87,'[12]Equipment List'!$A$2:$A$2008,0)),"")</f>
        <v/>
      </c>
      <c r="E87" s="388"/>
      <c r="F87" s="374"/>
      <c r="G87" s="375"/>
      <c r="H87" s="397"/>
      <c r="I87" s="377"/>
      <c r="J87" s="378"/>
      <c r="K87" s="379"/>
      <c r="L87" s="387"/>
      <c r="M87" s="380" t="str">
        <f t="array" ref="M87">IF(L87="","",(MAX(IF(AN$15:AN$144=B87,AO$15:AO$144))/60))</f>
        <v/>
      </c>
      <c r="N87" s="387"/>
      <c r="O87" s="387"/>
      <c r="P87" s="381" t="str">
        <f t="shared" si="4"/>
        <v/>
      </c>
      <c r="Q87" s="382" t="str">
        <f t="array" ref="Q87">IFERROR(INDEX($D$13:$D$1000,MATCH(0,COUNTIF($Q$12:Q86,$D$13:$D$1000&amp;"")+IF($D$13:$D$1000="",1,0),0)),"")</f>
        <v/>
      </c>
      <c r="R87" s="356" t="str">
        <f t="shared" si="5"/>
        <v/>
      </c>
      <c r="S87" s="383" t="str">
        <f t="shared" si="7"/>
        <v/>
      </c>
      <c r="T87" s="384" t="str">
        <f t="shared" si="6"/>
        <v/>
      </c>
      <c r="U87" s="349"/>
      <c r="V87" s="385"/>
      <c r="W87" s="385"/>
      <c r="X87" s="386"/>
    </row>
    <row r="88" spans="1:24" ht="16.5" customHeight="1">
      <c r="A88" s="301"/>
      <c r="B88" s="395"/>
      <c r="C88" s="371"/>
      <c r="D88" s="372" t="str">
        <f>IFERROR(INDEX('[12]Equipment List'!$B$2:$B$2008,MATCH(E88,'[12]Equipment List'!$A$2:$A$2008,0)),"")</f>
        <v/>
      </c>
      <c r="E88" s="388"/>
      <c r="F88" s="374"/>
      <c r="G88" s="375"/>
      <c r="H88" s="397"/>
      <c r="I88" s="377"/>
      <c r="J88" s="378"/>
      <c r="K88" s="379"/>
      <c r="L88" s="387"/>
      <c r="M88" s="380" t="str">
        <f t="array" ref="M88">IF(L88="","",(MAX(IF(AN$15:AN$144=B88,AO$15:AO$144))/60))</f>
        <v/>
      </c>
      <c r="N88" s="387"/>
      <c r="O88" s="387"/>
      <c r="P88" s="381" t="str">
        <f t="shared" si="4"/>
        <v/>
      </c>
      <c r="Q88" s="382" t="str">
        <f t="array" ref="Q88">IFERROR(INDEX($D$13:$D$1000,MATCH(0,COUNTIF($Q$12:Q87,$D$13:$D$1000&amp;"")+IF($D$13:$D$1000="",1,0),0)),"")</f>
        <v/>
      </c>
      <c r="R88" s="356" t="str">
        <f t="shared" si="5"/>
        <v/>
      </c>
      <c r="S88" s="383" t="str">
        <f t="shared" si="7"/>
        <v/>
      </c>
      <c r="T88" s="384" t="str">
        <f t="shared" si="6"/>
        <v/>
      </c>
      <c r="U88" s="349"/>
      <c r="V88" s="385"/>
      <c r="W88" s="385"/>
      <c r="X88" s="386"/>
    </row>
    <row r="89" spans="1:24" ht="16.5" customHeight="1">
      <c r="A89" s="301"/>
      <c r="B89" s="387"/>
      <c r="C89" s="371"/>
      <c r="D89" s="372" t="str">
        <f>IFERROR(INDEX('[12]Equipment List'!$B$2:$B$2008,MATCH(E89,'[12]Equipment List'!$A$2:$A$2008,0)),"")</f>
        <v/>
      </c>
      <c r="E89" s="388"/>
      <c r="F89" s="374"/>
      <c r="G89" s="375"/>
      <c r="H89" s="397"/>
      <c r="I89" s="377"/>
      <c r="J89" s="378"/>
      <c r="K89" s="379"/>
      <c r="L89" s="387"/>
      <c r="M89" s="380" t="str">
        <f t="array" ref="M89">IF(L89="","",(MAX(IF(AN$15:AN$144=B89,AO$15:AO$144))/60))</f>
        <v/>
      </c>
      <c r="N89" s="387"/>
      <c r="O89" s="387"/>
      <c r="P89" s="381" t="str">
        <f t="shared" si="4"/>
        <v/>
      </c>
      <c r="Q89" s="382" t="str">
        <f t="array" ref="Q89">IFERROR(INDEX($D$13:$D$1000,MATCH(0,COUNTIF($Q$12:Q88,$D$13:$D$1000&amp;"")+IF($D$13:$D$1000="",1,0),0)),"")</f>
        <v/>
      </c>
      <c r="R89" s="356" t="str">
        <f t="shared" si="5"/>
        <v/>
      </c>
      <c r="S89" s="383" t="str">
        <f t="shared" si="7"/>
        <v/>
      </c>
      <c r="T89" s="384" t="str">
        <f t="shared" si="6"/>
        <v/>
      </c>
      <c r="U89" s="349"/>
      <c r="V89" s="385"/>
      <c r="W89" s="385"/>
      <c r="X89" s="386"/>
    </row>
    <row r="90" spans="1:24" ht="16.5" customHeight="1">
      <c r="A90" s="301"/>
      <c r="B90" s="395"/>
      <c r="C90" s="371"/>
      <c r="D90" s="372" t="str">
        <f>IFERROR(INDEX('[12]Equipment List'!$B$2:$B$2008,MATCH(E90,'[12]Equipment List'!$A$2:$A$2008,0)),"")</f>
        <v/>
      </c>
      <c r="E90" s="388"/>
      <c r="F90" s="374"/>
      <c r="G90" s="375"/>
      <c r="H90" s="397"/>
      <c r="I90" s="377"/>
      <c r="J90" s="378"/>
      <c r="K90" s="379"/>
      <c r="L90" s="387"/>
      <c r="M90" s="380" t="str">
        <f t="array" ref="M90">IF(L90="","",(MAX(IF(AN$15:AN$144=B90,AO$15:AO$144))/60))</f>
        <v/>
      </c>
      <c r="N90" s="387"/>
      <c r="O90" s="387"/>
      <c r="P90" s="381" t="str">
        <f t="shared" si="4"/>
        <v/>
      </c>
      <c r="Q90" s="382" t="str">
        <f t="array" ref="Q90">IFERROR(INDEX($D$13:$D$1000,MATCH(0,COUNTIF($Q$12:Q89,$D$13:$D$1000&amp;"")+IF($D$13:$D$1000="",1,0),0)),"")</f>
        <v/>
      </c>
      <c r="R90" s="356" t="str">
        <f t="shared" si="5"/>
        <v/>
      </c>
      <c r="S90" s="383" t="str">
        <f t="shared" si="7"/>
        <v/>
      </c>
      <c r="T90" s="384" t="str">
        <f t="shared" si="6"/>
        <v/>
      </c>
      <c r="U90" s="349"/>
      <c r="V90" s="385"/>
      <c r="W90" s="385"/>
      <c r="X90" s="386"/>
    </row>
    <row r="91" spans="1:24" ht="16.5" customHeight="1">
      <c r="A91" s="301"/>
      <c r="B91" s="387"/>
      <c r="C91" s="371"/>
      <c r="D91" s="372" t="str">
        <f>IFERROR(INDEX('[12]Equipment List'!$B$2:$B$2008,MATCH(E91,'[12]Equipment List'!$A$2:$A$2008,0)),"")</f>
        <v/>
      </c>
      <c r="E91" s="388"/>
      <c r="F91" s="374"/>
      <c r="G91" s="375"/>
      <c r="H91" s="397"/>
      <c r="I91" s="377"/>
      <c r="J91" s="378"/>
      <c r="K91" s="379"/>
      <c r="L91" s="387"/>
      <c r="M91" s="380" t="str">
        <f t="array" ref="M91">IF(L91="","",(MAX(IF(AN$15:AN$144=B91,AO$15:AO$144))/60))</f>
        <v/>
      </c>
      <c r="N91" s="387"/>
      <c r="O91" s="387"/>
      <c r="P91" s="381" t="str">
        <f t="shared" si="4"/>
        <v/>
      </c>
      <c r="Q91" s="382" t="str">
        <f t="array" ref="Q91">IFERROR(INDEX($D$13:$D$1000,MATCH(0,COUNTIF($Q$12:Q90,$D$13:$D$1000&amp;"")+IF($D$13:$D$1000="",1,0),0)),"")</f>
        <v/>
      </c>
      <c r="R91" s="356" t="str">
        <f t="shared" si="5"/>
        <v/>
      </c>
      <c r="S91" s="383" t="str">
        <f t="shared" si="7"/>
        <v/>
      </c>
      <c r="T91" s="384" t="str">
        <f t="shared" si="6"/>
        <v/>
      </c>
      <c r="U91" s="349"/>
      <c r="V91" s="385"/>
      <c r="W91" s="385"/>
      <c r="X91" s="386"/>
    </row>
    <row r="92" spans="1:24" ht="16.5" customHeight="1">
      <c r="A92" s="301"/>
      <c r="B92" s="395"/>
      <c r="C92" s="371"/>
      <c r="D92" s="372" t="str">
        <f>IFERROR(INDEX('[12]Equipment List'!$B$2:$B$2008,MATCH(E92,'[12]Equipment List'!$A$2:$A$2008,0)),"")</f>
        <v/>
      </c>
      <c r="E92" s="388"/>
      <c r="F92" s="374"/>
      <c r="G92" s="375"/>
      <c r="H92" s="397"/>
      <c r="I92" s="377"/>
      <c r="J92" s="378"/>
      <c r="K92" s="379"/>
      <c r="L92" s="387"/>
      <c r="M92" s="380" t="str">
        <f t="array" ref="M92">IF(L92="","",(MAX(IF(AN$15:AN$144=B92,AO$15:AO$144))/60))</f>
        <v/>
      </c>
      <c r="N92" s="387"/>
      <c r="O92" s="387"/>
      <c r="P92" s="381" t="str">
        <f t="shared" si="4"/>
        <v/>
      </c>
      <c r="Q92" s="382" t="str">
        <f t="array" ref="Q92">IFERROR(INDEX($D$13:$D$1000,MATCH(0,COUNTIF($Q$12:Q91,$D$13:$D$1000&amp;"")+IF($D$13:$D$1000="",1,0),0)),"")</f>
        <v/>
      </c>
      <c r="R92" s="356" t="str">
        <f t="shared" si="5"/>
        <v/>
      </c>
      <c r="S92" s="383" t="str">
        <f t="shared" si="7"/>
        <v/>
      </c>
      <c r="T92" s="384" t="str">
        <f t="shared" si="6"/>
        <v/>
      </c>
      <c r="U92" s="349"/>
      <c r="V92" s="385"/>
      <c r="W92" s="385"/>
      <c r="X92" s="386"/>
    </row>
    <row r="93" spans="1:24" ht="16.5" customHeight="1">
      <c r="A93" s="301"/>
      <c r="B93" s="387"/>
      <c r="C93" s="371"/>
      <c r="D93" s="372" t="str">
        <f>IFERROR(INDEX('[12]Equipment List'!$B$2:$B$2008,MATCH(E93,'[12]Equipment List'!$A$2:$A$2008,0)),"")</f>
        <v/>
      </c>
      <c r="E93" s="388"/>
      <c r="F93" s="374"/>
      <c r="G93" s="375"/>
      <c r="H93" s="397"/>
      <c r="I93" s="377"/>
      <c r="J93" s="378"/>
      <c r="K93" s="379"/>
      <c r="L93" s="387"/>
      <c r="M93" s="380" t="str">
        <f t="array" ref="M93">IF(L93="","",(MAX(IF(AN$15:AN$144=B93,AO$15:AO$144))/60))</f>
        <v/>
      </c>
      <c r="N93" s="387"/>
      <c r="O93" s="387"/>
      <c r="P93" s="381" t="str">
        <f t="shared" si="4"/>
        <v/>
      </c>
      <c r="Q93" s="382" t="str">
        <f t="array" ref="Q93">IFERROR(INDEX($D$13:$D$1000,MATCH(0,COUNTIF($Q$12:Q92,$D$13:$D$1000&amp;"")+IF($D$13:$D$1000="",1,0),0)),"")</f>
        <v/>
      </c>
      <c r="R93" s="356" t="str">
        <f t="shared" si="5"/>
        <v/>
      </c>
      <c r="S93" s="383" t="str">
        <f t="shared" si="7"/>
        <v/>
      </c>
      <c r="T93" s="384" t="str">
        <f t="shared" si="6"/>
        <v/>
      </c>
      <c r="U93" s="349"/>
      <c r="V93" s="385"/>
      <c r="W93" s="385"/>
      <c r="X93" s="386"/>
    </row>
    <row r="94" spans="1:24" ht="16.5" customHeight="1">
      <c r="A94" s="301"/>
      <c r="B94" s="395"/>
      <c r="C94" s="371"/>
      <c r="D94" s="372" t="str">
        <f>IFERROR(INDEX('[12]Equipment List'!$B$2:$B$2008,MATCH(E94,'[12]Equipment List'!$A$2:$A$2008,0)),"")</f>
        <v/>
      </c>
      <c r="E94" s="388"/>
      <c r="F94" s="374"/>
      <c r="G94" s="375"/>
      <c r="H94" s="397"/>
      <c r="I94" s="377"/>
      <c r="J94" s="378"/>
      <c r="K94" s="379"/>
      <c r="L94" s="387"/>
      <c r="M94" s="380" t="str">
        <f t="array" ref="M94">IF(L94="","",(MAX(IF(AN$15:AN$144=B94,AO$15:AO$144))/60))</f>
        <v/>
      </c>
      <c r="N94" s="387"/>
      <c r="O94" s="387"/>
      <c r="P94" s="381" t="str">
        <f t="shared" si="4"/>
        <v/>
      </c>
      <c r="Q94" s="382" t="str">
        <f t="array" ref="Q94">IFERROR(INDEX($D$13:$D$1000,MATCH(0,COUNTIF($Q$12:Q93,$D$13:$D$1000&amp;"")+IF($D$13:$D$1000="",1,0),0)),"")</f>
        <v/>
      </c>
      <c r="R94" s="356" t="str">
        <f t="shared" si="5"/>
        <v/>
      </c>
      <c r="S94" s="383" t="str">
        <f t="shared" si="7"/>
        <v/>
      </c>
      <c r="T94" s="384" t="str">
        <f t="shared" si="6"/>
        <v/>
      </c>
      <c r="U94" s="349"/>
      <c r="V94" s="385"/>
      <c r="W94" s="385"/>
      <c r="X94" s="386"/>
    </row>
    <row r="95" spans="1:24" ht="16.5" customHeight="1">
      <c r="A95" s="301"/>
      <c r="B95" s="387"/>
      <c r="C95" s="371"/>
      <c r="D95" s="372" t="str">
        <f>IFERROR(INDEX('[12]Equipment List'!$B$2:$B$2008,MATCH(E95,'[12]Equipment List'!$A$2:$A$2008,0)),"")</f>
        <v/>
      </c>
      <c r="E95" s="388"/>
      <c r="F95" s="374"/>
      <c r="G95" s="375"/>
      <c r="H95" s="397"/>
      <c r="I95" s="377"/>
      <c r="J95" s="378"/>
      <c r="K95" s="379"/>
      <c r="L95" s="387"/>
      <c r="M95" s="380" t="str">
        <f t="array" ref="M95">IF(L95="","",(MAX(IF(AN$15:AN$144=B95,AO$15:AO$144))/60))</f>
        <v/>
      </c>
      <c r="N95" s="387"/>
      <c r="O95" s="387"/>
      <c r="P95" s="381" t="str">
        <f t="shared" si="4"/>
        <v/>
      </c>
      <c r="Q95" s="382" t="str">
        <f t="array" ref="Q95">IFERROR(INDEX($D$13:$D$1000,MATCH(0,COUNTIF($Q$12:Q94,$D$13:$D$1000&amp;"")+IF($D$13:$D$1000="",1,0),0)),"")</f>
        <v/>
      </c>
      <c r="R95" s="356" t="str">
        <f t="shared" si="5"/>
        <v/>
      </c>
      <c r="S95" s="383" t="str">
        <f t="shared" si="7"/>
        <v/>
      </c>
      <c r="T95" s="384" t="str">
        <f t="shared" si="6"/>
        <v/>
      </c>
      <c r="U95" s="349"/>
      <c r="V95" s="385"/>
      <c r="W95" s="385"/>
      <c r="X95" s="386"/>
    </row>
    <row r="96" spans="1:24" ht="16.5" customHeight="1">
      <c r="A96" s="301"/>
      <c r="B96" s="387"/>
      <c r="C96" s="371"/>
      <c r="D96" s="372" t="str">
        <f>IFERROR(INDEX('[12]Equipment List'!$B$2:$B$2008,MATCH(E96,'[12]Equipment List'!$A$2:$A$2008,0)),"")</f>
        <v/>
      </c>
      <c r="E96" s="388"/>
      <c r="F96" s="374"/>
      <c r="G96" s="375"/>
      <c r="H96" s="397"/>
      <c r="I96" s="377"/>
      <c r="J96" s="378"/>
      <c r="K96" s="379"/>
      <c r="L96" s="387"/>
      <c r="M96" s="380" t="str">
        <f t="array" ref="M96">IF(L96="","",(MAX(IF(AN$15:AN$144=B96,AO$15:AO$144))/60))</f>
        <v/>
      </c>
      <c r="N96" s="387"/>
      <c r="O96" s="387"/>
      <c r="P96" s="381" t="str">
        <f t="shared" si="4"/>
        <v/>
      </c>
      <c r="Q96" s="382" t="str">
        <f t="array" ref="Q96">IFERROR(INDEX($D$13:$D$1000,MATCH(0,COUNTIF($Q$12:Q95,$D$13:$D$1000&amp;"")+IF($D$13:$D$1000="",1,0),0)),"")</f>
        <v/>
      </c>
      <c r="R96" s="356" t="str">
        <f t="shared" si="5"/>
        <v/>
      </c>
      <c r="S96" s="383" t="str">
        <f t="shared" si="7"/>
        <v/>
      </c>
      <c r="T96" s="384" t="str">
        <f t="shared" si="6"/>
        <v/>
      </c>
      <c r="U96" s="349"/>
      <c r="V96" s="385"/>
      <c r="W96" s="385"/>
      <c r="X96" s="386"/>
    </row>
    <row r="97" spans="1:24" ht="16.5" customHeight="1">
      <c r="A97" s="301"/>
      <c r="B97" s="387"/>
      <c r="C97" s="371"/>
      <c r="D97" s="372" t="str">
        <f>IFERROR(INDEX('[12]Equipment List'!$B$2:$B$2008,MATCH(E97,'[12]Equipment List'!$A$2:$A$2008,0)),"")</f>
        <v/>
      </c>
      <c r="E97" s="388"/>
      <c r="F97" s="374"/>
      <c r="G97" s="375"/>
      <c r="H97" s="397"/>
      <c r="I97" s="377"/>
      <c r="J97" s="378"/>
      <c r="K97" s="379"/>
      <c r="L97" s="387"/>
      <c r="M97" s="380" t="str">
        <f t="array" ref="M97">IF(L97="","",(MAX(IF(AN$15:AN$144=B97,AO$15:AO$144))/60))</f>
        <v/>
      </c>
      <c r="N97" s="387"/>
      <c r="O97" s="387"/>
      <c r="P97" s="381" t="str">
        <f t="shared" si="4"/>
        <v/>
      </c>
      <c r="Q97" s="382" t="str">
        <f t="array" ref="Q97">IFERROR(INDEX($D$13:$D$1000,MATCH(0,COUNTIF($Q$12:Q96,$D$13:$D$1000&amp;"")+IF($D$13:$D$1000="",1,0),0)),"")</f>
        <v/>
      </c>
      <c r="R97" s="356" t="str">
        <f t="shared" si="5"/>
        <v/>
      </c>
      <c r="S97" s="383" t="str">
        <f t="shared" si="7"/>
        <v/>
      </c>
      <c r="T97" s="384" t="str">
        <f t="shared" si="6"/>
        <v/>
      </c>
      <c r="U97" s="349"/>
      <c r="V97" s="385"/>
      <c r="W97" s="385"/>
      <c r="X97" s="386"/>
    </row>
    <row r="98" spans="1:24" ht="16.5" customHeight="1">
      <c r="A98" s="301"/>
      <c r="B98" s="395"/>
      <c r="C98" s="371"/>
      <c r="D98" s="372" t="str">
        <f>IFERROR(INDEX('[12]Equipment List'!$B$2:$B$2008,MATCH(E98,'[12]Equipment List'!$A$2:$A$2008,0)),"")</f>
        <v/>
      </c>
      <c r="E98" s="388"/>
      <c r="F98" s="374"/>
      <c r="G98" s="375"/>
      <c r="H98" s="397"/>
      <c r="I98" s="377"/>
      <c r="J98" s="378"/>
      <c r="K98" s="379"/>
      <c r="L98" s="387"/>
      <c r="M98" s="380" t="str">
        <f t="array" ref="M98">IF(L98="","",(MAX(IF(AN$15:AN$144=B98,AO$15:AO$144))/60))</f>
        <v/>
      </c>
      <c r="N98" s="387"/>
      <c r="O98" s="387"/>
      <c r="P98" s="381" t="str">
        <f t="shared" si="4"/>
        <v/>
      </c>
      <c r="Q98" s="382" t="str">
        <f t="array" ref="Q98">IFERROR(INDEX($D$13:$D$1000,MATCH(0,COUNTIF($Q$12:Q97,$D$13:$D$1000&amp;"")+IF($D$13:$D$1000="",1,0),0)),"")</f>
        <v/>
      </c>
      <c r="R98" s="356" t="str">
        <f t="shared" si="5"/>
        <v/>
      </c>
      <c r="S98" s="383" t="str">
        <f t="shared" si="7"/>
        <v/>
      </c>
      <c r="T98" s="384" t="str">
        <f t="shared" si="6"/>
        <v/>
      </c>
      <c r="U98" s="349"/>
      <c r="V98" s="385"/>
      <c r="W98" s="385"/>
      <c r="X98" s="386"/>
    </row>
    <row r="99" spans="1:24" ht="16.5" customHeight="1">
      <c r="A99" s="301"/>
      <c r="B99" s="387"/>
      <c r="C99" s="371"/>
      <c r="D99" s="372" t="str">
        <f>IFERROR(INDEX('[12]Equipment List'!$B$2:$B$2008,MATCH(E99,'[12]Equipment List'!$A$2:$A$2008,0)),"")</f>
        <v/>
      </c>
      <c r="E99" s="388"/>
      <c r="F99" s="374"/>
      <c r="G99" s="375"/>
      <c r="H99" s="397"/>
      <c r="I99" s="377"/>
      <c r="J99" s="378"/>
      <c r="K99" s="379"/>
      <c r="L99" s="387"/>
      <c r="M99" s="380" t="str">
        <f t="array" ref="M99">IF(L99="","",(MAX(IF(AN$15:AN$144=B99,AO$15:AO$144))/60))</f>
        <v/>
      </c>
      <c r="N99" s="387"/>
      <c r="O99" s="387"/>
      <c r="P99" s="381" t="str">
        <f t="shared" si="4"/>
        <v/>
      </c>
      <c r="Q99" s="382" t="str">
        <f t="array" ref="Q99">IFERROR(INDEX($D$13:$D$1000,MATCH(0,COUNTIF($Q$12:Q98,$D$13:$D$1000&amp;"")+IF($D$13:$D$1000="",1,0),0)),"")</f>
        <v/>
      </c>
      <c r="R99" s="356" t="str">
        <f t="shared" si="5"/>
        <v/>
      </c>
      <c r="S99" s="383" t="str">
        <f t="shared" si="7"/>
        <v/>
      </c>
      <c r="T99" s="384" t="str">
        <f t="shared" si="6"/>
        <v/>
      </c>
      <c r="U99" s="349"/>
      <c r="V99" s="385"/>
      <c r="W99" s="385"/>
      <c r="X99" s="386"/>
    </row>
    <row r="100" spans="1:24" ht="16.5" customHeight="1">
      <c r="A100" s="301"/>
      <c r="B100" s="395"/>
      <c r="C100" s="371"/>
      <c r="D100" s="372" t="str">
        <f>IFERROR(INDEX('[12]Equipment List'!$B$2:$B$2008,MATCH(E100,'[12]Equipment List'!$A$2:$A$2008,0)),"")</f>
        <v/>
      </c>
      <c r="E100" s="388"/>
      <c r="F100" s="374"/>
      <c r="G100" s="375"/>
      <c r="H100" s="397"/>
      <c r="I100" s="377"/>
      <c r="J100" s="378"/>
      <c r="K100" s="379"/>
      <c r="L100" s="387"/>
      <c r="M100" s="380" t="str">
        <f t="array" ref="M100">IF(L100="","",(MAX(IF(AN$15:AN$144=B100,AO$15:AO$144))/60))</f>
        <v/>
      </c>
      <c r="N100" s="387"/>
      <c r="O100" s="387"/>
      <c r="P100" s="381" t="str">
        <f t="shared" si="4"/>
        <v/>
      </c>
      <c r="Q100" s="382" t="str">
        <f t="array" ref="Q100">IFERROR(INDEX($D$13:$D$1000,MATCH(0,COUNTIF($Q$12:Q99,$D$13:$D$1000&amp;"")+IF($D$13:$D$1000="",1,0),0)),"")</f>
        <v/>
      </c>
      <c r="R100" s="356" t="str">
        <f t="shared" si="5"/>
        <v/>
      </c>
      <c r="S100" s="383" t="str">
        <f t="shared" si="7"/>
        <v/>
      </c>
      <c r="T100" s="384" t="str">
        <f t="shared" si="6"/>
        <v/>
      </c>
      <c r="U100" s="349"/>
      <c r="V100" s="385"/>
      <c r="W100" s="385"/>
      <c r="X100" s="386"/>
    </row>
    <row r="101" spans="1:24" ht="16.5" customHeight="1">
      <c r="A101" s="301"/>
      <c r="B101" s="387"/>
      <c r="C101" s="371"/>
      <c r="D101" s="372" t="str">
        <f>IFERROR(INDEX('[12]Equipment List'!$B$2:$B$2008,MATCH(E101,'[12]Equipment List'!$A$2:$A$2008,0)),"")</f>
        <v/>
      </c>
      <c r="E101" s="388"/>
      <c r="F101" s="374"/>
      <c r="G101" s="375"/>
      <c r="H101" s="397"/>
      <c r="I101" s="377"/>
      <c r="J101" s="378"/>
      <c r="K101" s="379"/>
      <c r="L101" s="387"/>
      <c r="M101" s="380" t="str">
        <f t="array" ref="M101">IF(L101="","",(MAX(IF(AN$15:AN$144=B101,AO$15:AO$144))/60))</f>
        <v/>
      </c>
      <c r="N101" s="387"/>
      <c r="O101" s="387"/>
      <c r="P101" s="381" t="str">
        <f t="shared" si="4"/>
        <v/>
      </c>
      <c r="Q101" s="382" t="str">
        <f t="array" ref="Q101">IFERROR(INDEX($D$13:$D$1000,MATCH(0,COUNTIF($Q$12:Q100,$D$13:$D$1000&amp;"")+IF($D$13:$D$1000="",1,0),0)),"")</f>
        <v/>
      </c>
      <c r="R101" s="356" t="str">
        <f t="shared" si="5"/>
        <v/>
      </c>
      <c r="S101" s="383" t="str">
        <f t="shared" si="7"/>
        <v/>
      </c>
      <c r="T101" s="384" t="str">
        <f t="shared" si="6"/>
        <v/>
      </c>
      <c r="U101" s="349"/>
      <c r="V101" s="385"/>
      <c r="W101" s="385"/>
      <c r="X101" s="386"/>
    </row>
    <row r="102" spans="1:24" ht="16.5" customHeight="1">
      <c r="A102" s="301"/>
      <c r="B102" s="395"/>
      <c r="C102" s="371"/>
      <c r="D102" s="372" t="str">
        <f>IFERROR(INDEX('[12]Equipment List'!$B$2:$B$2008,MATCH(E102,'[12]Equipment List'!$A$2:$A$2008,0)),"")</f>
        <v/>
      </c>
      <c r="E102" s="388"/>
      <c r="F102" s="374"/>
      <c r="G102" s="375"/>
      <c r="H102" s="397"/>
      <c r="I102" s="377"/>
      <c r="J102" s="378"/>
      <c r="K102" s="379"/>
      <c r="L102" s="387"/>
      <c r="M102" s="380" t="str">
        <f t="array" ref="M102">IF(L102="","",(MAX(IF(AN$15:AN$144=B102,AO$15:AO$144))/60))</f>
        <v/>
      </c>
      <c r="N102" s="387"/>
      <c r="O102" s="387"/>
      <c r="P102" s="381" t="str">
        <f t="shared" si="4"/>
        <v/>
      </c>
      <c r="Q102" s="382" t="str">
        <f t="array" ref="Q102">IFERROR(INDEX($D$13:$D$1000,MATCH(0,COUNTIF($Q$12:Q101,$D$13:$D$1000&amp;"")+IF($D$13:$D$1000="",1,0),0)),"")</f>
        <v/>
      </c>
      <c r="R102" s="356" t="str">
        <f t="shared" si="5"/>
        <v/>
      </c>
      <c r="S102" s="383" t="str">
        <f t="shared" si="7"/>
        <v/>
      </c>
      <c r="T102" s="384" t="str">
        <f t="shared" si="6"/>
        <v/>
      </c>
      <c r="U102" s="349"/>
      <c r="V102" s="385"/>
      <c r="W102" s="385"/>
      <c r="X102" s="386"/>
    </row>
    <row r="103" spans="1:24" ht="16.5" customHeight="1">
      <c r="A103" s="301"/>
      <c r="B103" s="395"/>
      <c r="C103" s="371"/>
      <c r="D103" s="372" t="str">
        <f>IFERROR(INDEX('[12]Equipment List'!$B$2:$B$2038,MATCH(E103,'[12]Equipment List'!$A$2:$A$2038,0)),"")</f>
        <v/>
      </c>
      <c r="E103" s="388"/>
      <c r="F103" s="374"/>
      <c r="G103" s="375"/>
      <c r="H103" s="397"/>
      <c r="I103" s="377"/>
      <c r="J103" s="378"/>
      <c r="K103" s="379"/>
      <c r="L103" s="387"/>
      <c r="M103" s="380" t="str">
        <f t="array" ref="M103">IF(L103="","",(MAX(IF(AN$15:AN$144=B103,AO$15:AO$144))/60))</f>
        <v/>
      </c>
      <c r="N103" s="387"/>
      <c r="O103" s="387"/>
      <c r="P103" s="381" t="str">
        <f t="shared" si="4"/>
        <v/>
      </c>
      <c r="Q103" s="382" t="str">
        <f t="array" ref="Q103">IFERROR(INDEX($D$13:$D$1000,MATCH(0,COUNTIF($Q$12:Q102,$D$13:$D$1000&amp;"")+IF($D$13:$D$1000="",1,0),0)),"")</f>
        <v/>
      </c>
      <c r="R103" s="356" t="str">
        <f t="shared" si="5"/>
        <v/>
      </c>
      <c r="S103" s="383" t="str">
        <f t="shared" si="7"/>
        <v/>
      </c>
      <c r="T103" s="384" t="str">
        <f t="shared" si="6"/>
        <v/>
      </c>
      <c r="U103" s="349"/>
      <c r="V103" s="385"/>
      <c r="W103" s="385"/>
      <c r="X103" s="386"/>
    </row>
    <row r="104" spans="1:24" ht="16.5" customHeight="1">
      <c r="A104" s="301"/>
      <c r="B104" s="395"/>
      <c r="C104" s="371"/>
      <c r="D104" s="372" t="str">
        <f>IFERROR(INDEX('[12]Equipment List'!$B$2:$B$2038,MATCH(E104,'[12]Equipment List'!$A$2:$A$2038,0)),"")</f>
        <v/>
      </c>
      <c r="E104" s="388"/>
      <c r="F104" s="374"/>
      <c r="G104" s="375"/>
      <c r="H104" s="397"/>
      <c r="I104" s="377"/>
      <c r="J104" s="378"/>
      <c r="K104" s="379"/>
      <c r="L104" s="387"/>
      <c r="M104" s="380" t="str">
        <f t="array" ref="M104">IF(L104="","",(MAX(IF(AN$15:AN$144=B104,AO$15:AO$144))/60))</f>
        <v/>
      </c>
      <c r="N104" s="387"/>
      <c r="O104" s="387"/>
      <c r="P104" s="381" t="str">
        <f t="shared" si="4"/>
        <v/>
      </c>
      <c r="Q104" s="382" t="str">
        <f t="array" ref="Q104">IFERROR(INDEX($D$13:$D$1000,MATCH(0,COUNTIF($Q$12:Q103,$D$13:$D$1000&amp;"")+IF($D$13:$D$1000="",1,0),0)),"")</f>
        <v/>
      </c>
      <c r="R104" s="356" t="str">
        <f t="shared" si="5"/>
        <v/>
      </c>
      <c r="S104" s="383" t="str">
        <f t="shared" si="7"/>
        <v/>
      </c>
      <c r="T104" s="384" t="str">
        <f t="shared" si="6"/>
        <v/>
      </c>
      <c r="U104" s="349"/>
      <c r="V104" s="385"/>
      <c r="W104" s="385"/>
      <c r="X104" s="386"/>
    </row>
    <row r="105" spans="1:24" ht="16.5" customHeight="1">
      <c r="A105" s="301"/>
      <c r="B105" s="387"/>
      <c r="C105" s="371"/>
      <c r="D105" s="372" t="str">
        <f>IFERROR(INDEX('[12]Equipment List'!$B$2:$B$2038,MATCH(E105,'[12]Equipment List'!$A$2:$A$2038,0)),"")</f>
        <v/>
      </c>
      <c r="E105" s="388"/>
      <c r="F105" s="374"/>
      <c r="G105" s="375"/>
      <c r="H105" s="397"/>
      <c r="I105" s="377"/>
      <c r="J105" s="378"/>
      <c r="K105" s="379"/>
      <c r="L105" s="387"/>
      <c r="M105" s="380" t="str">
        <f t="array" ref="M105">IF(L105="","",(MAX(IF(AN$15:AN$144=B105,AO$15:AO$144))/60))</f>
        <v/>
      </c>
      <c r="N105" s="387"/>
      <c r="O105" s="387"/>
      <c r="P105" s="381" t="str">
        <f t="shared" si="4"/>
        <v/>
      </c>
      <c r="Q105" s="382" t="str">
        <f t="array" ref="Q105">IFERROR(INDEX($D$13:$D$1000,MATCH(0,COUNTIF($Q$12:Q104,$D$13:$D$1000&amp;"")+IF($D$13:$D$1000="",1,0),0)),"")</f>
        <v/>
      </c>
      <c r="R105" s="356" t="str">
        <f t="shared" si="5"/>
        <v/>
      </c>
      <c r="S105" s="383" t="str">
        <f t="shared" si="7"/>
        <v/>
      </c>
      <c r="T105" s="384" t="str">
        <f t="shared" si="6"/>
        <v/>
      </c>
      <c r="U105" s="349"/>
      <c r="V105" s="385"/>
      <c r="W105" s="385"/>
      <c r="X105" s="386"/>
    </row>
    <row r="106" spans="1:24" ht="16.5" customHeight="1">
      <c r="A106" s="301"/>
      <c r="B106" s="395"/>
      <c r="C106" s="371"/>
      <c r="D106" s="372" t="str">
        <f>IFERROR(INDEX('[12]Equipment List'!$B$2:$B$2038,MATCH(E106,'[12]Equipment List'!$A$2:$A$2038,0)),"")</f>
        <v/>
      </c>
      <c r="E106" s="388"/>
      <c r="F106" s="374"/>
      <c r="G106" s="375"/>
      <c r="H106" s="397"/>
      <c r="I106" s="377"/>
      <c r="J106" s="378"/>
      <c r="K106" s="379"/>
      <c r="L106" s="387"/>
      <c r="M106" s="380" t="str">
        <f t="array" ref="M106">IF(L106="","",(MAX(IF(AN$15:AN$144=B106,AO$15:AO$144))/60))</f>
        <v/>
      </c>
      <c r="N106" s="387"/>
      <c r="O106" s="387"/>
      <c r="P106" s="381" t="str">
        <f t="shared" si="4"/>
        <v/>
      </c>
      <c r="Q106" s="382" t="str">
        <f t="array" ref="Q106">IFERROR(INDEX($D$13:$D$1000,MATCH(0,COUNTIF($Q$12:Q105,$D$13:$D$1000&amp;"")+IF($D$13:$D$1000="",1,0),0)),"")</f>
        <v/>
      </c>
      <c r="R106" s="356" t="str">
        <f t="shared" si="5"/>
        <v/>
      </c>
      <c r="S106" s="383" t="str">
        <f t="shared" si="7"/>
        <v/>
      </c>
      <c r="T106" s="384" t="str">
        <f t="shared" si="6"/>
        <v/>
      </c>
      <c r="U106" s="349"/>
      <c r="V106" s="385"/>
      <c r="W106" s="385"/>
      <c r="X106" s="386"/>
    </row>
    <row r="107" spans="1:24" ht="16.5" customHeight="1">
      <c r="A107" s="301"/>
      <c r="B107" s="387"/>
      <c r="C107" s="371"/>
      <c r="D107" s="372" t="str">
        <f>IFERROR(INDEX('[12]Equipment List'!$B$2:$B$2038,MATCH(E107,'[12]Equipment List'!$A$2:$A$2038,0)),"")</f>
        <v/>
      </c>
      <c r="E107" s="388"/>
      <c r="F107" s="374"/>
      <c r="G107" s="375"/>
      <c r="H107" s="397"/>
      <c r="I107" s="377"/>
      <c r="J107" s="378"/>
      <c r="K107" s="379"/>
      <c r="L107" s="387"/>
      <c r="M107" s="380" t="str">
        <f t="array" ref="M107">IF(L107="","",(MAX(IF(AN$15:AN$144=B107,AO$15:AO$144))/60))</f>
        <v/>
      </c>
      <c r="N107" s="387"/>
      <c r="O107" s="387"/>
      <c r="P107" s="381" t="str">
        <f t="shared" si="4"/>
        <v/>
      </c>
      <c r="Q107" s="382" t="str">
        <f t="array" ref="Q107">IFERROR(INDEX($D$13:$D$1000,MATCH(0,COUNTIF($Q$12:Q106,$D$13:$D$1000&amp;"")+IF($D$13:$D$1000="",1,0),0)),"")</f>
        <v/>
      </c>
      <c r="R107" s="356" t="str">
        <f t="shared" si="5"/>
        <v/>
      </c>
      <c r="S107" s="383" t="str">
        <f t="shared" si="7"/>
        <v/>
      </c>
      <c r="T107" s="384" t="str">
        <f t="shared" si="6"/>
        <v/>
      </c>
      <c r="U107" s="349"/>
      <c r="V107" s="385"/>
      <c r="W107" s="385"/>
      <c r="X107" s="386"/>
    </row>
    <row r="108" spans="1:24" ht="16.5" customHeight="1">
      <c r="A108" s="301"/>
      <c r="B108" s="395"/>
      <c r="C108" s="371"/>
      <c r="D108" s="372" t="str">
        <f>IFERROR(INDEX('[12]Equipment List'!$B$2:$B$2038,MATCH(E108,'[12]Equipment List'!$A$2:$A$2038,0)),"")</f>
        <v/>
      </c>
      <c r="E108" s="388"/>
      <c r="F108" s="374"/>
      <c r="G108" s="375"/>
      <c r="H108" s="397"/>
      <c r="I108" s="377"/>
      <c r="J108" s="378"/>
      <c r="K108" s="379"/>
      <c r="L108" s="387"/>
      <c r="M108" s="380" t="str">
        <f t="array" ref="M108">IF(L108="","",(MAX(IF(AN$15:AN$144=B108,AO$15:AO$144))/60))</f>
        <v/>
      </c>
      <c r="N108" s="387"/>
      <c r="O108" s="387"/>
      <c r="P108" s="381" t="str">
        <f t="shared" si="4"/>
        <v/>
      </c>
      <c r="Q108" s="382" t="str">
        <f t="array" ref="Q108">IFERROR(INDEX($D$13:$D$1000,MATCH(0,COUNTIF($Q$12:Q107,$D$13:$D$1000&amp;"")+IF($D$13:$D$1000="",1,0),0)),"")</f>
        <v/>
      </c>
      <c r="R108" s="356" t="str">
        <f t="shared" si="5"/>
        <v/>
      </c>
      <c r="S108" s="383" t="str">
        <f t="shared" si="7"/>
        <v/>
      </c>
      <c r="T108" s="384" t="str">
        <f t="shared" si="6"/>
        <v/>
      </c>
      <c r="U108" s="349"/>
      <c r="V108" s="385"/>
      <c r="W108" s="385"/>
      <c r="X108" s="386"/>
    </row>
    <row r="109" spans="1:24" ht="16.5" customHeight="1">
      <c r="A109" s="301"/>
      <c r="B109" s="387"/>
      <c r="C109" s="371"/>
      <c r="D109" s="372" t="str">
        <f>IFERROR(INDEX('[12]Equipment List'!$B$2:$B$2038,MATCH(E109,'[12]Equipment List'!$A$2:$A$2038,0)),"")</f>
        <v/>
      </c>
      <c r="E109" s="388"/>
      <c r="F109" s="374"/>
      <c r="G109" s="375"/>
      <c r="H109" s="397"/>
      <c r="I109" s="377"/>
      <c r="J109" s="378"/>
      <c r="K109" s="379"/>
      <c r="L109" s="387"/>
      <c r="M109" s="380" t="str">
        <f t="array" ref="M109">IF(L109="","",(MAX(IF(AN$15:AN$144=B109,AO$15:AO$144))/60))</f>
        <v/>
      </c>
      <c r="N109" s="387"/>
      <c r="O109" s="387"/>
      <c r="P109" s="381" t="str">
        <f t="shared" si="4"/>
        <v/>
      </c>
      <c r="Q109" s="382" t="str">
        <f t="array" ref="Q109">IFERROR(INDEX($D$13:$D$1000,MATCH(0,COUNTIF($Q$12:Q108,$D$13:$D$1000&amp;"")+IF($D$13:$D$1000="",1,0),0)),"")</f>
        <v/>
      </c>
      <c r="R109" s="356" t="str">
        <f t="shared" si="5"/>
        <v/>
      </c>
      <c r="S109" s="383" t="str">
        <f t="shared" si="7"/>
        <v/>
      </c>
      <c r="T109" s="384" t="str">
        <f t="shared" si="6"/>
        <v/>
      </c>
      <c r="U109" s="349"/>
      <c r="V109" s="385"/>
      <c r="W109" s="385"/>
      <c r="X109" s="386"/>
    </row>
    <row r="110" spans="1:24" ht="16.5" customHeight="1">
      <c r="A110" s="301"/>
      <c r="B110" s="395"/>
      <c r="C110" s="371"/>
      <c r="D110" s="372" t="str">
        <f>IFERROR(INDEX('[12]Equipment List'!$B$2:$B$2038,MATCH(E110,'[12]Equipment List'!$A$2:$A$2038,0)),"")</f>
        <v/>
      </c>
      <c r="E110" s="388"/>
      <c r="F110" s="374"/>
      <c r="G110" s="375"/>
      <c r="H110" s="397"/>
      <c r="I110" s="377"/>
      <c r="J110" s="378"/>
      <c r="K110" s="379"/>
      <c r="L110" s="387"/>
      <c r="M110" s="380" t="str">
        <f t="array" ref="M110">IF(L110="","",(MAX(IF(AN$15:AN$144=B110,AO$15:AO$144))/60))</f>
        <v/>
      </c>
      <c r="N110" s="387"/>
      <c r="O110" s="387"/>
      <c r="P110" s="381" t="str">
        <f t="shared" si="4"/>
        <v/>
      </c>
      <c r="Q110" s="382" t="str">
        <f t="array" ref="Q110">IFERROR(INDEX($D$13:$D$1000,MATCH(0,COUNTIF($Q$12:Q109,$D$13:$D$1000&amp;"")+IF($D$13:$D$1000="",1,0),0)),"")</f>
        <v/>
      </c>
      <c r="R110" s="356" t="str">
        <f t="shared" si="5"/>
        <v/>
      </c>
      <c r="S110" s="383" t="str">
        <f t="shared" si="7"/>
        <v/>
      </c>
      <c r="T110" s="384" t="str">
        <f t="shared" si="6"/>
        <v/>
      </c>
      <c r="U110" s="349"/>
      <c r="V110" s="385"/>
      <c r="W110" s="385"/>
      <c r="X110" s="386"/>
    </row>
    <row r="111" spans="1:24" ht="16.5" customHeight="1">
      <c r="A111" s="301"/>
      <c r="B111" s="387"/>
      <c r="C111" s="371"/>
      <c r="D111" s="372" t="str">
        <f>IFERROR(INDEX('[12]Equipment List'!$B$2:$B$2038,MATCH(E111,'[12]Equipment List'!$A$2:$A$2038,0)),"")</f>
        <v/>
      </c>
      <c r="E111" s="388"/>
      <c r="F111" s="374"/>
      <c r="G111" s="375"/>
      <c r="H111" s="397"/>
      <c r="I111" s="377"/>
      <c r="J111" s="378"/>
      <c r="K111" s="379"/>
      <c r="L111" s="387"/>
      <c r="M111" s="380" t="str">
        <f t="array" ref="M111">IF(L111="","",(MAX(IF(AN$15:AN$144=B111,AO$15:AO$144))/60))</f>
        <v/>
      </c>
      <c r="N111" s="387"/>
      <c r="O111" s="387"/>
      <c r="P111" s="381" t="str">
        <f t="shared" si="4"/>
        <v/>
      </c>
      <c r="Q111" s="382" t="str">
        <f t="array" ref="Q111">IFERROR(INDEX($D$13:$D$1000,MATCH(0,COUNTIF($Q$12:Q110,$D$13:$D$1000&amp;"")+IF($D$13:$D$1000="",1,0),0)),"")</f>
        <v/>
      </c>
      <c r="R111" s="356" t="str">
        <f t="shared" si="5"/>
        <v/>
      </c>
      <c r="S111" s="383" t="str">
        <f t="shared" si="7"/>
        <v/>
      </c>
      <c r="T111" s="384" t="str">
        <f t="shared" si="6"/>
        <v/>
      </c>
      <c r="U111" s="349"/>
      <c r="V111" s="385"/>
      <c r="W111" s="385"/>
      <c r="X111" s="386"/>
    </row>
    <row r="112" spans="1:24" ht="16.5" customHeight="1">
      <c r="A112" s="301"/>
      <c r="B112" s="395"/>
      <c r="C112" s="371"/>
      <c r="D112" s="372" t="str">
        <f>IFERROR(INDEX('[12]Equipment List'!$B$2:$B$2038,MATCH(E112,'[12]Equipment List'!$A$2:$A$2038,0)),"")</f>
        <v/>
      </c>
      <c r="E112" s="388"/>
      <c r="F112" s="374"/>
      <c r="G112" s="375"/>
      <c r="H112" s="397"/>
      <c r="I112" s="377"/>
      <c r="J112" s="378"/>
      <c r="K112" s="379"/>
      <c r="L112" s="387"/>
      <c r="M112" s="380" t="str">
        <f t="array" ref="M112">IF(L112="","",(MAX(IF(AN$15:AN$144=B112,AO$15:AO$144))/60))</f>
        <v/>
      </c>
      <c r="N112" s="387"/>
      <c r="O112" s="387"/>
      <c r="P112" s="381" t="str">
        <f t="shared" si="4"/>
        <v/>
      </c>
      <c r="Q112" s="382" t="str">
        <f t="array" ref="Q112">IFERROR(INDEX($D$13:$D$1000,MATCH(0,COUNTIF($Q$12:Q111,$D$13:$D$1000&amp;"")+IF($D$13:$D$1000="",1,0),0)),"")</f>
        <v/>
      </c>
      <c r="R112" s="356" t="str">
        <f t="shared" si="5"/>
        <v/>
      </c>
      <c r="S112" s="383" t="str">
        <f t="shared" si="7"/>
        <v/>
      </c>
      <c r="T112" s="384" t="str">
        <f t="shared" si="6"/>
        <v/>
      </c>
      <c r="U112" s="349"/>
      <c r="V112" s="385"/>
      <c r="W112" s="385"/>
      <c r="X112" s="386"/>
    </row>
    <row r="113" spans="1:24" ht="16.5" customHeight="1">
      <c r="A113" s="301"/>
      <c r="B113" s="387"/>
      <c r="C113" s="371"/>
      <c r="D113" s="372" t="str">
        <f>IFERROR(INDEX('[12]Equipment List'!$B$2:$B$2038,MATCH(E113,'[12]Equipment List'!$A$2:$A$2038,0)),"")</f>
        <v/>
      </c>
      <c r="E113" s="388"/>
      <c r="F113" s="374"/>
      <c r="G113" s="375"/>
      <c r="H113" s="397"/>
      <c r="I113" s="377"/>
      <c r="J113" s="378"/>
      <c r="K113" s="379"/>
      <c r="L113" s="387"/>
      <c r="M113" s="380" t="str">
        <f t="array" ref="M113">IF(L113="","",(MAX(IF(AN$15:AN$144=B113,AO$15:AO$144))/60))</f>
        <v/>
      </c>
      <c r="N113" s="387"/>
      <c r="O113" s="387"/>
      <c r="P113" s="381" t="str">
        <f t="shared" si="4"/>
        <v/>
      </c>
      <c r="Q113" s="382" t="str">
        <f t="array" ref="Q113">IFERROR(INDEX($D$13:$D$1000,MATCH(0,COUNTIF($Q$12:Q112,$D$13:$D$1000&amp;"")+IF($D$13:$D$1000="",1,0),0)),"")</f>
        <v/>
      </c>
      <c r="R113" s="356" t="str">
        <f t="shared" si="5"/>
        <v/>
      </c>
      <c r="S113" s="383" t="str">
        <f t="shared" si="7"/>
        <v/>
      </c>
      <c r="T113" s="384" t="str">
        <f t="shared" si="6"/>
        <v/>
      </c>
      <c r="U113" s="349"/>
      <c r="V113" s="385"/>
      <c r="W113" s="385"/>
      <c r="X113" s="386"/>
    </row>
    <row r="114" spans="1:24" ht="16.5" customHeight="1">
      <c r="A114" s="301"/>
      <c r="B114" s="395"/>
      <c r="C114" s="371"/>
      <c r="D114" s="372" t="str">
        <f>IFERROR(INDEX('[12]Equipment List'!$B$2:$B$2038,MATCH(E114,'[12]Equipment List'!$A$2:$A$2038,0)),"")</f>
        <v/>
      </c>
      <c r="E114" s="388"/>
      <c r="F114" s="374"/>
      <c r="G114" s="375"/>
      <c r="H114" s="397"/>
      <c r="I114" s="377"/>
      <c r="J114" s="378"/>
      <c r="K114" s="379"/>
      <c r="L114" s="387"/>
      <c r="M114" s="380" t="str">
        <f t="array" ref="M114">IF(L114="","",(MAX(IF(AN$15:AN$144=B114,AO$15:AO$144))/60))</f>
        <v/>
      </c>
      <c r="N114" s="387"/>
      <c r="O114" s="387"/>
      <c r="P114" s="381" t="str">
        <f t="shared" si="4"/>
        <v/>
      </c>
      <c r="Q114" s="382" t="str">
        <f t="array" ref="Q114">IFERROR(INDEX($D$13:$D$1000,MATCH(0,COUNTIF($Q$12:Q113,$D$13:$D$1000&amp;"")+IF($D$13:$D$1000="",1,0),0)),"")</f>
        <v/>
      </c>
      <c r="R114" s="356" t="str">
        <f t="shared" si="5"/>
        <v/>
      </c>
      <c r="S114" s="383" t="str">
        <f t="shared" si="7"/>
        <v/>
      </c>
      <c r="T114" s="384" t="str">
        <f t="shared" si="6"/>
        <v/>
      </c>
      <c r="U114" s="349"/>
      <c r="V114" s="385"/>
      <c r="W114" s="385"/>
      <c r="X114" s="386"/>
    </row>
    <row r="115" spans="1:24" ht="16.5" customHeight="1">
      <c r="A115" s="301"/>
      <c r="B115" s="387"/>
      <c r="C115" s="371"/>
      <c r="D115" s="372" t="str">
        <f>IFERROR(INDEX('[12]Equipment List'!$B$2:$B$2038,MATCH(E115,'[12]Equipment List'!$A$2:$A$2038,0)),"")</f>
        <v/>
      </c>
      <c r="E115" s="388"/>
      <c r="F115" s="374"/>
      <c r="G115" s="375"/>
      <c r="H115" s="397"/>
      <c r="I115" s="377"/>
      <c r="J115" s="378"/>
      <c r="K115" s="379"/>
      <c r="L115" s="387"/>
      <c r="M115" s="380" t="str">
        <f t="array" ref="M115">IF(L115="","",(MAX(IF(AN$15:AN$144=B115,AO$15:AO$144))/60))</f>
        <v/>
      </c>
      <c r="N115" s="387"/>
      <c r="O115" s="387"/>
      <c r="P115" s="381" t="str">
        <f t="shared" si="4"/>
        <v/>
      </c>
      <c r="Q115" s="382" t="str">
        <f t="array" ref="Q115">IFERROR(INDEX($D$13:$D$1000,MATCH(0,COUNTIF($Q$12:Q114,$D$13:$D$1000&amp;"")+IF($D$13:$D$1000="",1,0),0)),"")</f>
        <v/>
      </c>
      <c r="R115" s="356" t="str">
        <f t="shared" si="5"/>
        <v/>
      </c>
      <c r="S115" s="383" t="str">
        <f t="shared" si="7"/>
        <v/>
      </c>
      <c r="T115" s="384" t="str">
        <f t="shared" si="6"/>
        <v/>
      </c>
      <c r="U115" s="349"/>
      <c r="V115" s="385"/>
      <c r="W115" s="385"/>
      <c r="X115" s="386"/>
    </row>
    <row r="116" spans="1:24" ht="16.5" customHeight="1">
      <c r="A116" s="301"/>
      <c r="B116" s="395"/>
      <c r="C116" s="371"/>
      <c r="D116" s="372" t="str">
        <f>IFERROR(INDEX('[12]Equipment List'!$B$2:$B$2038,MATCH(E116,'[12]Equipment List'!$A$2:$A$2038,0)),"")</f>
        <v/>
      </c>
      <c r="E116" s="388"/>
      <c r="F116" s="374"/>
      <c r="G116" s="375"/>
      <c r="H116" s="397"/>
      <c r="I116" s="377"/>
      <c r="J116" s="378"/>
      <c r="K116" s="379"/>
      <c r="L116" s="387"/>
      <c r="M116" s="380" t="str">
        <f t="array" ref="M116">IF(L116="","",(MAX(IF(AN$15:AN$144=B116,AO$15:AO$144))/60))</f>
        <v/>
      </c>
      <c r="N116" s="387"/>
      <c r="O116" s="387"/>
      <c r="P116" s="381" t="str">
        <f t="shared" si="4"/>
        <v/>
      </c>
      <c r="Q116" s="382" t="str">
        <f t="array" ref="Q116">IFERROR(INDEX($D$13:$D$1000,MATCH(0,COUNTIF($Q$12:Q115,$D$13:$D$1000&amp;"")+IF($D$13:$D$1000="",1,0),0)),"")</f>
        <v/>
      </c>
      <c r="R116" s="356" t="str">
        <f t="shared" si="5"/>
        <v/>
      </c>
      <c r="S116" s="383" t="str">
        <f t="shared" si="7"/>
        <v/>
      </c>
      <c r="T116" s="384" t="str">
        <f t="shared" si="6"/>
        <v/>
      </c>
      <c r="U116" s="349"/>
      <c r="V116" s="385"/>
      <c r="W116" s="385"/>
      <c r="X116" s="386"/>
    </row>
    <row r="117" spans="1:24" ht="16.5" customHeight="1">
      <c r="A117" s="301"/>
      <c r="B117" s="387"/>
      <c r="C117" s="371"/>
      <c r="D117" s="372" t="str">
        <f>IFERROR(INDEX('[12]Equipment List'!$B$2:$B$2038,MATCH(E117,'[12]Equipment List'!$A$2:$A$2038,0)),"")</f>
        <v/>
      </c>
      <c r="E117" s="388"/>
      <c r="F117" s="374"/>
      <c r="G117" s="375"/>
      <c r="H117" s="397"/>
      <c r="I117" s="377"/>
      <c r="J117" s="378"/>
      <c r="K117" s="379"/>
      <c r="L117" s="387"/>
      <c r="M117" s="380" t="str">
        <f t="array" ref="M117">IF(L117="","",(MAX(IF(AN$15:AN$144=B117,AO$15:AO$144))/60))</f>
        <v/>
      </c>
      <c r="N117" s="387"/>
      <c r="O117" s="387"/>
      <c r="P117" s="381" t="str">
        <f t="shared" si="4"/>
        <v/>
      </c>
      <c r="Q117" s="382" t="str">
        <f t="array" ref="Q117">IFERROR(INDEX($D$13:$D$1000,MATCH(0,COUNTIF($Q$12:Q116,$D$13:$D$1000&amp;"")+IF($D$13:$D$1000="",1,0),0)),"")</f>
        <v/>
      </c>
      <c r="R117" s="356" t="str">
        <f t="shared" si="5"/>
        <v/>
      </c>
      <c r="S117" s="383" t="str">
        <f t="shared" si="7"/>
        <v/>
      </c>
      <c r="T117" s="384" t="str">
        <f t="shared" si="6"/>
        <v/>
      </c>
      <c r="U117" s="349"/>
      <c r="V117" s="385"/>
      <c r="W117" s="385"/>
      <c r="X117" s="386"/>
    </row>
    <row r="118" spans="1:24" ht="16.5" customHeight="1">
      <c r="A118" s="301"/>
      <c r="B118" s="395"/>
      <c r="C118" s="371"/>
      <c r="D118" s="372" t="str">
        <f>IFERROR(INDEX('[12]Equipment List'!$B$2:$B$2038,MATCH(E118,'[12]Equipment List'!$A$2:$A$2038,0)),"")</f>
        <v/>
      </c>
      <c r="E118" s="388"/>
      <c r="F118" s="374"/>
      <c r="G118" s="375"/>
      <c r="H118" s="397"/>
      <c r="I118" s="377"/>
      <c r="J118" s="378"/>
      <c r="K118" s="379"/>
      <c r="L118" s="387"/>
      <c r="M118" s="380" t="str">
        <f t="array" ref="M118">IF(L118="","",(MAX(IF(AN$15:AN$144=B118,AO$15:AO$144))/60))</f>
        <v/>
      </c>
      <c r="N118" s="387"/>
      <c r="O118" s="387"/>
      <c r="P118" s="381" t="str">
        <f t="shared" si="4"/>
        <v/>
      </c>
      <c r="Q118" s="382" t="str">
        <f t="array" ref="Q118">IFERROR(INDEX($D$13:$D$1000,MATCH(0,COUNTIF($Q$12:Q117,$D$13:$D$1000&amp;"")+IF($D$13:$D$1000="",1,0),0)),"")</f>
        <v/>
      </c>
      <c r="R118" s="356" t="str">
        <f t="shared" si="5"/>
        <v/>
      </c>
      <c r="S118" s="383" t="str">
        <f t="shared" si="7"/>
        <v/>
      </c>
      <c r="T118" s="384" t="str">
        <f t="shared" si="6"/>
        <v/>
      </c>
      <c r="U118" s="349"/>
      <c r="V118" s="385"/>
      <c r="W118" s="385"/>
      <c r="X118" s="386"/>
    </row>
    <row r="119" spans="1:24" ht="16.5" customHeight="1">
      <c r="A119" s="301"/>
      <c r="B119" s="387"/>
      <c r="C119" s="371"/>
      <c r="D119" s="372" t="str">
        <f>IFERROR(INDEX('[12]Equipment List'!$B$2:$B$2038,MATCH(E119,'[12]Equipment List'!$A$2:$A$2038,0)),"")</f>
        <v/>
      </c>
      <c r="E119" s="388"/>
      <c r="F119" s="374"/>
      <c r="G119" s="375"/>
      <c r="H119" s="397"/>
      <c r="I119" s="377"/>
      <c r="J119" s="378"/>
      <c r="K119" s="379"/>
      <c r="L119" s="387"/>
      <c r="M119" s="380" t="str">
        <f t="array" ref="M119">IF(L119="","",(MAX(IF(AN$15:AN$144=B119,AO$15:AO$144))/60))</f>
        <v/>
      </c>
      <c r="N119" s="387"/>
      <c r="O119" s="387"/>
      <c r="P119" s="381" t="str">
        <f t="shared" si="4"/>
        <v/>
      </c>
      <c r="Q119" s="382" t="str">
        <f t="array" ref="Q119">IFERROR(INDEX($D$13:$D$1000,MATCH(0,COUNTIF($Q$12:Q118,$D$13:$D$1000&amp;"")+IF($D$13:$D$1000="",1,0),0)),"")</f>
        <v/>
      </c>
      <c r="R119" s="356" t="str">
        <f t="shared" si="5"/>
        <v/>
      </c>
      <c r="S119" s="383" t="str">
        <f t="shared" si="7"/>
        <v/>
      </c>
      <c r="T119" s="384" t="str">
        <f t="shared" si="6"/>
        <v/>
      </c>
      <c r="U119" s="349"/>
      <c r="V119" s="385"/>
      <c r="W119" s="385"/>
      <c r="X119" s="386"/>
    </row>
    <row r="120" spans="1:24" ht="16.5" customHeight="1">
      <c r="A120" s="301"/>
      <c r="B120" s="395"/>
      <c r="C120" s="371"/>
      <c r="D120" s="372" t="str">
        <f>IFERROR(INDEX('[12]Equipment List'!$B$2:$B$2038,MATCH(E120,'[12]Equipment List'!$A$2:$A$2038,0)),"")</f>
        <v/>
      </c>
      <c r="E120" s="388"/>
      <c r="F120" s="374"/>
      <c r="G120" s="375"/>
      <c r="H120" s="397"/>
      <c r="I120" s="377"/>
      <c r="J120" s="378"/>
      <c r="K120" s="379"/>
      <c r="L120" s="387"/>
      <c r="M120" s="380" t="str">
        <f t="array" ref="M120">IF(L120="","",(MAX(IF(AN$15:AN$144=B120,AO$15:AO$144))/60))</f>
        <v/>
      </c>
      <c r="N120" s="387"/>
      <c r="O120" s="387"/>
      <c r="P120" s="381" t="str">
        <f t="shared" si="4"/>
        <v/>
      </c>
      <c r="Q120" s="382" t="str">
        <f t="array" ref="Q120">IFERROR(INDEX($D$13:$D$1000,MATCH(0,COUNTIF($Q$12:Q119,$D$13:$D$1000&amp;"")+IF($D$13:$D$1000="",1,0),0)),"")</f>
        <v/>
      </c>
      <c r="R120" s="356" t="str">
        <f t="shared" si="5"/>
        <v/>
      </c>
      <c r="S120" s="383" t="str">
        <f t="shared" si="7"/>
        <v/>
      </c>
      <c r="T120" s="384" t="str">
        <f t="shared" si="6"/>
        <v/>
      </c>
      <c r="U120" s="349"/>
      <c r="V120" s="385"/>
      <c r="W120" s="385"/>
      <c r="X120" s="386"/>
    </row>
    <row r="121" spans="1:24" ht="16.5" customHeight="1">
      <c r="A121" s="301"/>
      <c r="B121" s="387"/>
      <c r="C121" s="371"/>
      <c r="D121" s="372" t="str">
        <f>IFERROR(INDEX('[12]Equipment List'!$B$2:$B$2038,MATCH(E121,'[12]Equipment List'!$A$2:$A$2038,0)),"")</f>
        <v/>
      </c>
      <c r="E121" s="388"/>
      <c r="F121" s="374"/>
      <c r="G121" s="375"/>
      <c r="H121" s="397"/>
      <c r="I121" s="377"/>
      <c r="J121" s="378"/>
      <c r="K121" s="379"/>
      <c r="L121" s="387"/>
      <c r="M121" s="380" t="str">
        <f t="array" ref="M121">IF(L121="","",(MAX(IF(AN$15:AN$144=B121,AO$15:AO$144))/60))</f>
        <v/>
      </c>
      <c r="N121" s="387"/>
      <c r="O121" s="387"/>
      <c r="P121" s="381" t="str">
        <f t="shared" si="4"/>
        <v/>
      </c>
      <c r="Q121" s="382" t="str">
        <f t="array" ref="Q121">IFERROR(INDEX($D$13:$D$1000,MATCH(0,COUNTIF($Q$12:Q120,$D$13:$D$1000&amp;"")+IF($D$13:$D$1000="",1,0),0)),"")</f>
        <v/>
      </c>
      <c r="R121" s="356" t="str">
        <f t="shared" si="5"/>
        <v/>
      </c>
      <c r="S121" s="383" t="str">
        <f t="shared" si="7"/>
        <v/>
      </c>
      <c r="T121" s="384" t="str">
        <f t="shared" si="6"/>
        <v/>
      </c>
      <c r="U121" s="349"/>
      <c r="V121" s="385"/>
      <c r="W121" s="385"/>
      <c r="X121" s="386"/>
    </row>
    <row r="122" spans="1:24" ht="16.5" customHeight="1">
      <c r="A122" s="301"/>
      <c r="B122" s="395"/>
      <c r="C122" s="371"/>
      <c r="D122" s="372" t="str">
        <f>IFERROR(INDEX('[12]Equipment List'!$B$2:$B$2038,MATCH(E122,'[12]Equipment List'!$A$2:$A$2038,0)),"")</f>
        <v/>
      </c>
      <c r="E122" s="388"/>
      <c r="F122" s="374"/>
      <c r="G122" s="375"/>
      <c r="H122" s="397"/>
      <c r="I122" s="377"/>
      <c r="J122" s="378"/>
      <c r="K122" s="379"/>
      <c r="L122" s="387"/>
      <c r="M122" s="380" t="str">
        <f t="array" ref="M122">IF(L122="","",(MAX(IF(AN$15:AN$144=B122,AO$15:AO$144))/60))</f>
        <v/>
      </c>
      <c r="N122" s="387"/>
      <c r="O122" s="387"/>
      <c r="P122" s="381" t="str">
        <f t="shared" si="4"/>
        <v/>
      </c>
      <c r="Q122" s="382" t="str">
        <f t="array" ref="Q122">IFERROR(INDEX($D$13:$D$1000,MATCH(0,COUNTIF($Q$12:Q121,$D$13:$D$1000&amp;"")+IF($D$13:$D$1000="",1,0),0)),"")</f>
        <v/>
      </c>
      <c r="R122" s="356" t="str">
        <f t="shared" si="5"/>
        <v/>
      </c>
      <c r="S122" s="383" t="str">
        <f t="shared" si="7"/>
        <v/>
      </c>
      <c r="T122" s="384" t="str">
        <f t="shared" si="6"/>
        <v/>
      </c>
      <c r="U122" s="349"/>
      <c r="V122" s="385"/>
      <c r="W122" s="385"/>
      <c r="X122" s="386"/>
    </row>
    <row r="123" spans="1:24" ht="16.5" customHeight="1">
      <c r="A123" s="301"/>
      <c r="B123" s="387"/>
      <c r="C123" s="371"/>
      <c r="D123" s="372" t="str">
        <f>IFERROR(INDEX('[12]Equipment List'!$B$2:$B$2038,MATCH(E123,'[12]Equipment List'!$A$2:$A$2038,0)),"")</f>
        <v/>
      </c>
      <c r="E123" s="388"/>
      <c r="F123" s="374"/>
      <c r="G123" s="375"/>
      <c r="H123" s="397"/>
      <c r="I123" s="377"/>
      <c r="J123" s="378"/>
      <c r="K123" s="379"/>
      <c r="L123" s="387"/>
      <c r="M123" s="380" t="str">
        <f t="array" ref="M123">IF(L123="","",(MAX(IF(AN$15:AN$144=B123,AO$15:AO$144))/60))</f>
        <v/>
      </c>
      <c r="N123" s="387"/>
      <c r="O123" s="387"/>
      <c r="P123" s="381" t="str">
        <f t="shared" si="4"/>
        <v/>
      </c>
      <c r="Q123" s="382" t="str">
        <f t="array" ref="Q123">IFERROR(INDEX($D$13:$D$1000,MATCH(0,COUNTIF($Q$12:Q122,$D$13:$D$1000&amp;"")+IF($D$13:$D$1000="",1,0),0)),"")</f>
        <v/>
      </c>
      <c r="R123" s="356" t="str">
        <f t="shared" si="5"/>
        <v/>
      </c>
      <c r="S123" s="383" t="str">
        <f t="shared" si="7"/>
        <v/>
      </c>
      <c r="T123" s="384" t="str">
        <f t="shared" si="6"/>
        <v/>
      </c>
      <c r="U123" s="349"/>
      <c r="V123" s="385"/>
      <c r="W123" s="385"/>
      <c r="X123" s="386"/>
    </row>
    <row r="124" spans="1:24" ht="16.5" customHeight="1">
      <c r="A124" s="301"/>
      <c r="B124" s="395"/>
      <c r="C124" s="371"/>
      <c r="D124" s="372" t="str">
        <f>IFERROR(INDEX('[12]Equipment List'!$B$2:$B$2038,MATCH(E124,'[12]Equipment List'!$A$2:$A$2038,0)),"")</f>
        <v/>
      </c>
      <c r="E124" s="388"/>
      <c r="F124" s="374"/>
      <c r="G124" s="375"/>
      <c r="H124" s="397"/>
      <c r="I124" s="377"/>
      <c r="J124" s="378"/>
      <c r="K124" s="379"/>
      <c r="L124" s="387"/>
      <c r="M124" s="380" t="str">
        <f t="array" ref="M124">IF(L124="","",(MAX(IF(AN$15:AN$144=B124,AO$15:AO$144))/60))</f>
        <v/>
      </c>
      <c r="N124" s="387"/>
      <c r="O124" s="387"/>
      <c r="P124" s="381" t="str">
        <f t="shared" si="4"/>
        <v/>
      </c>
      <c r="Q124" s="382" t="str">
        <f t="array" ref="Q124">IFERROR(INDEX($D$13:$D$1000,MATCH(0,COUNTIF($Q$12:Q123,$D$13:$D$1000&amp;"")+IF($D$13:$D$1000="",1,0),0)),"")</f>
        <v/>
      </c>
      <c r="R124" s="356" t="str">
        <f t="shared" si="5"/>
        <v/>
      </c>
      <c r="S124" s="383" t="str">
        <f t="shared" si="7"/>
        <v/>
      </c>
      <c r="T124" s="384" t="str">
        <f t="shared" si="6"/>
        <v/>
      </c>
      <c r="U124" s="349"/>
      <c r="V124" s="385"/>
      <c r="W124" s="385"/>
      <c r="X124" s="386"/>
    </row>
    <row r="125" spans="1:24" ht="16.5" customHeight="1">
      <c r="A125" s="301"/>
      <c r="B125" s="387"/>
      <c r="C125" s="371"/>
      <c r="D125" s="372" t="str">
        <f>IFERROR(INDEX('[12]Equipment List'!$B$2:$B$2038,MATCH(E125,'[12]Equipment List'!$A$2:$A$2038,0)),"")</f>
        <v/>
      </c>
      <c r="E125" s="388"/>
      <c r="F125" s="374"/>
      <c r="G125" s="375"/>
      <c r="H125" s="397"/>
      <c r="I125" s="377"/>
      <c r="J125" s="378"/>
      <c r="K125" s="379"/>
      <c r="L125" s="387"/>
      <c r="M125" s="380" t="str">
        <f t="array" ref="M125">IF(L125="","",(MAX(IF(AN$15:AN$144=B125,AO$15:AO$144))/60))</f>
        <v/>
      </c>
      <c r="N125" s="387"/>
      <c r="O125" s="387"/>
      <c r="P125" s="381" t="str">
        <f t="shared" si="4"/>
        <v/>
      </c>
      <c r="Q125" s="382" t="str">
        <f t="array" ref="Q125">IFERROR(INDEX($D$13:$D$1000,MATCH(0,COUNTIF($Q$12:Q124,$D$13:$D$1000&amp;"")+IF($D$13:$D$1000="",1,0),0)),"")</f>
        <v/>
      </c>
      <c r="R125" s="356" t="str">
        <f t="shared" si="5"/>
        <v/>
      </c>
      <c r="S125" s="383" t="str">
        <f t="shared" si="7"/>
        <v/>
      </c>
      <c r="T125" s="384" t="str">
        <f t="shared" si="6"/>
        <v/>
      </c>
      <c r="U125" s="349"/>
      <c r="V125" s="385"/>
      <c r="W125" s="385"/>
      <c r="X125" s="386"/>
    </row>
    <row r="126" spans="1:24" ht="16.5" customHeight="1">
      <c r="A126" s="301"/>
      <c r="B126" s="395"/>
      <c r="C126" s="371"/>
      <c r="D126" s="372" t="str">
        <f>IFERROR(INDEX('[12]Equipment List'!$B$2:$B$2038,MATCH(E126,'[12]Equipment List'!$A$2:$A$2038,0)),"")</f>
        <v/>
      </c>
      <c r="E126" s="388"/>
      <c r="F126" s="374"/>
      <c r="G126" s="375"/>
      <c r="H126" s="397"/>
      <c r="I126" s="377"/>
      <c r="J126" s="378"/>
      <c r="K126" s="379"/>
      <c r="L126" s="387"/>
      <c r="M126" s="380" t="str">
        <f t="array" ref="M126">IF(L126="","",(MAX(IF(AN$15:AN$144=B126,AO$15:AO$144))/60))</f>
        <v/>
      </c>
      <c r="N126" s="387"/>
      <c r="O126" s="387"/>
      <c r="P126" s="381" t="str">
        <f t="shared" si="4"/>
        <v/>
      </c>
      <c r="Q126" s="382" t="str">
        <f t="array" ref="Q126">IFERROR(INDEX($D$13:$D$1000,MATCH(0,COUNTIF($Q$12:Q125,$D$13:$D$1000&amp;"")+IF($D$13:$D$1000="",1,0),0)),"")</f>
        <v/>
      </c>
      <c r="R126" s="356" t="str">
        <f t="shared" si="5"/>
        <v/>
      </c>
      <c r="S126" s="383" t="str">
        <f t="shared" si="7"/>
        <v/>
      </c>
      <c r="T126" s="384" t="str">
        <f t="shared" si="6"/>
        <v/>
      </c>
      <c r="U126" s="349"/>
      <c r="V126" s="385"/>
      <c r="W126" s="385"/>
      <c r="X126" s="386"/>
    </row>
    <row r="127" spans="1:24" ht="16.5" customHeight="1">
      <c r="A127" s="301"/>
      <c r="B127" s="387"/>
      <c r="C127" s="371"/>
      <c r="D127" s="372" t="str">
        <f>IFERROR(INDEX('[12]Equipment List'!$B$2:$B$2038,MATCH(E127,'[12]Equipment List'!$A$2:$A$2038,0)),"")</f>
        <v/>
      </c>
      <c r="E127" s="388"/>
      <c r="F127" s="374"/>
      <c r="G127" s="375"/>
      <c r="H127" s="397"/>
      <c r="I127" s="377"/>
      <c r="J127" s="378"/>
      <c r="K127" s="379"/>
      <c r="L127" s="387"/>
      <c r="M127" s="380" t="str">
        <f t="array" ref="M127">IF(L127="","",(MAX(IF(AN$15:AN$144=B127,AO$15:AO$144))/60))</f>
        <v/>
      </c>
      <c r="N127" s="387"/>
      <c r="O127" s="387"/>
      <c r="P127" s="381" t="str">
        <f t="shared" si="4"/>
        <v/>
      </c>
      <c r="Q127" s="382" t="str">
        <f t="array" ref="Q127">IFERROR(INDEX($D$13:$D$1000,MATCH(0,COUNTIF($Q$12:Q126,$D$13:$D$1000&amp;"")+IF($D$13:$D$1000="",1,0),0)),"")</f>
        <v/>
      </c>
      <c r="R127" s="356" t="str">
        <f t="shared" si="5"/>
        <v/>
      </c>
      <c r="S127" s="383" t="str">
        <f t="shared" si="7"/>
        <v/>
      </c>
      <c r="T127" s="384" t="str">
        <f t="shared" si="6"/>
        <v/>
      </c>
      <c r="U127" s="349"/>
      <c r="V127" s="385"/>
      <c r="W127" s="385"/>
      <c r="X127" s="386"/>
    </row>
    <row r="128" spans="1:24" ht="16.5" customHeight="1">
      <c r="A128" s="301"/>
      <c r="B128" s="395"/>
      <c r="C128" s="371"/>
      <c r="D128" s="372" t="str">
        <f>IFERROR(INDEX('[12]Equipment List'!$B$2:$B$2038,MATCH(E128,'[12]Equipment List'!$A$2:$A$2038,0)),"")</f>
        <v/>
      </c>
      <c r="E128" s="388"/>
      <c r="F128" s="374"/>
      <c r="G128" s="375"/>
      <c r="H128" s="397"/>
      <c r="I128" s="377"/>
      <c r="J128" s="378"/>
      <c r="K128" s="379"/>
      <c r="L128" s="387"/>
      <c r="M128" s="380" t="str">
        <f t="array" ref="M128">IF(L128="","",(MAX(IF(AN$15:AN$144=B128,AO$15:AO$144))/60))</f>
        <v/>
      </c>
      <c r="N128" s="387"/>
      <c r="O128" s="387"/>
      <c r="P128" s="381" t="str">
        <f t="shared" si="4"/>
        <v/>
      </c>
      <c r="Q128" s="382" t="str">
        <f t="array" ref="Q128">IFERROR(INDEX($D$13:$D$1000,MATCH(0,COUNTIF($Q$12:Q127,$D$13:$D$1000&amp;"")+IF($D$13:$D$1000="",1,0),0)),"")</f>
        <v/>
      </c>
      <c r="R128" s="356" t="str">
        <f t="shared" si="5"/>
        <v/>
      </c>
      <c r="S128" s="383" t="str">
        <f t="shared" si="7"/>
        <v/>
      </c>
      <c r="T128" s="384" t="str">
        <f t="shared" si="6"/>
        <v/>
      </c>
      <c r="U128" s="349"/>
      <c r="V128" s="385"/>
      <c r="W128" s="385"/>
      <c r="X128" s="386"/>
    </row>
    <row r="129" spans="1:24" ht="16.5" customHeight="1">
      <c r="A129" s="301"/>
      <c r="B129" s="387"/>
      <c r="C129" s="371"/>
      <c r="D129" s="372" t="str">
        <f>IFERROR(INDEX('[12]Equipment List'!$B$2:$B$2038,MATCH(E129,'[12]Equipment List'!$A$2:$A$2038,0)),"")</f>
        <v/>
      </c>
      <c r="E129" s="388"/>
      <c r="F129" s="374"/>
      <c r="G129" s="375"/>
      <c r="H129" s="397"/>
      <c r="I129" s="377"/>
      <c r="J129" s="378"/>
      <c r="K129" s="379"/>
      <c r="L129" s="387"/>
      <c r="M129" s="380" t="str">
        <f t="array" ref="M129">IF(L129="","",(MAX(IF(AN$15:AN$144=B129,AO$15:AO$144))/60))</f>
        <v/>
      </c>
      <c r="N129" s="387"/>
      <c r="O129" s="387"/>
      <c r="P129" s="381" t="str">
        <f t="shared" si="4"/>
        <v/>
      </c>
      <c r="Q129" s="382" t="str">
        <f t="array" ref="Q129">IFERROR(INDEX($D$13:$D$1000,MATCH(0,COUNTIF($Q$12:Q128,$D$13:$D$1000&amp;"")+IF($D$13:$D$1000="",1,0),0)),"")</f>
        <v/>
      </c>
      <c r="R129" s="356" t="str">
        <f t="shared" si="5"/>
        <v/>
      </c>
      <c r="S129" s="383" t="str">
        <f t="shared" si="7"/>
        <v/>
      </c>
      <c r="T129" s="384" t="str">
        <f t="shared" si="6"/>
        <v/>
      </c>
      <c r="U129" s="349"/>
      <c r="V129" s="385"/>
      <c r="W129" s="385"/>
      <c r="X129" s="386"/>
    </row>
    <row r="130" spans="1:24" ht="16.5" customHeight="1">
      <c r="A130" s="301"/>
      <c r="B130" s="395"/>
      <c r="C130" s="371"/>
      <c r="D130" s="372" t="str">
        <f>IFERROR(INDEX('[12]Equipment List'!$B$2:$B$2038,MATCH(E130,'[12]Equipment List'!$A$2:$A$2038,0)),"")</f>
        <v/>
      </c>
      <c r="E130" s="388"/>
      <c r="F130" s="374"/>
      <c r="G130" s="375"/>
      <c r="H130" s="397"/>
      <c r="I130" s="377"/>
      <c r="J130" s="378"/>
      <c r="K130" s="379"/>
      <c r="L130" s="387"/>
      <c r="M130" s="380" t="str">
        <f t="array" ref="M130">IF(L130="","",(MAX(IF(AN$15:AN$144=B130,AO$15:AO$144))/60))</f>
        <v/>
      </c>
      <c r="N130" s="387"/>
      <c r="O130" s="387"/>
      <c r="P130" s="381" t="str">
        <f t="shared" si="4"/>
        <v/>
      </c>
      <c r="Q130" s="382" t="str">
        <f t="array" ref="Q130">IFERROR(INDEX($D$13:$D$1000,MATCH(0,COUNTIF($Q$12:Q129,$D$13:$D$1000&amp;"")+IF($D$13:$D$1000="",1,0),0)),"")</f>
        <v/>
      </c>
      <c r="R130" s="356" t="str">
        <f t="shared" si="5"/>
        <v/>
      </c>
      <c r="S130" s="383" t="str">
        <f t="shared" si="7"/>
        <v/>
      </c>
      <c r="T130" s="384" t="str">
        <f t="shared" si="6"/>
        <v/>
      </c>
      <c r="U130" s="349"/>
      <c r="V130" s="385"/>
      <c r="W130" s="385"/>
      <c r="X130" s="386"/>
    </row>
    <row r="131" spans="1:24" ht="16.5" customHeight="1">
      <c r="A131" s="301"/>
      <c r="B131" s="387"/>
      <c r="C131" s="371"/>
      <c r="D131" s="372" t="str">
        <f>IFERROR(INDEX('[12]Equipment List'!$B$2:$B$2038,MATCH(E131,'[12]Equipment List'!$A$2:$A$2038,0)),"")</f>
        <v/>
      </c>
      <c r="E131" s="388"/>
      <c r="F131" s="374"/>
      <c r="G131" s="375"/>
      <c r="H131" s="397"/>
      <c r="I131" s="377"/>
      <c r="J131" s="378"/>
      <c r="K131" s="379"/>
      <c r="L131" s="387"/>
      <c r="M131" s="380" t="str">
        <f t="array" ref="M131">IF(L131="","",(MAX(IF(AN$15:AN$144=B131,AO$15:AO$144))/60))</f>
        <v/>
      </c>
      <c r="N131" s="387"/>
      <c r="O131" s="387"/>
      <c r="P131" s="381" t="str">
        <f t="shared" si="4"/>
        <v/>
      </c>
      <c r="Q131" s="382" t="str">
        <f t="array" ref="Q131">IFERROR(INDEX($D$13:$D$1000,MATCH(0,COUNTIF($Q$12:Q130,$D$13:$D$1000&amp;"")+IF($D$13:$D$1000="",1,0),0)),"")</f>
        <v/>
      </c>
      <c r="R131" s="356" t="str">
        <f t="shared" si="5"/>
        <v/>
      </c>
      <c r="S131" s="383" t="str">
        <f t="shared" si="7"/>
        <v/>
      </c>
      <c r="T131" s="384" t="str">
        <f t="shared" si="6"/>
        <v/>
      </c>
      <c r="U131" s="349"/>
      <c r="V131" s="385"/>
      <c r="W131" s="385"/>
      <c r="X131" s="386"/>
    </row>
    <row r="132" spans="1:24" ht="16.5" customHeight="1">
      <c r="A132" s="301"/>
      <c r="B132" s="395"/>
      <c r="C132" s="371"/>
      <c r="D132" s="372" t="str">
        <f>IFERROR(INDEX('[12]Equipment List'!$B$2:$B$2038,MATCH(E132,'[12]Equipment List'!$A$2:$A$2038,0)),"")</f>
        <v/>
      </c>
      <c r="E132" s="388"/>
      <c r="F132" s="374"/>
      <c r="G132" s="375"/>
      <c r="H132" s="397"/>
      <c r="I132" s="377"/>
      <c r="J132" s="378"/>
      <c r="K132" s="379"/>
      <c r="L132" s="387"/>
      <c r="M132" s="380" t="str">
        <f t="array" ref="M132">IF(L132="","",(MAX(IF(AN$15:AN$144=B132,AO$15:AO$144))/60))</f>
        <v/>
      </c>
      <c r="N132" s="387"/>
      <c r="O132" s="387"/>
      <c r="P132" s="381" t="str">
        <f t="shared" si="4"/>
        <v/>
      </c>
      <c r="Q132" s="382" t="str">
        <f t="array" ref="Q132">IFERROR(INDEX($D$13:$D$1000,MATCH(0,COUNTIF($Q$12:Q131,$D$13:$D$1000&amp;"")+IF($D$13:$D$1000="",1,0),0)),"")</f>
        <v/>
      </c>
      <c r="R132" s="356" t="str">
        <f t="shared" si="5"/>
        <v/>
      </c>
      <c r="S132" s="383" t="str">
        <f t="shared" si="7"/>
        <v/>
      </c>
      <c r="T132" s="384" t="str">
        <f t="shared" si="6"/>
        <v/>
      </c>
      <c r="U132" s="349"/>
      <c r="V132" s="385"/>
      <c r="W132" s="385"/>
      <c r="X132" s="386"/>
    </row>
    <row r="133" spans="1:24" ht="16.5" customHeight="1">
      <c r="A133" s="301"/>
      <c r="B133" s="387"/>
      <c r="C133" s="371"/>
      <c r="D133" s="372" t="str">
        <f>IFERROR(INDEX('[12]Equipment List'!$B$2:$B$2038,MATCH(E133,'[12]Equipment List'!$A$2:$A$2038,0)),"")</f>
        <v/>
      </c>
      <c r="E133" s="388"/>
      <c r="F133" s="374"/>
      <c r="G133" s="375"/>
      <c r="H133" s="397"/>
      <c r="I133" s="377"/>
      <c r="J133" s="378"/>
      <c r="K133" s="379"/>
      <c r="L133" s="387"/>
      <c r="M133" s="380" t="str">
        <f t="array" ref="M133">IF(L133="","",(MAX(IF(AN$15:AN$144=B133,AO$15:AO$144))/60))</f>
        <v/>
      </c>
      <c r="N133" s="387"/>
      <c r="O133" s="387"/>
      <c r="P133" s="381" t="str">
        <f t="shared" si="4"/>
        <v/>
      </c>
      <c r="Q133" s="382" t="str">
        <f t="array" ref="Q133">IFERROR(INDEX($D$13:$D$1000,MATCH(0,COUNTIF($Q$12:Q132,$D$13:$D$1000&amp;"")+IF($D$13:$D$1000="",1,0),0)),"")</f>
        <v/>
      </c>
      <c r="R133" s="356" t="str">
        <f t="shared" si="5"/>
        <v/>
      </c>
      <c r="S133" s="383" t="str">
        <f t="shared" si="7"/>
        <v/>
      </c>
      <c r="T133" s="384" t="str">
        <f t="shared" si="6"/>
        <v/>
      </c>
      <c r="U133" s="349"/>
      <c r="V133" s="385"/>
      <c r="W133" s="385"/>
      <c r="X133" s="386"/>
    </row>
    <row r="134" spans="1:24" ht="16.5" customHeight="1">
      <c r="A134" s="301"/>
      <c r="B134" s="395"/>
      <c r="C134" s="371"/>
      <c r="D134" s="372" t="str">
        <f>IFERROR(INDEX('[12]Equipment List'!$B$2:$B$2038,MATCH(E134,'[12]Equipment List'!$A$2:$A$2038,0)),"")</f>
        <v/>
      </c>
      <c r="E134" s="388"/>
      <c r="F134" s="374"/>
      <c r="G134" s="375"/>
      <c r="H134" s="397"/>
      <c r="I134" s="377"/>
      <c r="J134" s="378"/>
      <c r="K134" s="379"/>
      <c r="L134" s="387"/>
      <c r="M134" s="380" t="str">
        <f t="array" ref="M134">IF(L134="","",(MAX(IF(AN$15:AN$144=B134,AO$15:AO$144))/60))</f>
        <v/>
      </c>
      <c r="N134" s="387"/>
      <c r="O134" s="387"/>
      <c r="P134" s="381" t="str">
        <f t="shared" si="4"/>
        <v/>
      </c>
      <c r="Q134" s="382" t="str">
        <f t="array" ref="Q134">IFERROR(INDEX($D$13:$D$1000,MATCH(0,COUNTIF($Q$12:Q133,$D$13:$D$1000&amp;"")+IF($D$13:$D$1000="",1,0),0)),"")</f>
        <v/>
      </c>
      <c r="R134" s="356" t="str">
        <f t="shared" si="5"/>
        <v/>
      </c>
      <c r="S134" s="383" t="str">
        <f t="shared" si="7"/>
        <v/>
      </c>
      <c r="T134" s="384" t="str">
        <f t="shared" si="6"/>
        <v/>
      </c>
      <c r="U134" s="349"/>
      <c r="V134" s="385"/>
      <c r="W134" s="385"/>
      <c r="X134" s="386"/>
    </row>
    <row r="135" spans="1:24" ht="16.5" customHeight="1">
      <c r="A135" s="301"/>
      <c r="B135" s="387"/>
      <c r="C135" s="371"/>
      <c r="D135" s="372" t="str">
        <f>IFERROR(INDEX('[12]Equipment List'!$B$2:$B$2038,MATCH(E135,'[12]Equipment List'!$A$2:$A$2038,0)),"")</f>
        <v/>
      </c>
      <c r="E135" s="388"/>
      <c r="F135" s="374"/>
      <c r="G135" s="375"/>
      <c r="H135" s="397"/>
      <c r="I135" s="377"/>
      <c r="J135" s="378"/>
      <c r="K135" s="379"/>
      <c r="L135" s="387"/>
      <c r="M135" s="380" t="str">
        <f t="array" ref="M135">IF(L135="","",(MAX(IF(AN$15:AN$144=B135,AO$15:AO$144))/60))</f>
        <v/>
      </c>
      <c r="N135" s="387"/>
      <c r="O135" s="387"/>
      <c r="P135" s="381" t="str">
        <f t="shared" si="4"/>
        <v/>
      </c>
      <c r="Q135" s="382" t="str">
        <f t="array" ref="Q135">IFERROR(INDEX($D$13:$D$1000,MATCH(0,COUNTIF($Q$12:Q134,$D$13:$D$1000&amp;"")+IF($D$13:$D$1000="",1,0),0)),"")</f>
        <v/>
      </c>
      <c r="R135" s="356" t="str">
        <f t="shared" si="5"/>
        <v/>
      </c>
      <c r="S135" s="383" t="str">
        <f t="shared" si="7"/>
        <v/>
      </c>
      <c r="T135" s="384" t="str">
        <f t="shared" si="6"/>
        <v/>
      </c>
      <c r="U135" s="349"/>
      <c r="V135" s="385"/>
      <c r="W135" s="385"/>
      <c r="X135" s="386"/>
    </row>
    <row r="136" spans="1:24" ht="16.5" customHeight="1">
      <c r="A136" s="301"/>
      <c r="B136" s="395"/>
      <c r="C136" s="371"/>
      <c r="D136" s="372" t="str">
        <f>IFERROR(INDEX('[12]Equipment List'!$B$2:$B$2038,MATCH(E136,'[12]Equipment List'!$A$2:$A$2038,0)),"")</f>
        <v/>
      </c>
      <c r="E136" s="388"/>
      <c r="F136" s="374"/>
      <c r="G136" s="375"/>
      <c r="H136" s="397"/>
      <c r="I136" s="377"/>
      <c r="J136" s="378"/>
      <c r="K136" s="379"/>
      <c r="L136" s="387"/>
      <c r="M136" s="380" t="str">
        <f t="array" ref="M136">IF(L136="","",(MAX(IF(AN$15:AN$144=B136,AO$15:AO$144))/60))</f>
        <v/>
      </c>
      <c r="N136" s="387"/>
      <c r="O136" s="387"/>
      <c r="P136" s="381" t="str">
        <f t="shared" si="4"/>
        <v/>
      </c>
      <c r="Q136" s="382" t="str">
        <f t="array" ref="Q136">IFERROR(INDEX($D$13:$D$1000,MATCH(0,COUNTIF($Q$12:Q135,$D$13:$D$1000&amp;"")+IF($D$13:$D$1000="",1,0),0)),"")</f>
        <v/>
      </c>
      <c r="R136" s="356" t="str">
        <f t="shared" si="5"/>
        <v/>
      </c>
      <c r="S136" s="383" t="str">
        <f t="shared" si="7"/>
        <v/>
      </c>
      <c r="T136" s="384" t="str">
        <f t="shared" si="6"/>
        <v/>
      </c>
      <c r="U136" s="349"/>
      <c r="V136" s="385"/>
      <c r="W136" s="385"/>
      <c r="X136" s="386"/>
    </row>
    <row r="137" spans="1:24" ht="16.5" customHeight="1">
      <c r="A137" s="301"/>
      <c r="B137" s="387"/>
      <c r="C137" s="371"/>
      <c r="D137" s="372" t="str">
        <f>IFERROR(INDEX('[12]Equipment List'!$B$2:$B$2038,MATCH(E137,'[12]Equipment List'!$A$2:$A$2038,0)),"")</f>
        <v/>
      </c>
      <c r="E137" s="388"/>
      <c r="F137" s="374"/>
      <c r="G137" s="375"/>
      <c r="H137" s="397"/>
      <c r="I137" s="377"/>
      <c r="J137" s="378"/>
      <c r="K137" s="379"/>
      <c r="L137" s="387"/>
      <c r="M137" s="380" t="str">
        <f t="array" ref="M137">IF(L137="","",(MAX(IF(AN$15:AN$144=B137,AO$15:AO$144))/60))</f>
        <v/>
      </c>
      <c r="N137" s="387"/>
      <c r="O137" s="387"/>
      <c r="P137" s="381" t="str">
        <f t="shared" si="4"/>
        <v/>
      </c>
      <c r="Q137" s="382" t="str">
        <f t="array" ref="Q137">IFERROR(INDEX($D$13:$D$1000,MATCH(0,COUNTIF($Q$12:Q136,$D$13:$D$1000&amp;"")+IF($D$13:$D$1000="",1,0),0)),"")</f>
        <v/>
      </c>
      <c r="R137" s="356" t="str">
        <f t="shared" si="5"/>
        <v/>
      </c>
      <c r="S137" s="383" t="str">
        <f t="shared" si="7"/>
        <v/>
      </c>
      <c r="T137" s="384" t="str">
        <f t="shared" si="6"/>
        <v/>
      </c>
      <c r="U137" s="349"/>
      <c r="V137" s="385"/>
      <c r="W137" s="385"/>
      <c r="X137" s="386"/>
    </row>
    <row r="138" spans="1:24" ht="16.5" customHeight="1">
      <c r="A138" s="301"/>
      <c r="B138" s="395"/>
      <c r="C138" s="371"/>
      <c r="D138" s="372" t="str">
        <f>IFERROR(INDEX('[12]Equipment List'!$B$2:$B$2038,MATCH(E138,'[12]Equipment List'!$A$2:$A$2038,0)),"")</f>
        <v/>
      </c>
      <c r="E138" s="388"/>
      <c r="F138" s="374"/>
      <c r="G138" s="375"/>
      <c r="H138" s="397"/>
      <c r="I138" s="377"/>
      <c r="J138" s="378"/>
      <c r="K138" s="379"/>
      <c r="L138" s="387"/>
      <c r="M138" s="380" t="str">
        <f t="array" ref="M138">IF(L138="","",(MAX(IF(AN$15:AN$144=B138,AO$15:AO$144))/60))</f>
        <v/>
      </c>
      <c r="N138" s="387"/>
      <c r="O138" s="387"/>
      <c r="P138" s="381" t="str">
        <f t="shared" si="4"/>
        <v/>
      </c>
      <c r="Q138" s="382" t="str">
        <f t="array" ref="Q138">IFERROR(INDEX($D$13:$D$1000,MATCH(0,COUNTIF($Q$12:Q137,$D$13:$D$1000&amp;"")+IF($D$13:$D$1000="",1,0),0)),"")</f>
        <v/>
      </c>
      <c r="R138" s="356" t="str">
        <f t="shared" si="5"/>
        <v/>
      </c>
      <c r="S138" s="383" t="str">
        <f t="shared" si="7"/>
        <v/>
      </c>
      <c r="T138" s="384" t="str">
        <f t="shared" si="6"/>
        <v/>
      </c>
      <c r="U138" s="349"/>
      <c r="V138" s="385"/>
      <c r="W138" s="385"/>
      <c r="X138" s="386"/>
    </row>
    <row r="139" spans="1:24" ht="16.5" customHeight="1">
      <c r="A139" s="301"/>
      <c r="B139" s="387"/>
      <c r="C139" s="371"/>
      <c r="D139" s="372" t="str">
        <f>IFERROR(INDEX('[12]Equipment List'!$B$2:$B$2038,MATCH(E139,'[12]Equipment List'!$A$2:$A$2038,0)),"")</f>
        <v/>
      </c>
      <c r="E139" s="388"/>
      <c r="F139" s="374"/>
      <c r="G139" s="375"/>
      <c r="H139" s="397"/>
      <c r="I139" s="377"/>
      <c r="J139" s="378"/>
      <c r="K139" s="379"/>
      <c r="L139" s="387"/>
      <c r="M139" s="380" t="str">
        <f t="array" ref="M139">IF(L139="","",(MAX(IF(AN$15:AN$144=B139,AO$15:AO$144))/60))</f>
        <v/>
      </c>
      <c r="N139" s="387"/>
      <c r="O139" s="387"/>
      <c r="P139" s="381" t="str">
        <f t="shared" si="4"/>
        <v/>
      </c>
      <c r="Q139" s="382" t="str">
        <f t="array" ref="Q139">IFERROR(INDEX($D$13:$D$1000,MATCH(0,COUNTIF($Q$12:Q138,$D$13:$D$1000&amp;"")+IF($D$13:$D$1000="",1,0),0)),"")</f>
        <v/>
      </c>
      <c r="R139" s="356" t="str">
        <f t="shared" si="5"/>
        <v/>
      </c>
      <c r="S139" s="383" t="str">
        <f t="shared" si="7"/>
        <v/>
      </c>
      <c r="T139" s="384" t="str">
        <f t="shared" si="6"/>
        <v/>
      </c>
      <c r="U139" s="349"/>
      <c r="V139" s="385"/>
      <c r="W139" s="385"/>
      <c r="X139" s="386"/>
    </row>
    <row r="140" spans="1:24" ht="16.5" customHeight="1">
      <c r="A140" s="301"/>
      <c r="B140" s="395"/>
      <c r="C140" s="371"/>
      <c r="D140" s="372" t="str">
        <f>IFERROR(INDEX('[12]Equipment List'!$B$2:$B$2038,MATCH(E140,'[12]Equipment List'!$A$2:$A$2038,0)),"")</f>
        <v/>
      </c>
      <c r="E140" s="388"/>
      <c r="F140" s="374"/>
      <c r="G140" s="375"/>
      <c r="H140" s="397"/>
      <c r="I140" s="377"/>
      <c r="J140" s="378"/>
      <c r="K140" s="379"/>
      <c r="L140" s="387"/>
      <c r="M140" s="380" t="str">
        <f t="array" ref="M140">IF(L140="","",(MAX(IF(AN$15:AN$144=B140,AO$15:AO$144))/60))</f>
        <v/>
      </c>
      <c r="N140" s="387"/>
      <c r="O140" s="387"/>
      <c r="P140" s="381" t="str">
        <f t="shared" ref="P140:P203" si="8">IFERROR((((K140/5/250/$F$8)+(N140*$F$9))/$S$4)*(M140/60),"")</f>
        <v/>
      </c>
      <c r="Q140" s="382" t="str">
        <f t="array" ref="Q140">IFERROR(INDEX($D$13:$D$1000,MATCH(0,COUNTIF($Q$12:Q139,$D$13:$D$1000&amp;"")+IF($D$13:$D$1000="",1,0),0)),"")</f>
        <v/>
      </c>
      <c r="R140" s="356" t="str">
        <f t="shared" si="5"/>
        <v/>
      </c>
      <c r="S140" s="383" t="str">
        <f t="shared" si="7"/>
        <v/>
      </c>
      <c r="T140" s="384" t="str">
        <f t="shared" si="6"/>
        <v/>
      </c>
      <c r="U140" s="349"/>
      <c r="V140" s="385"/>
      <c r="W140" s="385"/>
      <c r="X140" s="386"/>
    </row>
    <row r="141" spans="1:24" ht="16.5" customHeight="1">
      <c r="A141" s="301"/>
      <c r="B141" s="387"/>
      <c r="C141" s="371"/>
      <c r="D141" s="372" t="str">
        <f>IFERROR(INDEX('[12]Equipment List'!$B$2:$B$2038,MATCH(E141,'[12]Equipment List'!$A$2:$A$2038,0)),"")</f>
        <v/>
      </c>
      <c r="E141" s="388"/>
      <c r="F141" s="374"/>
      <c r="G141" s="375"/>
      <c r="H141" s="397"/>
      <c r="I141" s="377"/>
      <c r="J141" s="378"/>
      <c r="K141" s="379"/>
      <c r="L141" s="387"/>
      <c r="M141" s="380" t="str">
        <f t="array" ref="M141">IF(L141="","",(MAX(IF(AN$15:AN$144=B141,AO$15:AO$144))/60))</f>
        <v/>
      </c>
      <c r="N141" s="387"/>
      <c r="O141" s="387"/>
      <c r="P141" s="381" t="str">
        <f t="shared" si="8"/>
        <v/>
      </c>
      <c r="Q141" s="382" t="str">
        <f t="array" ref="Q141">IFERROR(INDEX($D$13:$D$1000,MATCH(0,COUNTIF($Q$12:Q140,$D$13:$D$1000&amp;"")+IF($D$13:$D$1000="",1,0),0)),"")</f>
        <v/>
      </c>
      <c r="R141" s="356" t="str">
        <f t="shared" ref="R141:R204" si="9">IF(Q141="","",COUNTIF($D$13:$D$1000,$Q141))</f>
        <v/>
      </c>
      <c r="S141" s="383" t="str">
        <f t="shared" si="7"/>
        <v/>
      </c>
      <c r="T141" s="384" t="str">
        <f t="shared" ref="T141:T204" si="10">IF($Q141="","",SUMIF($D$13:$D$1000,$Q141,N$13:N$1000))</f>
        <v/>
      </c>
      <c r="U141" s="349"/>
      <c r="V141" s="385"/>
      <c r="W141" s="385"/>
      <c r="X141" s="386"/>
    </row>
    <row r="142" spans="1:24" ht="16.5" customHeight="1">
      <c r="A142" s="301"/>
      <c r="B142" s="395"/>
      <c r="C142" s="371"/>
      <c r="D142" s="372" t="str">
        <f>IFERROR(INDEX('[12]Equipment List'!$B$2:$B$2038,MATCH(E142,'[12]Equipment List'!$A$2:$A$2038,0)),"")</f>
        <v/>
      </c>
      <c r="E142" s="388"/>
      <c r="F142" s="374"/>
      <c r="G142" s="375"/>
      <c r="H142" s="397"/>
      <c r="I142" s="377"/>
      <c r="J142" s="378"/>
      <c r="K142" s="379"/>
      <c r="L142" s="387"/>
      <c r="M142" s="380" t="str">
        <f t="array" ref="M142">IF(L142="","",(MAX(IF(AN$15:AN$144=B142,AO$15:AO$144))/60))</f>
        <v/>
      </c>
      <c r="N142" s="387"/>
      <c r="O142" s="387"/>
      <c r="P142" s="381" t="str">
        <f t="shared" si="8"/>
        <v/>
      </c>
      <c r="Q142" s="382" t="str">
        <f t="array" ref="Q142">IFERROR(INDEX($D$13:$D$1000,MATCH(0,COUNTIF($Q$12:Q141,$D$13:$D$1000&amp;"")+IF($D$13:$D$1000="",1,0),0)),"")</f>
        <v/>
      </c>
      <c r="R142" s="356" t="str">
        <f t="shared" si="9"/>
        <v/>
      </c>
      <c r="S142" s="383" t="str">
        <f t="shared" ref="S142:S205" si="11">IF($Q142="","",SUMIF($D$13:$D$1000,$Q142,K$13:K$1000))</f>
        <v/>
      </c>
      <c r="T142" s="384" t="str">
        <f t="shared" si="10"/>
        <v/>
      </c>
      <c r="U142" s="349"/>
      <c r="V142" s="385"/>
      <c r="W142" s="385"/>
      <c r="X142" s="386"/>
    </row>
    <row r="143" spans="1:24" ht="16.5" customHeight="1">
      <c r="A143" s="301"/>
      <c r="B143" s="387"/>
      <c r="C143" s="371"/>
      <c r="D143" s="372" t="str">
        <f>IFERROR(INDEX('[12]Equipment List'!$B$2:$B$2038,MATCH(E143,'[12]Equipment List'!$A$2:$A$2038,0)),"")</f>
        <v/>
      </c>
      <c r="E143" s="388"/>
      <c r="F143" s="374"/>
      <c r="G143" s="375"/>
      <c r="H143" s="397"/>
      <c r="I143" s="377"/>
      <c r="J143" s="378"/>
      <c r="K143" s="379"/>
      <c r="L143" s="387"/>
      <c r="M143" s="380" t="str">
        <f t="array" ref="M143">IF(L143="","",(MAX(IF(AN$15:AN$144=B143,AO$15:AO$144))/60))</f>
        <v/>
      </c>
      <c r="N143" s="387"/>
      <c r="O143" s="387"/>
      <c r="P143" s="381" t="str">
        <f t="shared" si="8"/>
        <v/>
      </c>
      <c r="Q143" s="382" t="str">
        <f t="array" ref="Q143">IFERROR(INDEX($D$13:$D$1000,MATCH(0,COUNTIF($Q$12:Q142,$D$13:$D$1000&amp;"")+IF($D$13:$D$1000="",1,0),0)),"")</f>
        <v/>
      </c>
      <c r="R143" s="356" t="str">
        <f t="shared" si="9"/>
        <v/>
      </c>
      <c r="S143" s="383" t="str">
        <f t="shared" si="11"/>
        <v/>
      </c>
      <c r="T143" s="384" t="str">
        <f t="shared" si="10"/>
        <v/>
      </c>
      <c r="U143" s="349"/>
      <c r="V143" s="385"/>
      <c r="W143" s="385"/>
      <c r="X143" s="386"/>
    </row>
    <row r="144" spans="1:24" ht="16.5" customHeight="1">
      <c r="A144" s="301"/>
      <c r="B144" s="395"/>
      <c r="C144" s="371"/>
      <c r="D144" s="372" t="str">
        <f>IFERROR(INDEX('[12]Equipment List'!$B$2:$B$2038,MATCH(E144,'[12]Equipment List'!$A$2:$A$2038,0)),"")</f>
        <v/>
      </c>
      <c r="E144" s="388"/>
      <c r="F144" s="374"/>
      <c r="G144" s="375"/>
      <c r="H144" s="397"/>
      <c r="I144" s="377"/>
      <c r="J144" s="378"/>
      <c r="K144" s="379"/>
      <c r="L144" s="387"/>
      <c r="M144" s="380" t="str">
        <f t="array" ref="M144">IF(L144="","",(MAX(IF(AN$15:AN$144=B144,AO$15:AO$144))/60))</f>
        <v/>
      </c>
      <c r="N144" s="387"/>
      <c r="O144" s="387"/>
      <c r="P144" s="381" t="str">
        <f t="shared" si="8"/>
        <v/>
      </c>
      <c r="Q144" s="382" t="str">
        <f t="array" ref="Q144">IFERROR(INDEX($D$13:$D$1000,MATCH(0,COUNTIF($Q$12:Q143,$D$13:$D$1000&amp;"")+IF($D$13:$D$1000="",1,0),0)),"")</f>
        <v/>
      </c>
      <c r="R144" s="356" t="str">
        <f t="shared" si="9"/>
        <v/>
      </c>
      <c r="S144" s="383" t="str">
        <f t="shared" si="11"/>
        <v/>
      </c>
      <c r="T144" s="384" t="str">
        <f t="shared" si="10"/>
        <v/>
      </c>
      <c r="U144" s="349"/>
      <c r="V144" s="385"/>
      <c r="W144" s="385"/>
      <c r="X144" s="386"/>
    </row>
    <row r="145" spans="1:24" ht="16.5" customHeight="1">
      <c r="A145" s="301"/>
      <c r="B145" s="387"/>
      <c r="C145" s="371"/>
      <c r="D145" s="372" t="str">
        <f>IFERROR(INDEX('[12]Equipment List'!$B$2:$B$2038,MATCH(E145,'[12]Equipment List'!$A$2:$A$2038,0)),"")</f>
        <v/>
      </c>
      <c r="E145" s="388"/>
      <c r="F145" s="374"/>
      <c r="G145" s="375"/>
      <c r="H145" s="397"/>
      <c r="I145" s="377"/>
      <c r="J145" s="378"/>
      <c r="K145" s="379"/>
      <c r="L145" s="387"/>
      <c r="M145" s="380" t="str">
        <f t="array" ref="M145">IF(L145="","",(MAX(IF(AN$15:AN$144=B145,AO$15:AO$144))/60))</f>
        <v/>
      </c>
      <c r="N145" s="387"/>
      <c r="O145" s="387"/>
      <c r="P145" s="381" t="str">
        <f t="shared" si="8"/>
        <v/>
      </c>
      <c r="Q145" s="382" t="str">
        <f t="array" ref="Q145">IFERROR(INDEX($D$13:$D$1000,MATCH(0,COUNTIF($Q$12:Q144,$D$13:$D$1000&amp;"")+IF($D$13:$D$1000="",1,0),0)),"")</f>
        <v/>
      </c>
      <c r="R145" s="356" t="str">
        <f t="shared" si="9"/>
        <v/>
      </c>
      <c r="S145" s="383" t="str">
        <f t="shared" si="11"/>
        <v/>
      </c>
      <c r="T145" s="384" t="str">
        <f t="shared" si="10"/>
        <v/>
      </c>
      <c r="U145" s="349"/>
      <c r="V145" s="385"/>
      <c r="W145" s="385"/>
      <c r="X145" s="386"/>
    </row>
    <row r="146" spans="1:24" ht="16.5" customHeight="1">
      <c r="A146" s="301"/>
      <c r="B146" s="395"/>
      <c r="C146" s="371"/>
      <c r="D146" s="372" t="str">
        <f>IFERROR(INDEX('[12]Equipment List'!$B$2:$B$2038,MATCH(E146,'[12]Equipment List'!$A$2:$A$2038,0)),"")</f>
        <v/>
      </c>
      <c r="E146" s="388"/>
      <c r="F146" s="374"/>
      <c r="G146" s="375"/>
      <c r="H146" s="397"/>
      <c r="I146" s="377"/>
      <c r="J146" s="378"/>
      <c r="K146" s="379"/>
      <c r="L146" s="387"/>
      <c r="M146" s="380" t="str">
        <f t="array" ref="M146">IF(L146="","",(MAX(IF(AN$15:AN$144=B146,AO$15:AO$144))/60))</f>
        <v/>
      </c>
      <c r="N146" s="387"/>
      <c r="O146" s="387"/>
      <c r="P146" s="381" t="str">
        <f t="shared" si="8"/>
        <v/>
      </c>
      <c r="Q146" s="382" t="str">
        <f t="array" ref="Q146">IFERROR(INDEX($D$13:$D$1000,MATCH(0,COUNTIF($Q$12:Q145,$D$13:$D$1000&amp;"")+IF($D$13:$D$1000="",1,0),0)),"")</f>
        <v/>
      </c>
      <c r="R146" s="356" t="str">
        <f t="shared" si="9"/>
        <v/>
      </c>
      <c r="S146" s="383" t="str">
        <f t="shared" si="11"/>
        <v/>
      </c>
      <c r="T146" s="384" t="str">
        <f t="shared" si="10"/>
        <v/>
      </c>
      <c r="U146" s="349"/>
      <c r="V146" s="385"/>
      <c r="W146" s="385"/>
      <c r="X146" s="386"/>
    </row>
    <row r="147" spans="1:24" ht="16.5" customHeight="1">
      <c r="A147" s="301"/>
      <c r="B147" s="387"/>
      <c r="C147" s="371"/>
      <c r="D147" s="372" t="str">
        <f>IFERROR(INDEX('[12]Equipment List'!$B$2:$B$2038,MATCH(E147,'[12]Equipment List'!$A$2:$A$2038,0)),"")</f>
        <v/>
      </c>
      <c r="E147" s="388"/>
      <c r="F147" s="374"/>
      <c r="G147" s="375"/>
      <c r="H147" s="397"/>
      <c r="I147" s="377"/>
      <c r="J147" s="378"/>
      <c r="K147" s="379"/>
      <c r="L147" s="387"/>
      <c r="M147" s="380" t="str">
        <f t="array" ref="M147">IF(L147="","",(MAX(IF(AN$15:AN$144=B147,AO$15:AO$144))/60))</f>
        <v/>
      </c>
      <c r="N147" s="387"/>
      <c r="O147" s="387"/>
      <c r="P147" s="381" t="str">
        <f t="shared" si="8"/>
        <v/>
      </c>
      <c r="Q147" s="382" t="str">
        <f t="array" ref="Q147">IFERROR(INDEX($D$13:$D$1000,MATCH(0,COUNTIF($Q$12:Q146,$D$13:$D$1000&amp;"")+IF($D$13:$D$1000="",1,0),0)),"")</f>
        <v/>
      </c>
      <c r="R147" s="356" t="str">
        <f t="shared" si="9"/>
        <v/>
      </c>
      <c r="S147" s="383" t="str">
        <f t="shared" si="11"/>
        <v/>
      </c>
      <c r="T147" s="384" t="str">
        <f t="shared" si="10"/>
        <v/>
      </c>
      <c r="U147" s="349"/>
      <c r="V147" s="385"/>
      <c r="W147" s="385"/>
      <c r="X147" s="386"/>
    </row>
    <row r="148" spans="1:24" ht="16.5" customHeight="1">
      <c r="A148" s="301"/>
      <c r="B148" s="395"/>
      <c r="C148" s="371"/>
      <c r="D148" s="372" t="str">
        <f>IFERROR(INDEX('[12]Equipment List'!$B$2:$B$2038,MATCH(E148,'[12]Equipment List'!$A$2:$A$2038,0)),"")</f>
        <v/>
      </c>
      <c r="E148" s="388"/>
      <c r="F148" s="374"/>
      <c r="G148" s="375"/>
      <c r="H148" s="397"/>
      <c r="I148" s="377"/>
      <c r="J148" s="378"/>
      <c r="K148" s="379"/>
      <c r="L148" s="387"/>
      <c r="M148" s="380" t="str">
        <f t="array" ref="M148">IF(L148="","",(MAX(IF(AN$15:AN$144=B148,AO$15:AO$144))/60))</f>
        <v/>
      </c>
      <c r="N148" s="387"/>
      <c r="O148" s="387"/>
      <c r="P148" s="381" t="str">
        <f t="shared" si="8"/>
        <v/>
      </c>
      <c r="Q148" s="382" t="str">
        <f t="array" ref="Q148">IFERROR(INDEX($D$13:$D$1000,MATCH(0,COUNTIF($Q$12:Q147,$D$13:$D$1000&amp;"")+IF($D$13:$D$1000="",1,0),0)),"")</f>
        <v/>
      </c>
      <c r="R148" s="356" t="str">
        <f t="shared" si="9"/>
        <v/>
      </c>
      <c r="S148" s="383" t="str">
        <f t="shared" si="11"/>
        <v/>
      </c>
      <c r="T148" s="384" t="str">
        <f t="shared" si="10"/>
        <v/>
      </c>
      <c r="U148" s="349"/>
      <c r="V148" s="385"/>
      <c r="W148" s="385"/>
      <c r="X148" s="386"/>
    </row>
    <row r="149" spans="1:24" ht="16.5" customHeight="1">
      <c r="A149" s="301"/>
      <c r="B149" s="387"/>
      <c r="C149" s="371"/>
      <c r="D149" s="372" t="str">
        <f>IFERROR(INDEX('[12]Equipment List'!$B$2:$B$2038,MATCH(E149,'[12]Equipment List'!$A$2:$A$2038,0)),"")</f>
        <v/>
      </c>
      <c r="E149" s="388"/>
      <c r="F149" s="374"/>
      <c r="G149" s="375"/>
      <c r="H149" s="397"/>
      <c r="I149" s="377"/>
      <c r="J149" s="378"/>
      <c r="K149" s="379"/>
      <c r="L149" s="387"/>
      <c r="M149" s="380" t="str">
        <f t="array" ref="M149">IF(L149="","",(MAX(IF(AN$15:AN$144=B149,AO$15:AO$144))/60))</f>
        <v/>
      </c>
      <c r="N149" s="387"/>
      <c r="O149" s="387"/>
      <c r="P149" s="381" t="str">
        <f t="shared" si="8"/>
        <v/>
      </c>
      <c r="Q149" s="382" t="str">
        <f t="array" ref="Q149">IFERROR(INDEX($D$13:$D$1000,MATCH(0,COUNTIF($Q$12:Q148,$D$13:$D$1000&amp;"")+IF($D$13:$D$1000="",1,0),0)),"")</f>
        <v/>
      </c>
      <c r="R149" s="356" t="str">
        <f t="shared" si="9"/>
        <v/>
      </c>
      <c r="S149" s="383" t="str">
        <f t="shared" si="11"/>
        <v/>
      </c>
      <c r="T149" s="384" t="str">
        <f t="shared" si="10"/>
        <v/>
      </c>
      <c r="U149" s="349"/>
      <c r="V149" s="385"/>
      <c r="W149" s="385"/>
      <c r="X149" s="386"/>
    </row>
    <row r="150" spans="1:24" ht="16.5" customHeight="1">
      <c r="A150" s="301"/>
      <c r="B150" s="395"/>
      <c r="C150" s="371"/>
      <c r="D150" s="372" t="str">
        <f>IFERROR(INDEX('[12]Equipment List'!$B$2:$B$2038,MATCH(E150,'[12]Equipment List'!$A$2:$A$2038,0)),"")</f>
        <v/>
      </c>
      <c r="E150" s="388"/>
      <c r="F150" s="374"/>
      <c r="G150" s="375"/>
      <c r="H150" s="397"/>
      <c r="I150" s="377"/>
      <c r="J150" s="378"/>
      <c r="K150" s="379"/>
      <c r="L150" s="387"/>
      <c r="M150" s="380" t="str">
        <f t="array" ref="M150">IF(L150="","",(MAX(IF(AN$15:AN$144=B150,AO$15:AO$144))/60))</f>
        <v/>
      </c>
      <c r="N150" s="387"/>
      <c r="O150" s="387"/>
      <c r="P150" s="381" t="str">
        <f t="shared" si="8"/>
        <v/>
      </c>
      <c r="Q150" s="382" t="str">
        <f t="array" ref="Q150">IFERROR(INDEX($D$13:$D$1000,MATCH(0,COUNTIF($Q$12:Q149,$D$13:$D$1000&amp;"")+IF($D$13:$D$1000="",1,0),0)),"")</f>
        <v/>
      </c>
      <c r="R150" s="356" t="str">
        <f t="shared" si="9"/>
        <v/>
      </c>
      <c r="S150" s="383" t="str">
        <f t="shared" si="11"/>
        <v/>
      </c>
      <c r="T150" s="384" t="str">
        <f t="shared" si="10"/>
        <v/>
      </c>
      <c r="U150" s="349"/>
      <c r="V150" s="385"/>
      <c r="W150" s="385"/>
      <c r="X150" s="386"/>
    </row>
    <row r="151" spans="1:24" ht="16.5" customHeight="1">
      <c r="A151" s="301"/>
      <c r="B151" s="387"/>
      <c r="C151" s="371"/>
      <c r="D151" s="372" t="str">
        <f>IFERROR(INDEX('[12]Equipment List'!$B$2:$B$2038,MATCH(E151,'[12]Equipment List'!$A$2:$A$2038,0)),"")</f>
        <v/>
      </c>
      <c r="E151" s="388"/>
      <c r="F151" s="374"/>
      <c r="G151" s="375"/>
      <c r="H151" s="397"/>
      <c r="I151" s="377"/>
      <c r="J151" s="378"/>
      <c r="K151" s="379"/>
      <c r="L151" s="387"/>
      <c r="M151" s="380" t="str">
        <f t="array" ref="M151">IF(L151="","",(MAX(IF(AN$15:AN$144=B151,AO$15:AO$144))/60))</f>
        <v/>
      </c>
      <c r="N151" s="387"/>
      <c r="O151" s="387"/>
      <c r="P151" s="381" t="str">
        <f t="shared" si="8"/>
        <v/>
      </c>
      <c r="Q151" s="382" t="str">
        <f t="array" ref="Q151">IFERROR(INDEX($D$13:$D$1000,MATCH(0,COUNTIF($Q$12:Q150,$D$13:$D$1000&amp;"")+IF($D$13:$D$1000="",1,0),0)),"")</f>
        <v/>
      </c>
      <c r="R151" s="356" t="str">
        <f t="shared" si="9"/>
        <v/>
      </c>
      <c r="S151" s="383" t="str">
        <f t="shared" si="11"/>
        <v/>
      </c>
      <c r="T151" s="384" t="str">
        <f t="shared" si="10"/>
        <v/>
      </c>
      <c r="U151" s="349"/>
      <c r="V151" s="385"/>
      <c r="W151" s="385"/>
      <c r="X151" s="386"/>
    </row>
    <row r="152" spans="1:24" ht="16.5" customHeight="1">
      <c r="A152" s="301"/>
      <c r="B152" s="395"/>
      <c r="C152" s="371"/>
      <c r="D152" s="372" t="str">
        <f>IFERROR(INDEX('[12]Equipment List'!$B$2:$B$2038,MATCH(E152,'[12]Equipment List'!$A$2:$A$2038,0)),"")</f>
        <v/>
      </c>
      <c r="E152" s="388"/>
      <c r="F152" s="374"/>
      <c r="G152" s="375"/>
      <c r="H152" s="397"/>
      <c r="I152" s="377"/>
      <c r="J152" s="378"/>
      <c r="K152" s="379"/>
      <c r="L152" s="387"/>
      <c r="M152" s="380" t="str">
        <f t="array" ref="M152">IF(L152="","",(MAX(IF(AN$15:AN$144=B152,AO$15:AO$144))/60))</f>
        <v/>
      </c>
      <c r="N152" s="387"/>
      <c r="O152" s="387"/>
      <c r="P152" s="381" t="str">
        <f t="shared" si="8"/>
        <v/>
      </c>
      <c r="Q152" s="382" t="str">
        <f t="array" ref="Q152">IFERROR(INDEX($D$13:$D$1000,MATCH(0,COUNTIF($Q$12:Q151,$D$13:$D$1000&amp;"")+IF($D$13:$D$1000="",1,0),0)),"")</f>
        <v/>
      </c>
      <c r="R152" s="356" t="str">
        <f t="shared" si="9"/>
        <v/>
      </c>
      <c r="S152" s="383" t="str">
        <f t="shared" si="11"/>
        <v/>
      </c>
      <c r="T152" s="384" t="str">
        <f t="shared" si="10"/>
        <v/>
      </c>
      <c r="U152" s="349"/>
      <c r="V152" s="385"/>
      <c r="W152" s="385"/>
      <c r="X152" s="386"/>
    </row>
    <row r="153" spans="1:24" ht="16.5" customHeight="1">
      <c r="A153" s="301"/>
      <c r="B153" s="387"/>
      <c r="C153" s="371"/>
      <c r="D153" s="372" t="str">
        <f>IFERROR(INDEX('[12]Equipment List'!$B$2:$B$2038,MATCH(E153,'[12]Equipment List'!$A$2:$A$2038,0)),"")</f>
        <v/>
      </c>
      <c r="E153" s="388"/>
      <c r="F153" s="374"/>
      <c r="G153" s="375"/>
      <c r="H153" s="397"/>
      <c r="I153" s="377"/>
      <c r="J153" s="378"/>
      <c r="K153" s="379"/>
      <c r="L153" s="387"/>
      <c r="M153" s="380" t="str">
        <f t="array" ref="M153">IF(L153="","",(MAX(IF(AN$15:AN$144=B153,AO$15:AO$144))/60))</f>
        <v/>
      </c>
      <c r="N153" s="387"/>
      <c r="O153" s="387"/>
      <c r="P153" s="381" t="str">
        <f t="shared" si="8"/>
        <v/>
      </c>
      <c r="Q153" s="382" t="str">
        <f t="array" ref="Q153">IFERROR(INDEX($D$13:$D$1000,MATCH(0,COUNTIF($Q$12:Q152,$D$13:$D$1000&amp;"")+IF($D$13:$D$1000="",1,0),0)),"")</f>
        <v/>
      </c>
      <c r="R153" s="356" t="str">
        <f t="shared" si="9"/>
        <v/>
      </c>
      <c r="S153" s="383" t="str">
        <f t="shared" si="11"/>
        <v/>
      </c>
      <c r="T153" s="384" t="str">
        <f t="shared" si="10"/>
        <v/>
      </c>
      <c r="U153" s="349"/>
      <c r="V153" s="385"/>
      <c r="W153" s="385"/>
      <c r="X153" s="386"/>
    </row>
    <row r="154" spans="1:24" ht="16.5" customHeight="1">
      <c r="A154" s="301"/>
      <c r="B154" s="395"/>
      <c r="C154" s="371"/>
      <c r="D154" s="372" t="str">
        <f>IFERROR(INDEX('[12]Equipment List'!$B$2:$B$2038,MATCH(E154,'[12]Equipment List'!$A$2:$A$2038,0)),"")</f>
        <v/>
      </c>
      <c r="E154" s="388"/>
      <c r="F154" s="374"/>
      <c r="G154" s="375"/>
      <c r="H154" s="397"/>
      <c r="I154" s="377"/>
      <c r="J154" s="378"/>
      <c r="K154" s="379"/>
      <c r="L154" s="387"/>
      <c r="M154" s="380" t="str">
        <f t="array" ref="M154">IF(L154="","",(MAX(IF(AN$15:AN$144=B154,AO$15:AO$144))/60))</f>
        <v/>
      </c>
      <c r="N154" s="387"/>
      <c r="O154" s="387"/>
      <c r="P154" s="381" t="str">
        <f t="shared" si="8"/>
        <v/>
      </c>
      <c r="Q154" s="382" t="str">
        <f t="array" ref="Q154">IFERROR(INDEX($D$13:$D$1000,MATCH(0,COUNTIF($Q$12:Q153,$D$13:$D$1000&amp;"")+IF($D$13:$D$1000="",1,0),0)),"")</f>
        <v/>
      </c>
      <c r="R154" s="356" t="str">
        <f t="shared" si="9"/>
        <v/>
      </c>
      <c r="S154" s="383" t="str">
        <f t="shared" si="11"/>
        <v/>
      </c>
      <c r="T154" s="384" t="str">
        <f t="shared" si="10"/>
        <v/>
      </c>
      <c r="U154" s="349"/>
      <c r="V154" s="385"/>
      <c r="W154" s="385"/>
      <c r="X154" s="386"/>
    </row>
    <row r="155" spans="1:24" ht="16.5" customHeight="1">
      <c r="A155" s="301"/>
      <c r="B155" s="387"/>
      <c r="C155" s="371"/>
      <c r="D155" s="372" t="str">
        <f>IFERROR(INDEX('[12]Equipment List'!$B$2:$B$2038,MATCH(E155,'[12]Equipment List'!$A$2:$A$2038,0)),"")</f>
        <v/>
      </c>
      <c r="E155" s="388"/>
      <c r="F155" s="374"/>
      <c r="G155" s="375"/>
      <c r="H155" s="397"/>
      <c r="I155" s="377"/>
      <c r="J155" s="378"/>
      <c r="K155" s="379"/>
      <c r="L155" s="387"/>
      <c r="M155" s="380" t="str">
        <f t="array" ref="M155">IF(L155="","",(MAX(IF(AN$15:AN$144=B155,AO$15:AO$144))/60))</f>
        <v/>
      </c>
      <c r="N155" s="387"/>
      <c r="O155" s="387"/>
      <c r="P155" s="381" t="str">
        <f t="shared" si="8"/>
        <v/>
      </c>
      <c r="Q155" s="382" t="str">
        <f t="array" ref="Q155">IFERROR(INDEX($D$13:$D$1000,MATCH(0,COUNTIF($Q$12:Q154,$D$13:$D$1000&amp;"")+IF($D$13:$D$1000="",1,0),0)),"")</f>
        <v/>
      </c>
      <c r="R155" s="356" t="str">
        <f t="shared" si="9"/>
        <v/>
      </c>
      <c r="S155" s="383" t="str">
        <f t="shared" si="11"/>
        <v/>
      </c>
      <c r="T155" s="384" t="str">
        <f t="shared" si="10"/>
        <v/>
      </c>
      <c r="U155" s="349"/>
      <c r="V155" s="385"/>
      <c r="W155" s="385"/>
      <c r="X155" s="386"/>
    </row>
    <row r="156" spans="1:24" ht="16.5" customHeight="1">
      <c r="A156" s="301"/>
      <c r="B156" s="395"/>
      <c r="C156" s="371"/>
      <c r="D156" s="372" t="str">
        <f>IFERROR(INDEX('[12]Equipment List'!$B$2:$B$2038,MATCH(E156,'[12]Equipment List'!$A$2:$A$2038,0)),"")</f>
        <v/>
      </c>
      <c r="E156" s="388"/>
      <c r="F156" s="374"/>
      <c r="G156" s="375"/>
      <c r="H156" s="397"/>
      <c r="I156" s="377"/>
      <c r="J156" s="378"/>
      <c r="K156" s="379"/>
      <c r="L156" s="387"/>
      <c r="M156" s="380" t="str">
        <f t="array" ref="M156">IF(L156="","",(MAX(IF(AN$15:AN$144=B156,AO$15:AO$144))/60))</f>
        <v/>
      </c>
      <c r="N156" s="387"/>
      <c r="O156" s="387"/>
      <c r="P156" s="381" t="str">
        <f t="shared" si="8"/>
        <v/>
      </c>
      <c r="Q156" s="382" t="str">
        <f t="array" ref="Q156">IFERROR(INDEX($D$13:$D$1000,MATCH(0,COUNTIF($Q$12:Q155,$D$13:$D$1000&amp;"")+IF($D$13:$D$1000="",1,0),0)),"")</f>
        <v/>
      </c>
      <c r="R156" s="356" t="str">
        <f t="shared" si="9"/>
        <v/>
      </c>
      <c r="S156" s="383" t="str">
        <f t="shared" si="11"/>
        <v/>
      </c>
      <c r="T156" s="384" t="str">
        <f t="shared" si="10"/>
        <v/>
      </c>
      <c r="U156" s="349"/>
      <c r="V156" s="385"/>
      <c r="W156" s="385"/>
      <c r="X156" s="386"/>
    </row>
    <row r="157" spans="1:24" ht="16.5" customHeight="1">
      <c r="A157" s="301"/>
      <c r="B157" s="387"/>
      <c r="C157" s="371"/>
      <c r="D157" s="372" t="str">
        <f>IFERROR(INDEX('[12]Equipment List'!$B$2:$B$2038,MATCH(E157,'[12]Equipment List'!$A$2:$A$2038,0)),"")</f>
        <v/>
      </c>
      <c r="E157" s="388"/>
      <c r="F157" s="374"/>
      <c r="G157" s="375"/>
      <c r="H157" s="397"/>
      <c r="I157" s="377"/>
      <c r="J157" s="378"/>
      <c r="K157" s="379"/>
      <c r="L157" s="387"/>
      <c r="M157" s="380" t="str">
        <f t="array" ref="M157">IF(L157="","",(MAX(IF(AN$15:AN$144=B157,AO$15:AO$144))/60))</f>
        <v/>
      </c>
      <c r="N157" s="387"/>
      <c r="O157" s="387"/>
      <c r="P157" s="381" t="str">
        <f t="shared" si="8"/>
        <v/>
      </c>
      <c r="Q157" s="382" t="str">
        <f t="array" ref="Q157">IFERROR(INDEX($D$13:$D$1000,MATCH(0,COUNTIF($Q$12:Q156,$D$13:$D$1000&amp;"")+IF($D$13:$D$1000="",1,0),0)),"")</f>
        <v/>
      </c>
      <c r="R157" s="356" t="str">
        <f t="shared" si="9"/>
        <v/>
      </c>
      <c r="S157" s="383" t="str">
        <f t="shared" si="11"/>
        <v/>
      </c>
      <c r="T157" s="384" t="str">
        <f t="shared" si="10"/>
        <v/>
      </c>
      <c r="U157" s="349"/>
      <c r="V157" s="385"/>
      <c r="W157" s="385"/>
      <c r="X157" s="386"/>
    </row>
    <row r="158" spans="1:24" ht="16.5" customHeight="1">
      <c r="A158" s="301"/>
      <c r="B158" s="395"/>
      <c r="C158" s="371"/>
      <c r="D158" s="372" t="str">
        <f>IFERROR(INDEX('[12]Equipment List'!$B$2:$B$2038,MATCH(E158,'[12]Equipment List'!$A$2:$A$2038,0)),"")</f>
        <v/>
      </c>
      <c r="E158" s="388"/>
      <c r="F158" s="374"/>
      <c r="G158" s="375"/>
      <c r="H158" s="397"/>
      <c r="I158" s="377"/>
      <c r="J158" s="378"/>
      <c r="K158" s="379"/>
      <c r="L158" s="387"/>
      <c r="M158" s="380" t="str">
        <f t="array" ref="M158">IF(L158="","",(MAX(IF(AN$15:AN$144=B158,AO$15:AO$144))/60))</f>
        <v/>
      </c>
      <c r="N158" s="387"/>
      <c r="O158" s="387"/>
      <c r="P158" s="381" t="str">
        <f t="shared" si="8"/>
        <v/>
      </c>
      <c r="Q158" s="382" t="str">
        <f t="array" ref="Q158">IFERROR(INDEX($D$13:$D$1000,MATCH(0,COUNTIF($Q$12:Q157,$D$13:$D$1000&amp;"")+IF($D$13:$D$1000="",1,0),0)),"")</f>
        <v/>
      </c>
      <c r="R158" s="356" t="str">
        <f t="shared" si="9"/>
        <v/>
      </c>
      <c r="S158" s="383" t="str">
        <f t="shared" si="11"/>
        <v/>
      </c>
      <c r="T158" s="384" t="str">
        <f t="shared" si="10"/>
        <v/>
      </c>
      <c r="U158" s="349"/>
      <c r="V158" s="385"/>
      <c r="W158" s="385"/>
      <c r="X158" s="386"/>
    </row>
    <row r="159" spans="1:24" ht="16.5" customHeight="1">
      <c r="A159" s="301"/>
      <c r="B159" s="387"/>
      <c r="C159" s="371"/>
      <c r="D159" s="372" t="str">
        <f>IFERROR(INDEX('[12]Equipment List'!$B$2:$B$2038,MATCH(E159,'[12]Equipment List'!$A$2:$A$2038,0)),"")</f>
        <v/>
      </c>
      <c r="E159" s="388"/>
      <c r="F159" s="374"/>
      <c r="G159" s="375"/>
      <c r="H159" s="397"/>
      <c r="I159" s="377"/>
      <c r="J159" s="378"/>
      <c r="K159" s="379"/>
      <c r="L159" s="387"/>
      <c r="M159" s="380" t="str">
        <f t="array" ref="M159">IF(L159="","",(MAX(IF(AN$15:AN$144=B159,AO$15:AO$144))/60))</f>
        <v/>
      </c>
      <c r="N159" s="387"/>
      <c r="O159" s="387"/>
      <c r="P159" s="381" t="str">
        <f t="shared" si="8"/>
        <v/>
      </c>
      <c r="Q159" s="382" t="str">
        <f t="array" ref="Q159">IFERROR(INDEX($D$13:$D$1000,MATCH(0,COUNTIF($Q$12:Q158,$D$13:$D$1000&amp;"")+IF($D$13:$D$1000="",1,0),0)),"")</f>
        <v/>
      </c>
      <c r="R159" s="356" t="str">
        <f t="shared" si="9"/>
        <v/>
      </c>
      <c r="S159" s="383" t="str">
        <f t="shared" si="11"/>
        <v/>
      </c>
      <c r="T159" s="384" t="str">
        <f t="shared" si="10"/>
        <v/>
      </c>
      <c r="U159" s="349"/>
      <c r="V159" s="385"/>
      <c r="W159" s="385"/>
      <c r="X159" s="386"/>
    </row>
    <row r="160" spans="1:24" ht="16.5" customHeight="1">
      <c r="A160" s="301"/>
      <c r="B160" s="395"/>
      <c r="C160" s="371"/>
      <c r="D160" s="372" t="str">
        <f>IFERROR(INDEX('[12]Equipment List'!$B$2:$B$2038,MATCH(E160,'[12]Equipment List'!$A$2:$A$2038,0)),"")</f>
        <v/>
      </c>
      <c r="E160" s="388"/>
      <c r="F160" s="374"/>
      <c r="G160" s="375"/>
      <c r="H160" s="397"/>
      <c r="I160" s="377"/>
      <c r="J160" s="378"/>
      <c r="K160" s="379"/>
      <c r="L160" s="387"/>
      <c r="M160" s="380" t="str">
        <f t="array" ref="M160">IF(L160="","",(MAX(IF(AN$15:AN$144=B160,AO$15:AO$144))/60))</f>
        <v/>
      </c>
      <c r="N160" s="387"/>
      <c r="O160" s="387"/>
      <c r="P160" s="381" t="str">
        <f t="shared" si="8"/>
        <v/>
      </c>
      <c r="Q160" s="382" t="str">
        <f t="array" ref="Q160">IFERROR(INDEX($D$13:$D$1000,MATCH(0,COUNTIF($Q$12:Q159,$D$13:$D$1000&amp;"")+IF($D$13:$D$1000="",1,0),0)),"")</f>
        <v/>
      </c>
      <c r="R160" s="356" t="str">
        <f t="shared" si="9"/>
        <v/>
      </c>
      <c r="S160" s="383" t="str">
        <f t="shared" si="11"/>
        <v/>
      </c>
      <c r="T160" s="384" t="str">
        <f t="shared" si="10"/>
        <v/>
      </c>
      <c r="U160" s="349"/>
      <c r="V160" s="385"/>
      <c r="W160" s="385"/>
      <c r="X160" s="386"/>
    </row>
    <row r="161" spans="1:24" ht="16.5" customHeight="1">
      <c r="A161" s="301"/>
      <c r="B161" s="387"/>
      <c r="C161" s="371"/>
      <c r="D161" s="372" t="str">
        <f>IFERROR(INDEX('[12]Equipment List'!$B$2:$B$2038,MATCH(E161,'[12]Equipment List'!$A$2:$A$2038,0)),"")</f>
        <v/>
      </c>
      <c r="E161" s="388"/>
      <c r="F161" s="374"/>
      <c r="G161" s="375"/>
      <c r="H161" s="397"/>
      <c r="I161" s="377"/>
      <c r="J161" s="378"/>
      <c r="K161" s="379"/>
      <c r="L161" s="387"/>
      <c r="M161" s="380" t="str">
        <f t="array" ref="M161">IF(L161="","",(MAX(IF(AN$15:AN$144=B161,AO$15:AO$144))/60))</f>
        <v/>
      </c>
      <c r="N161" s="387"/>
      <c r="O161" s="387"/>
      <c r="P161" s="381" t="str">
        <f t="shared" si="8"/>
        <v/>
      </c>
      <c r="Q161" s="382" t="str">
        <f t="array" ref="Q161">IFERROR(INDEX($D$13:$D$1000,MATCH(0,COUNTIF($Q$12:Q160,$D$13:$D$1000&amp;"")+IF($D$13:$D$1000="",1,0),0)),"")</f>
        <v/>
      </c>
      <c r="R161" s="356" t="str">
        <f t="shared" si="9"/>
        <v/>
      </c>
      <c r="S161" s="383" t="str">
        <f t="shared" si="11"/>
        <v/>
      </c>
      <c r="T161" s="384" t="str">
        <f t="shared" si="10"/>
        <v/>
      </c>
      <c r="U161" s="349"/>
      <c r="V161" s="385"/>
      <c r="W161" s="385"/>
      <c r="X161" s="386"/>
    </row>
    <row r="162" spans="1:24" ht="16.5" customHeight="1">
      <c r="A162" s="301"/>
      <c r="B162" s="395"/>
      <c r="C162" s="371"/>
      <c r="D162" s="372" t="str">
        <f>IFERROR(INDEX('[12]Equipment List'!$B$2:$B$2038,MATCH(E162,'[12]Equipment List'!$A$2:$A$2038,0)),"")</f>
        <v/>
      </c>
      <c r="E162" s="388"/>
      <c r="F162" s="374"/>
      <c r="G162" s="375"/>
      <c r="H162" s="397"/>
      <c r="I162" s="377"/>
      <c r="J162" s="378"/>
      <c r="K162" s="379"/>
      <c r="L162" s="387"/>
      <c r="M162" s="380" t="str">
        <f t="array" ref="M162">IF(L162="","",(MAX(IF(AN$15:AN$144=B162,AO$15:AO$144))/60))</f>
        <v/>
      </c>
      <c r="N162" s="387"/>
      <c r="O162" s="387"/>
      <c r="P162" s="381" t="str">
        <f t="shared" si="8"/>
        <v/>
      </c>
      <c r="Q162" s="382" t="str">
        <f t="array" ref="Q162">IFERROR(INDEX($D$13:$D$1000,MATCH(0,COUNTIF($Q$12:Q161,$D$13:$D$1000&amp;"")+IF($D$13:$D$1000="",1,0),0)),"")</f>
        <v/>
      </c>
      <c r="R162" s="356" t="str">
        <f t="shared" si="9"/>
        <v/>
      </c>
      <c r="S162" s="383" t="str">
        <f t="shared" si="11"/>
        <v/>
      </c>
      <c r="T162" s="384" t="str">
        <f t="shared" si="10"/>
        <v/>
      </c>
      <c r="U162" s="349"/>
      <c r="V162" s="385"/>
      <c r="W162" s="385"/>
      <c r="X162" s="386"/>
    </row>
    <row r="163" spans="1:24" ht="16.5" customHeight="1">
      <c r="A163" s="301"/>
      <c r="B163" s="387"/>
      <c r="C163" s="371"/>
      <c r="D163" s="372" t="str">
        <f>IFERROR(INDEX('[12]Equipment List'!$B$2:$B$2038,MATCH(E163,'[12]Equipment List'!$A$2:$A$2038,0)),"")</f>
        <v/>
      </c>
      <c r="E163" s="388"/>
      <c r="F163" s="374"/>
      <c r="G163" s="375"/>
      <c r="H163" s="397"/>
      <c r="I163" s="377"/>
      <c r="J163" s="378"/>
      <c r="K163" s="379"/>
      <c r="L163" s="387"/>
      <c r="M163" s="380" t="str">
        <f t="array" ref="M163">IF(L163="","",(MAX(IF(AN$15:AN$144=B163,AO$15:AO$144))/60))</f>
        <v/>
      </c>
      <c r="N163" s="387"/>
      <c r="O163" s="387"/>
      <c r="P163" s="381" t="str">
        <f t="shared" si="8"/>
        <v/>
      </c>
      <c r="Q163" s="382" t="str">
        <f t="array" ref="Q163">IFERROR(INDEX($D$13:$D$1000,MATCH(0,COUNTIF($Q$12:Q162,$D$13:$D$1000&amp;"")+IF($D$13:$D$1000="",1,0),0)),"")</f>
        <v/>
      </c>
      <c r="R163" s="356" t="str">
        <f t="shared" si="9"/>
        <v/>
      </c>
      <c r="S163" s="383" t="str">
        <f t="shared" si="11"/>
        <v/>
      </c>
      <c r="T163" s="384" t="str">
        <f t="shared" si="10"/>
        <v/>
      </c>
      <c r="U163" s="349"/>
      <c r="V163" s="385"/>
      <c r="W163" s="385"/>
      <c r="X163" s="386"/>
    </row>
    <row r="164" spans="1:24" ht="16.5" customHeight="1">
      <c r="A164" s="301"/>
      <c r="B164" s="395"/>
      <c r="C164" s="371"/>
      <c r="D164" s="372" t="str">
        <f>IFERROR(INDEX('[12]Equipment List'!$B$2:$B$2038,MATCH(E164,'[12]Equipment List'!$A$2:$A$2038,0)),"")</f>
        <v/>
      </c>
      <c r="E164" s="388"/>
      <c r="F164" s="374"/>
      <c r="G164" s="375"/>
      <c r="H164" s="397"/>
      <c r="I164" s="377"/>
      <c r="J164" s="378"/>
      <c r="K164" s="379"/>
      <c r="L164" s="387"/>
      <c r="M164" s="380" t="str">
        <f t="array" ref="M164">IF(L164="","",(MAX(IF(AN$15:AN$144=B164,AO$15:AO$144))/60))</f>
        <v/>
      </c>
      <c r="N164" s="387"/>
      <c r="O164" s="387"/>
      <c r="P164" s="381" t="str">
        <f t="shared" si="8"/>
        <v/>
      </c>
      <c r="Q164" s="382" t="str">
        <f t="array" ref="Q164">IFERROR(INDEX($D$13:$D$1000,MATCH(0,COUNTIF($Q$12:Q163,$D$13:$D$1000&amp;"")+IF($D$13:$D$1000="",1,0),0)),"")</f>
        <v/>
      </c>
      <c r="R164" s="356" t="str">
        <f t="shared" si="9"/>
        <v/>
      </c>
      <c r="S164" s="383" t="str">
        <f t="shared" si="11"/>
        <v/>
      </c>
      <c r="T164" s="384" t="str">
        <f t="shared" si="10"/>
        <v/>
      </c>
      <c r="U164" s="349"/>
      <c r="V164" s="385"/>
      <c r="W164" s="385"/>
      <c r="X164" s="386"/>
    </row>
    <row r="165" spans="1:24" ht="16.5" customHeight="1">
      <c r="A165" s="301"/>
      <c r="B165" s="387"/>
      <c r="C165" s="371"/>
      <c r="D165" s="372" t="str">
        <f>IFERROR(INDEX('[12]Equipment List'!$B$2:$B$2038,MATCH(E165,'[12]Equipment List'!$A$2:$A$2038,0)),"")</f>
        <v/>
      </c>
      <c r="E165" s="388"/>
      <c r="F165" s="374"/>
      <c r="G165" s="375"/>
      <c r="H165" s="397"/>
      <c r="I165" s="377"/>
      <c r="J165" s="378"/>
      <c r="K165" s="379"/>
      <c r="L165" s="387"/>
      <c r="M165" s="380" t="str">
        <f t="array" ref="M165">IF(L165="","",(MAX(IF(AN$15:AN$144=B165,AO$15:AO$144))/60))</f>
        <v/>
      </c>
      <c r="N165" s="387"/>
      <c r="O165" s="387"/>
      <c r="P165" s="381" t="str">
        <f t="shared" si="8"/>
        <v/>
      </c>
      <c r="Q165" s="382" t="str">
        <f t="array" ref="Q165">IFERROR(INDEX($D$13:$D$1000,MATCH(0,COUNTIF($Q$12:Q164,$D$13:$D$1000&amp;"")+IF($D$13:$D$1000="",1,0),0)),"")</f>
        <v/>
      </c>
      <c r="R165" s="356" t="str">
        <f t="shared" si="9"/>
        <v/>
      </c>
      <c r="S165" s="383" t="str">
        <f t="shared" si="11"/>
        <v/>
      </c>
      <c r="T165" s="384" t="str">
        <f t="shared" si="10"/>
        <v/>
      </c>
      <c r="U165" s="349"/>
      <c r="V165" s="385"/>
      <c r="W165" s="385"/>
      <c r="X165" s="386"/>
    </row>
    <row r="166" spans="1:24" ht="16.5" customHeight="1">
      <c r="A166" s="301"/>
      <c r="B166" s="395"/>
      <c r="C166" s="371"/>
      <c r="D166" s="372" t="str">
        <f>IFERROR(INDEX('[12]Equipment List'!$B$2:$B$2038,MATCH(E166,'[12]Equipment List'!$A$2:$A$2038,0)),"")</f>
        <v/>
      </c>
      <c r="E166" s="388"/>
      <c r="F166" s="374"/>
      <c r="G166" s="375"/>
      <c r="H166" s="397"/>
      <c r="I166" s="377"/>
      <c r="J166" s="378"/>
      <c r="K166" s="379"/>
      <c r="L166" s="387"/>
      <c r="M166" s="380" t="str">
        <f t="array" ref="M166">IF(L166="","",(MAX(IF(AN$15:AN$144=B166,AO$15:AO$144))/60))</f>
        <v/>
      </c>
      <c r="N166" s="387"/>
      <c r="O166" s="387"/>
      <c r="P166" s="381" t="str">
        <f t="shared" si="8"/>
        <v/>
      </c>
      <c r="Q166" s="382" t="str">
        <f t="array" ref="Q166">IFERROR(INDEX($D$13:$D$1000,MATCH(0,COUNTIF($Q$12:Q165,$D$13:$D$1000&amp;"")+IF($D$13:$D$1000="",1,0),0)),"")</f>
        <v/>
      </c>
      <c r="R166" s="356" t="str">
        <f t="shared" si="9"/>
        <v/>
      </c>
      <c r="S166" s="383" t="str">
        <f t="shared" si="11"/>
        <v/>
      </c>
      <c r="T166" s="384" t="str">
        <f t="shared" si="10"/>
        <v/>
      </c>
      <c r="U166" s="349"/>
      <c r="V166" s="385"/>
      <c r="W166" s="385"/>
      <c r="X166" s="386"/>
    </row>
    <row r="167" spans="1:24" ht="16.5" customHeight="1">
      <c r="A167" s="301"/>
      <c r="B167" s="387"/>
      <c r="C167" s="371"/>
      <c r="D167" s="372" t="str">
        <f>IFERROR(INDEX('[12]Equipment List'!$B$2:$B$2038,MATCH(E167,'[12]Equipment List'!$A$2:$A$2038,0)),"")</f>
        <v/>
      </c>
      <c r="E167" s="388"/>
      <c r="F167" s="374"/>
      <c r="G167" s="375"/>
      <c r="H167" s="397"/>
      <c r="I167" s="377"/>
      <c r="J167" s="378"/>
      <c r="K167" s="379"/>
      <c r="L167" s="387"/>
      <c r="M167" s="380" t="str">
        <f t="array" ref="M167">IF(L167="","",(MAX(IF(AN$15:AN$144=B167,AO$15:AO$144))/60))</f>
        <v/>
      </c>
      <c r="N167" s="387"/>
      <c r="O167" s="387"/>
      <c r="P167" s="381" t="str">
        <f t="shared" si="8"/>
        <v/>
      </c>
      <c r="Q167" s="382" t="str">
        <f t="array" ref="Q167">IFERROR(INDEX($D$13:$D$1000,MATCH(0,COUNTIF($Q$12:Q166,$D$13:$D$1000&amp;"")+IF($D$13:$D$1000="",1,0),0)),"")</f>
        <v/>
      </c>
      <c r="R167" s="356" t="str">
        <f t="shared" si="9"/>
        <v/>
      </c>
      <c r="S167" s="383" t="str">
        <f t="shared" si="11"/>
        <v/>
      </c>
      <c r="T167" s="384" t="str">
        <f t="shared" si="10"/>
        <v/>
      </c>
      <c r="U167" s="349"/>
      <c r="V167" s="385"/>
      <c r="W167" s="385"/>
      <c r="X167" s="386"/>
    </row>
    <row r="168" spans="1:24" ht="16.5" customHeight="1">
      <c r="A168" s="301"/>
      <c r="B168" s="395"/>
      <c r="C168" s="371"/>
      <c r="D168" s="372" t="str">
        <f>IFERROR(INDEX('[12]Equipment List'!$B$2:$B$2038,MATCH(E168,'[12]Equipment List'!$A$2:$A$2038,0)),"")</f>
        <v/>
      </c>
      <c r="E168" s="388"/>
      <c r="F168" s="374"/>
      <c r="G168" s="375"/>
      <c r="H168" s="397"/>
      <c r="I168" s="377"/>
      <c r="J168" s="378"/>
      <c r="K168" s="379"/>
      <c r="L168" s="387"/>
      <c r="M168" s="380" t="str">
        <f t="array" ref="M168">IF(L168="","",(MAX(IF(AN$15:AN$144=B168,AO$15:AO$144))/60))</f>
        <v/>
      </c>
      <c r="N168" s="387"/>
      <c r="O168" s="387"/>
      <c r="P168" s="381" t="str">
        <f t="shared" si="8"/>
        <v/>
      </c>
      <c r="Q168" s="382" t="str">
        <f t="array" ref="Q168">IFERROR(INDEX($D$13:$D$1000,MATCH(0,COUNTIF($Q$12:Q167,$D$13:$D$1000&amp;"")+IF($D$13:$D$1000="",1,0),0)),"")</f>
        <v/>
      </c>
      <c r="R168" s="356" t="str">
        <f t="shared" si="9"/>
        <v/>
      </c>
      <c r="S168" s="383" t="str">
        <f t="shared" si="11"/>
        <v/>
      </c>
      <c r="T168" s="384" t="str">
        <f t="shared" si="10"/>
        <v/>
      </c>
      <c r="U168" s="349"/>
      <c r="V168" s="385"/>
      <c r="W168" s="385"/>
      <c r="X168" s="386"/>
    </row>
    <row r="169" spans="1:24" ht="16.5" customHeight="1">
      <c r="A169" s="301"/>
      <c r="B169" s="387"/>
      <c r="C169" s="371"/>
      <c r="D169" s="372" t="str">
        <f>IFERROR(INDEX('[12]Equipment List'!$B$2:$B$2038,MATCH(E169,'[12]Equipment List'!$A$2:$A$2038,0)),"")</f>
        <v/>
      </c>
      <c r="E169" s="388"/>
      <c r="F169" s="374"/>
      <c r="G169" s="375"/>
      <c r="H169" s="397"/>
      <c r="I169" s="377"/>
      <c r="J169" s="378"/>
      <c r="K169" s="379"/>
      <c r="L169" s="387"/>
      <c r="M169" s="380" t="str">
        <f t="array" ref="M169">IF(L169="","",(MAX(IF(AN$15:AN$144=B169,AO$15:AO$144))/60))</f>
        <v/>
      </c>
      <c r="N169" s="387"/>
      <c r="O169" s="387"/>
      <c r="P169" s="381" t="str">
        <f t="shared" si="8"/>
        <v/>
      </c>
      <c r="Q169" s="382" t="str">
        <f t="array" ref="Q169">IFERROR(INDEX($D$13:$D$1000,MATCH(0,COUNTIF($Q$12:Q168,$D$13:$D$1000&amp;"")+IF($D$13:$D$1000="",1,0),0)),"")</f>
        <v/>
      </c>
      <c r="R169" s="356" t="str">
        <f t="shared" si="9"/>
        <v/>
      </c>
      <c r="S169" s="383" t="str">
        <f t="shared" si="11"/>
        <v/>
      </c>
      <c r="T169" s="384" t="str">
        <f t="shared" si="10"/>
        <v/>
      </c>
      <c r="U169" s="349"/>
      <c r="V169" s="385"/>
      <c r="W169" s="385"/>
      <c r="X169" s="386"/>
    </row>
    <row r="170" spans="1:24" ht="16.5" customHeight="1">
      <c r="A170" s="301"/>
      <c r="B170" s="395"/>
      <c r="C170" s="371"/>
      <c r="D170" s="372" t="str">
        <f>IFERROR(INDEX('[12]Equipment List'!$B$2:$B$2038,MATCH(E170,'[12]Equipment List'!$A$2:$A$2038,0)),"")</f>
        <v/>
      </c>
      <c r="E170" s="388"/>
      <c r="F170" s="374"/>
      <c r="G170" s="375"/>
      <c r="H170" s="397"/>
      <c r="I170" s="377"/>
      <c r="J170" s="378"/>
      <c r="K170" s="379"/>
      <c r="L170" s="387"/>
      <c r="M170" s="380" t="str">
        <f t="array" ref="M170">IF(L170="","",(MAX(IF(AN$15:AN$144=B170,AO$15:AO$144))/60))</f>
        <v/>
      </c>
      <c r="N170" s="387"/>
      <c r="O170" s="387"/>
      <c r="P170" s="381" t="str">
        <f t="shared" si="8"/>
        <v/>
      </c>
      <c r="Q170" s="382" t="str">
        <f t="array" ref="Q170">IFERROR(INDEX($D$13:$D$1000,MATCH(0,COUNTIF($Q$12:Q169,$D$13:$D$1000&amp;"")+IF($D$13:$D$1000="",1,0),0)),"")</f>
        <v/>
      </c>
      <c r="R170" s="356" t="str">
        <f t="shared" si="9"/>
        <v/>
      </c>
      <c r="S170" s="383" t="str">
        <f t="shared" si="11"/>
        <v/>
      </c>
      <c r="T170" s="384" t="str">
        <f t="shared" si="10"/>
        <v/>
      </c>
      <c r="U170" s="349"/>
      <c r="V170" s="385"/>
      <c r="W170" s="385"/>
      <c r="X170" s="386"/>
    </row>
    <row r="171" spans="1:24" ht="16.5" customHeight="1">
      <c r="A171" s="301"/>
      <c r="B171" s="387"/>
      <c r="C171" s="371"/>
      <c r="D171" s="372" t="str">
        <f>IFERROR(INDEX('[12]Equipment List'!$B$2:$B$2038,MATCH(E171,'[12]Equipment List'!$A$2:$A$2038,0)),"")</f>
        <v/>
      </c>
      <c r="E171" s="388"/>
      <c r="F171" s="374"/>
      <c r="G171" s="375"/>
      <c r="H171" s="397"/>
      <c r="I171" s="377"/>
      <c r="J171" s="378"/>
      <c r="K171" s="379"/>
      <c r="L171" s="387"/>
      <c r="M171" s="380" t="str">
        <f t="array" ref="M171">IF(L171="","",(MAX(IF(AN$15:AN$144=B171,AO$15:AO$144))/60))</f>
        <v/>
      </c>
      <c r="N171" s="387"/>
      <c r="O171" s="387"/>
      <c r="P171" s="381" t="str">
        <f t="shared" si="8"/>
        <v/>
      </c>
      <c r="Q171" s="382" t="str">
        <f t="array" ref="Q171">IFERROR(INDEX($D$13:$D$1000,MATCH(0,COUNTIF($Q$12:Q170,$D$13:$D$1000&amp;"")+IF($D$13:$D$1000="",1,0),0)),"")</f>
        <v/>
      </c>
      <c r="R171" s="356" t="str">
        <f t="shared" si="9"/>
        <v/>
      </c>
      <c r="S171" s="383" t="str">
        <f t="shared" si="11"/>
        <v/>
      </c>
      <c r="T171" s="384" t="str">
        <f t="shared" si="10"/>
        <v/>
      </c>
      <c r="U171" s="349"/>
      <c r="V171" s="385"/>
      <c r="W171" s="385"/>
      <c r="X171" s="386"/>
    </row>
    <row r="172" spans="1:24" ht="16.5" customHeight="1">
      <c r="A172" s="301"/>
      <c r="B172" s="395"/>
      <c r="C172" s="371"/>
      <c r="D172" s="372" t="str">
        <f>IFERROR(INDEX('[12]Equipment List'!$B$2:$B$2038,MATCH(E172,'[12]Equipment List'!$A$2:$A$2038,0)),"")</f>
        <v/>
      </c>
      <c r="E172" s="388"/>
      <c r="F172" s="374"/>
      <c r="G172" s="375"/>
      <c r="H172" s="397"/>
      <c r="I172" s="377"/>
      <c r="J172" s="378"/>
      <c r="K172" s="379"/>
      <c r="L172" s="387"/>
      <c r="M172" s="380" t="str">
        <f t="array" ref="M172">IF(L172="","",(MAX(IF(AN$15:AN$144=B172,AO$15:AO$144))/60))</f>
        <v/>
      </c>
      <c r="N172" s="387"/>
      <c r="O172" s="387"/>
      <c r="P172" s="381" t="str">
        <f t="shared" si="8"/>
        <v/>
      </c>
      <c r="Q172" s="382" t="str">
        <f t="array" ref="Q172">IFERROR(INDEX($D$13:$D$1000,MATCH(0,COUNTIF($Q$12:Q171,$D$13:$D$1000&amp;"")+IF($D$13:$D$1000="",1,0),0)),"")</f>
        <v/>
      </c>
      <c r="R172" s="356" t="str">
        <f t="shared" si="9"/>
        <v/>
      </c>
      <c r="S172" s="383" t="str">
        <f t="shared" si="11"/>
        <v/>
      </c>
      <c r="T172" s="384" t="str">
        <f t="shared" si="10"/>
        <v/>
      </c>
      <c r="U172" s="349"/>
      <c r="V172" s="385"/>
      <c r="W172" s="385"/>
      <c r="X172" s="386"/>
    </row>
    <row r="173" spans="1:24" ht="16.5" customHeight="1">
      <c r="A173" s="301"/>
      <c r="B173" s="387"/>
      <c r="C173" s="371"/>
      <c r="D173" s="372" t="str">
        <f>IFERROR(INDEX('[12]Equipment List'!$B$2:$B$2038,MATCH(E173,'[12]Equipment List'!$A$2:$A$2038,0)),"")</f>
        <v/>
      </c>
      <c r="E173" s="388"/>
      <c r="F173" s="374"/>
      <c r="G173" s="375"/>
      <c r="H173" s="397"/>
      <c r="I173" s="377"/>
      <c r="J173" s="378"/>
      <c r="K173" s="379"/>
      <c r="L173" s="387"/>
      <c r="M173" s="380" t="str">
        <f t="array" ref="M173">IF(L173="","",(MAX(IF(AN$15:AN$144=B173,AO$15:AO$144))/60))</f>
        <v/>
      </c>
      <c r="N173" s="387"/>
      <c r="O173" s="387"/>
      <c r="P173" s="381" t="str">
        <f t="shared" si="8"/>
        <v/>
      </c>
      <c r="Q173" s="382" t="str">
        <f t="array" ref="Q173">IFERROR(INDEX($D$13:$D$1000,MATCH(0,COUNTIF($Q$12:Q172,$D$13:$D$1000&amp;"")+IF($D$13:$D$1000="",1,0),0)),"")</f>
        <v/>
      </c>
      <c r="R173" s="356" t="str">
        <f t="shared" si="9"/>
        <v/>
      </c>
      <c r="S173" s="383" t="str">
        <f t="shared" si="11"/>
        <v/>
      </c>
      <c r="T173" s="384" t="str">
        <f t="shared" si="10"/>
        <v/>
      </c>
      <c r="U173" s="349"/>
      <c r="V173" s="385"/>
      <c r="W173" s="385"/>
      <c r="X173" s="386"/>
    </row>
    <row r="174" spans="1:24" ht="16.5" customHeight="1">
      <c r="A174" s="301"/>
      <c r="B174" s="395"/>
      <c r="C174" s="371"/>
      <c r="D174" s="372" t="str">
        <f>IFERROR(INDEX('[12]Equipment List'!$B$2:$B$2038,MATCH(E174,'[12]Equipment List'!$A$2:$A$2038,0)),"")</f>
        <v/>
      </c>
      <c r="E174" s="388"/>
      <c r="F174" s="374"/>
      <c r="G174" s="375"/>
      <c r="H174" s="397"/>
      <c r="I174" s="377"/>
      <c r="J174" s="378"/>
      <c r="K174" s="379"/>
      <c r="L174" s="387"/>
      <c r="M174" s="380" t="str">
        <f t="array" ref="M174">IF(L174="","",(MAX(IF(AN$15:AN$144=B174,AO$15:AO$144))/60))</f>
        <v/>
      </c>
      <c r="N174" s="387"/>
      <c r="O174" s="387"/>
      <c r="P174" s="381" t="str">
        <f t="shared" si="8"/>
        <v/>
      </c>
      <c r="Q174" s="382" t="str">
        <f t="array" ref="Q174">IFERROR(INDEX($D$13:$D$1000,MATCH(0,COUNTIF($Q$12:Q173,$D$13:$D$1000&amp;"")+IF($D$13:$D$1000="",1,0),0)),"")</f>
        <v/>
      </c>
      <c r="R174" s="356" t="str">
        <f t="shared" si="9"/>
        <v/>
      </c>
      <c r="S174" s="383" t="str">
        <f t="shared" si="11"/>
        <v/>
      </c>
      <c r="T174" s="384" t="str">
        <f t="shared" si="10"/>
        <v/>
      </c>
      <c r="U174" s="349"/>
      <c r="V174" s="385"/>
      <c r="W174" s="385"/>
      <c r="X174" s="386"/>
    </row>
    <row r="175" spans="1:24" ht="16.5" customHeight="1">
      <c r="A175" s="301"/>
      <c r="B175" s="387"/>
      <c r="C175" s="371"/>
      <c r="D175" s="372" t="str">
        <f>IFERROR(INDEX('[12]Equipment List'!$B$2:$B$2038,MATCH(E175,'[12]Equipment List'!$A$2:$A$2038,0)),"")</f>
        <v/>
      </c>
      <c r="E175" s="388"/>
      <c r="F175" s="374"/>
      <c r="G175" s="375"/>
      <c r="H175" s="397"/>
      <c r="I175" s="377"/>
      <c r="J175" s="378"/>
      <c r="K175" s="379"/>
      <c r="L175" s="387"/>
      <c r="M175" s="380" t="str">
        <f t="array" ref="M175">IF(L175="","",(MAX(IF(AN$15:AN$144=B175,AO$15:AO$144))/60))</f>
        <v/>
      </c>
      <c r="N175" s="387"/>
      <c r="O175" s="387"/>
      <c r="P175" s="381" t="str">
        <f t="shared" si="8"/>
        <v/>
      </c>
      <c r="Q175" s="382" t="str">
        <f t="array" ref="Q175">IFERROR(INDEX($D$13:$D$1000,MATCH(0,COUNTIF($Q$12:Q174,$D$13:$D$1000&amp;"")+IF($D$13:$D$1000="",1,0),0)),"")</f>
        <v/>
      </c>
      <c r="R175" s="356" t="str">
        <f t="shared" si="9"/>
        <v/>
      </c>
      <c r="S175" s="383" t="str">
        <f t="shared" si="11"/>
        <v/>
      </c>
      <c r="T175" s="384" t="str">
        <f t="shared" si="10"/>
        <v/>
      </c>
      <c r="U175" s="349"/>
      <c r="V175" s="385"/>
      <c r="W175" s="385"/>
      <c r="X175" s="386"/>
    </row>
    <row r="176" spans="1:24" ht="16.5" customHeight="1">
      <c r="A176" s="301"/>
      <c r="B176" s="395"/>
      <c r="C176" s="371"/>
      <c r="D176" s="372" t="str">
        <f>IFERROR(INDEX('[12]Equipment List'!$B$2:$B$2038,MATCH(E176,'[12]Equipment List'!$A$2:$A$2038,0)),"")</f>
        <v/>
      </c>
      <c r="E176" s="388"/>
      <c r="F176" s="374"/>
      <c r="G176" s="375"/>
      <c r="H176" s="397"/>
      <c r="I176" s="377"/>
      <c r="J176" s="378"/>
      <c r="K176" s="379"/>
      <c r="L176" s="387"/>
      <c r="M176" s="380" t="str">
        <f t="array" ref="M176">IF(L176="","",(MAX(IF(AN$15:AN$144=B176,AO$15:AO$144))/60))</f>
        <v/>
      </c>
      <c r="N176" s="387"/>
      <c r="O176" s="387"/>
      <c r="P176" s="381" t="str">
        <f t="shared" si="8"/>
        <v/>
      </c>
      <c r="Q176" s="382" t="str">
        <f t="array" ref="Q176">IFERROR(INDEX($D$13:$D$1000,MATCH(0,COUNTIF($Q$12:Q175,$D$13:$D$1000&amp;"")+IF($D$13:$D$1000="",1,0),0)),"")</f>
        <v/>
      </c>
      <c r="R176" s="356" t="str">
        <f t="shared" si="9"/>
        <v/>
      </c>
      <c r="S176" s="383" t="str">
        <f t="shared" si="11"/>
        <v/>
      </c>
      <c r="T176" s="384" t="str">
        <f t="shared" si="10"/>
        <v/>
      </c>
      <c r="U176" s="349"/>
      <c r="V176" s="385"/>
      <c r="W176" s="385"/>
      <c r="X176" s="386"/>
    </row>
    <row r="177" spans="1:24" ht="16.5" customHeight="1">
      <c r="A177" s="301"/>
      <c r="B177" s="387"/>
      <c r="C177" s="371"/>
      <c r="D177" s="372" t="str">
        <f>IFERROR(INDEX('[12]Equipment List'!$B$2:$B$2038,MATCH(E177,'[12]Equipment List'!$A$2:$A$2038,0)),"")</f>
        <v/>
      </c>
      <c r="E177" s="388"/>
      <c r="F177" s="374"/>
      <c r="G177" s="375"/>
      <c r="H177" s="397"/>
      <c r="I177" s="377"/>
      <c r="J177" s="378"/>
      <c r="K177" s="379"/>
      <c r="L177" s="387"/>
      <c r="M177" s="380" t="str">
        <f t="array" ref="M177">IF(L177="","",(MAX(IF(AN$15:AN$144=B177,AO$15:AO$144))/60))</f>
        <v/>
      </c>
      <c r="N177" s="387"/>
      <c r="O177" s="387"/>
      <c r="P177" s="381" t="str">
        <f t="shared" si="8"/>
        <v/>
      </c>
      <c r="Q177" s="382" t="str">
        <f t="array" ref="Q177">IFERROR(INDEX($D$13:$D$1000,MATCH(0,COUNTIF($Q$12:Q176,$D$13:$D$1000&amp;"")+IF($D$13:$D$1000="",1,0),0)),"")</f>
        <v/>
      </c>
      <c r="R177" s="356" t="str">
        <f t="shared" si="9"/>
        <v/>
      </c>
      <c r="S177" s="383" t="str">
        <f t="shared" si="11"/>
        <v/>
      </c>
      <c r="T177" s="384" t="str">
        <f t="shared" si="10"/>
        <v/>
      </c>
      <c r="U177" s="349"/>
      <c r="V177" s="385"/>
      <c r="W177" s="385"/>
      <c r="X177" s="386"/>
    </row>
    <row r="178" spans="1:24" ht="16.5" customHeight="1">
      <c r="A178" s="301"/>
      <c r="B178" s="395"/>
      <c r="C178" s="371"/>
      <c r="D178" s="372" t="str">
        <f>IFERROR(INDEX('[12]Equipment List'!$B$2:$B$2038,MATCH(E178,'[12]Equipment List'!$A$2:$A$2038,0)),"")</f>
        <v/>
      </c>
      <c r="E178" s="388"/>
      <c r="F178" s="374"/>
      <c r="G178" s="375"/>
      <c r="H178" s="397"/>
      <c r="I178" s="377"/>
      <c r="J178" s="378"/>
      <c r="K178" s="379"/>
      <c r="L178" s="387"/>
      <c r="M178" s="380" t="str">
        <f t="array" ref="M178">IF(L178="","",(MAX(IF(AN$15:AN$144=B178,AO$15:AO$144))/60))</f>
        <v/>
      </c>
      <c r="N178" s="387"/>
      <c r="O178" s="387"/>
      <c r="P178" s="381" t="str">
        <f t="shared" si="8"/>
        <v/>
      </c>
      <c r="Q178" s="382" t="str">
        <f t="array" ref="Q178">IFERROR(INDEX($D$13:$D$1000,MATCH(0,COUNTIF($Q$12:Q177,$D$13:$D$1000&amp;"")+IF($D$13:$D$1000="",1,0),0)),"")</f>
        <v/>
      </c>
      <c r="R178" s="356" t="str">
        <f t="shared" si="9"/>
        <v/>
      </c>
      <c r="S178" s="383" t="str">
        <f t="shared" si="11"/>
        <v/>
      </c>
      <c r="T178" s="384" t="str">
        <f t="shared" si="10"/>
        <v/>
      </c>
      <c r="U178" s="349"/>
      <c r="V178" s="385"/>
      <c r="W178" s="385"/>
      <c r="X178" s="386"/>
    </row>
    <row r="179" spans="1:24" ht="16.5" customHeight="1">
      <c r="A179" s="301"/>
      <c r="B179" s="387"/>
      <c r="C179" s="371"/>
      <c r="D179" s="372" t="str">
        <f>IFERROR(INDEX('[12]Equipment List'!$B$2:$B$2038,MATCH(E179,'[12]Equipment List'!$A$2:$A$2038,0)),"")</f>
        <v/>
      </c>
      <c r="E179" s="388"/>
      <c r="F179" s="374"/>
      <c r="G179" s="375"/>
      <c r="H179" s="397"/>
      <c r="I179" s="377"/>
      <c r="J179" s="378"/>
      <c r="K179" s="379"/>
      <c r="L179" s="387"/>
      <c r="M179" s="380" t="str">
        <f t="array" ref="M179">IF(L179="","",(MAX(IF(AN$15:AN$144=B179,AO$15:AO$144))/60))</f>
        <v/>
      </c>
      <c r="N179" s="387"/>
      <c r="O179" s="387"/>
      <c r="P179" s="381" t="str">
        <f t="shared" si="8"/>
        <v/>
      </c>
      <c r="Q179" s="382" t="str">
        <f t="array" ref="Q179">IFERROR(INDEX($D$13:$D$1000,MATCH(0,COUNTIF($Q$12:Q178,$D$13:$D$1000&amp;"")+IF($D$13:$D$1000="",1,0),0)),"")</f>
        <v/>
      </c>
      <c r="R179" s="356" t="str">
        <f t="shared" si="9"/>
        <v/>
      </c>
      <c r="S179" s="383" t="str">
        <f t="shared" si="11"/>
        <v/>
      </c>
      <c r="T179" s="384" t="str">
        <f t="shared" si="10"/>
        <v/>
      </c>
      <c r="U179" s="349"/>
      <c r="V179" s="385"/>
      <c r="W179" s="385"/>
      <c r="X179" s="386"/>
    </row>
    <row r="180" spans="1:24" ht="16.5" customHeight="1">
      <c r="A180" s="301"/>
      <c r="B180" s="395"/>
      <c r="C180" s="371"/>
      <c r="D180" s="372" t="str">
        <f>IFERROR(INDEX('[12]Equipment List'!$B$2:$B$2038,MATCH(E180,'[12]Equipment List'!$A$2:$A$2038,0)),"")</f>
        <v/>
      </c>
      <c r="E180" s="388"/>
      <c r="F180" s="374"/>
      <c r="G180" s="375"/>
      <c r="H180" s="397"/>
      <c r="I180" s="377"/>
      <c r="J180" s="378"/>
      <c r="K180" s="379"/>
      <c r="L180" s="387"/>
      <c r="M180" s="380" t="str">
        <f t="array" ref="M180">IF(L180="","",(MAX(IF(AN$15:AN$144=B180,AO$15:AO$144))/60))</f>
        <v/>
      </c>
      <c r="N180" s="387"/>
      <c r="O180" s="387"/>
      <c r="P180" s="381" t="str">
        <f t="shared" si="8"/>
        <v/>
      </c>
      <c r="Q180" s="382" t="str">
        <f t="array" ref="Q180">IFERROR(INDEX($D$13:$D$1000,MATCH(0,COUNTIF($Q$12:Q179,$D$13:$D$1000&amp;"")+IF($D$13:$D$1000="",1,0),0)),"")</f>
        <v/>
      </c>
      <c r="R180" s="356" t="str">
        <f t="shared" si="9"/>
        <v/>
      </c>
      <c r="S180" s="383" t="str">
        <f t="shared" si="11"/>
        <v/>
      </c>
      <c r="T180" s="384" t="str">
        <f t="shared" si="10"/>
        <v/>
      </c>
      <c r="U180" s="349"/>
      <c r="V180" s="385"/>
      <c r="W180" s="385"/>
      <c r="X180" s="386"/>
    </row>
    <row r="181" spans="1:24" ht="16.5" customHeight="1">
      <c r="A181" s="301"/>
      <c r="B181" s="387"/>
      <c r="C181" s="371"/>
      <c r="D181" s="372" t="str">
        <f>IFERROR(INDEX('[12]Equipment List'!$B$2:$B$2038,MATCH(E181,'[12]Equipment List'!$A$2:$A$2038,0)),"")</f>
        <v/>
      </c>
      <c r="E181" s="388"/>
      <c r="F181" s="374"/>
      <c r="G181" s="375"/>
      <c r="H181" s="397"/>
      <c r="I181" s="377"/>
      <c r="J181" s="378"/>
      <c r="K181" s="379"/>
      <c r="L181" s="387"/>
      <c r="M181" s="380" t="str">
        <f t="array" ref="M181">IF(L181="","",(MAX(IF(AN$15:AN$144=B181,AO$15:AO$144))/60))</f>
        <v/>
      </c>
      <c r="N181" s="387"/>
      <c r="O181" s="387"/>
      <c r="P181" s="381" t="str">
        <f t="shared" si="8"/>
        <v/>
      </c>
      <c r="Q181" s="382" t="str">
        <f t="array" ref="Q181">IFERROR(INDEX($D$13:$D$1000,MATCH(0,COUNTIF($Q$12:Q180,$D$13:$D$1000&amp;"")+IF($D$13:$D$1000="",1,0),0)),"")</f>
        <v/>
      </c>
      <c r="R181" s="356" t="str">
        <f t="shared" si="9"/>
        <v/>
      </c>
      <c r="S181" s="383" t="str">
        <f t="shared" si="11"/>
        <v/>
      </c>
      <c r="T181" s="384" t="str">
        <f t="shared" si="10"/>
        <v/>
      </c>
      <c r="U181" s="349"/>
      <c r="V181" s="385"/>
      <c r="W181" s="385"/>
      <c r="X181" s="386"/>
    </row>
    <row r="182" spans="1:24" ht="16.5" customHeight="1">
      <c r="A182" s="301"/>
      <c r="B182" s="395"/>
      <c r="C182" s="371"/>
      <c r="D182" s="372" t="str">
        <f>IFERROR(INDEX('[12]Equipment List'!$B$2:$B$2038,MATCH(E182,'[12]Equipment List'!$A$2:$A$2038,0)),"")</f>
        <v/>
      </c>
      <c r="E182" s="388"/>
      <c r="F182" s="374"/>
      <c r="G182" s="375"/>
      <c r="H182" s="397"/>
      <c r="I182" s="377"/>
      <c r="J182" s="378"/>
      <c r="K182" s="379"/>
      <c r="L182" s="387"/>
      <c r="M182" s="380" t="str">
        <f t="array" ref="M182">IF(L182="","",(MAX(IF(AN$15:AN$144=B182,AO$15:AO$144))/60))</f>
        <v/>
      </c>
      <c r="N182" s="387"/>
      <c r="O182" s="387"/>
      <c r="P182" s="381" t="str">
        <f t="shared" si="8"/>
        <v/>
      </c>
      <c r="Q182" s="382" t="str">
        <f t="array" ref="Q182">IFERROR(INDEX($D$13:$D$1000,MATCH(0,COUNTIF($Q$12:Q181,$D$13:$D$1000&amp;"")+IF($D$13:$D$1000="",1,0),0)),"")</f>
        <v/>
      </c>
      <c r="R182" s="356" t="str">
        <f t="shared" si="9"/>
        <v/>
      </c>
      <c r="S182" s="383" t="str">
        <f t="shared" si="11"/>
        <v/>
      </c>
      <c r="T182" s="384" t="str">
        <f t="shared" si="10"/>
        <v/>
      </c>
      <c r="U182" s="349"/>
      <c r="V182" s="385"/>
      <c r="W182" s="385"/>
      <c r="X182" s="386"/>
    </row>
    <row r="183" spans="1:24" ht="16.5" customHeight="1">
      <c r="A183" s="301"/>
      <c r="B183" s="387"/>
      <c r="C183" s="371"/>
      <c r="D183" s="372" t="str">
        <f>IFERROR(INDEX('[12]Equipment List'!$B$2:$B$2038,MATCH(E183,'[12]Equipment List'!$A$2:$A$2038,0)),"")</f>
        <v/>
      </c>
      <c r="E183" s="388"/>
      <c r="F183" s="374"/>
      <c r="G183" s="375"/>
      <c r="H183" s="397"/>
      <c r="I183" s="377"/>
      <c r="J183" s="378"/>
      <c r="K183" s="379"/>
      <c r="L183" s="387"/>
      <c r="M183" s="380" t="str">
        <f t="array" ref="M183">IF(L183="","",(MAX(IF(AN$15:AN$144=B183,AO$15:AO$144))/60))</f>
        <v/>
      </c>
      <c r="N183" s="387"/>
      <c r="O183" s="387"/>
      <c r="P183" s="381" t="str">
        <f t="shared" si="8"/>
        <v/>
      </c>
      <c r="Q183" s="382" t="str">
        <f t="array" ref="Q183">IFERROR(INDEX($D$13:$D$1000,MATCH(0,COUNTIF($Q$12:Q182,$D$13:$D$1000&amp;"")+IF($D$13:$D$1000="",1,0),0)),"")</f>
        <v/>
      </c>
      <c r="R183" s="356" t="str">
        <f t="shared" si="9"/>
        <v/>
      </c>
      <c r="S183" s="383" t="str">
        <f t="shared" si="11"/>
        <v/>
      </c>
      <c r="T183" s="384" t="str">
        <f t="shared" si="10"/>
        <v/>
      </c>
      <c r="U183" s="349"/>
      <c r="V183" s="385"/>
      <c r="W183" s="385"/>
      <c r="X183" s="386"/>
    </row>
    <row r="184" spans="1:24" ht="16.5" customHeight="1">
      <c r="A184" s="301"/>
      <c r="B184" s="395"/>
      <c r="C184" s="371"/>
      <c r="D184" s="372" t="str">
        <f>IFERROR(INDEX('[12]Equipment List'!$B$2:$B$2038,MATCH(E184,'[12]Equipment List'!$A$2:$A$2038,0)),"")</f>
        <v/>
      </c>
      <c r="E184" s="388"/>
      <c r="F184" s="374"/>
      <c r="G184" s="375"/>
      <c r="H184" s="397"/>
      <c r="I184" s="377"/>
      <c r="J184" s="378"/>
      <c r="K184" s="379"/>
      <c r="L184" s="387"/>
      <c r="M184" s="380" t="str">
        <f t="array" ref="M184">IF(L184="","",(MAX(IF(AN$15:AN$144=B184,AO$15:AO$144))/60))</f>
        <v/>
      </c>
      <c r="N184" s="387"/>
      <c r="O184" s="387"/>
      <c r="P184" s="381" t="str">
        <f t="shared" si="8"/>
        <v/>
      </c>
      <c r="Q184" s="382" t="str">
        <f t="array" ref="Q184">IFERROR(INDEX($D$13:$D$1000,MATCH(0,COUNTIF($Q$12:Q183,$D$13:$D$1000&amp;"")+IF($D$13:$D$1000="",1,0),0)),"")</f>
        <v/>
      </c>
      <c r="R184" s="356" t="str">
        <f t="shared" si="9"/>
        <v/>
      </c>
      <c r="S184" s="383" t="str">
        <f t="shared" si="11"/>
        <v/>
      </c>
      <c r="T184" s="384" t="str">
        <f t="shared" si="10"/>
        <v/>
      </c>
      <c r="U184" s="349"/>
      <c r="V184" s="385"/>
      <c r="W184" s="385"/>
      <c r="X184" s="386"/>
    </row>
    <row r="185" spans="1:24" ht="16.5" customHeight="1">
      <c r="A185" s="301"/>
      <c r="B185" s="387"/>
      <c r="C185" s="371"/>
      <c r="D185" s="372" t="str">
        <f>IFERROR(INDEX('[12]Equipment List'!$B$2:$B$2038,MATCH(E185,'[12]Equipment List'!$A$2:$A$2038,0)),"")</f>
        <v/>
      </c>
      <c r="E185" s="388"/>
      <c r="F185" s="374"/>
      <c r="G185" s="375"/>
      <c r="H185" s="397"/>
      <c r="I185" s="377"/>
      <c r="J185" s="378"/>
      <c r="K185" s="379"/>
      <c r="L185" s="387"/>
      <c r="M185" s="380" t="str">
        <f t="array" ref="M185">IF(L185="","",(MAX(IF(AN$15:AN$144=B185,AO$15:AO$144))/60))</f>
        <v/>
      </c>
      <c r="N185" s="387"/>
      <c r="O185" s="387"/>
      <c r="P185" s="381" t="str">
        <f t="shared" si="8"/>
        <v/>
      </c>
      <c r="Q185" s="382" t="str">
        <f t="array" ref="Q185">IFERROR(INDEX($D$13:$D$1000,MATCH(0,COUNTIF($Q$12:Q184,$D$13:$D$1000&amp;"")+IF($D$13:$D$1000="",1,0),0)),"")</f>
        <v/>
      </c>
      <c r="R185" s="356" t="str">
        <f t="shared" si="9"/>
        <v/>
      </c>
      <c r="S185" s="383" t="str">
        <f t="shared" si="11"/>
        <v/>
      </c>
      <c r="T185" s="384" t="str">
        <f t="shared" si="10"/>
        <v/>
      </c>
      <c r="U185" s="349"/>
      <c r="V185" s="385"/>
      <c r="W185" s="385"/>
      <c r="X185" s="386"/>
    </row>
    <row r="186" spans="1:24" ht="16.5" customHeight="1">
      <c r="A186" s="301"/>
      <c r="B186" s="395"/>
      <c r="C186" s="371"/>
      <c r="D186" s="372" t="str">
        <f>IFERROR(INDEX('[12]Equipment List'!$B$2:$B$2038,MATCH(E186,'[12]Equipment List'!$A$2:$A$2038,0)),"")</f>
        <v/>
      </c>
      <c r="E186" s="388"/>
      <c r="F186" s="374"/>
      <c r="G186" s="375"/>
      <c r="H186" s="397"/>
      <c r="I186" s="377"/>
      <c r="J186" s="378"/>
      <c r="K186" s="379"/>
      <c r="L186" s="387"/>
      <c r="M186" s="380" t="str">
        <f t="array" ref="M186">IF(L186="","",(MAX(IF(AN$15:AN$144=B186,AO$15:AO$144))/60))</f>
        <v/>
      </c>
      <c r="N186" s="387"/>
      <c r="O186" s="387"/>
      <c r="P186" s="381" t="str">
        <f t="shared" si="8"/>
        <v/>
      </c>
      <c r="Q186" s="382" t="str">
        <f t="array" ref="Q186">IFERROR(INDEX($D$13:$D$1000,MATCH(0,COUNTIF($Q$12:Q185,$D$13:$D$1000&amp;"")+IF($D$13:$D$1000="",1,0),0)),"")</f>
        <v/>
      </c>
      <c r="R186" s="356" t="str">
        <f t="shared" si="9"/>
        <v/>
      </c>
      <c r="S186" s="383" t="str">
        <f t="shared" si="11"/>
        <v/>
      </c>
      <c r="T186" s="384" t="str">
        <f t="shared" si="10"/>
        <v/>
      </c>
      <c r="U186" s="349"/>
      <c r="V186" s="385"/>
      <c r="W186" s="385"/>
      <c r="X186" s="386"/>
    </row>
    <row r="187" spans="1:24" ht="16.5" customHeight="1">
      <c r="A187" s="301"/>
      <c r="B187" s="387"/>
      <c r="C187" s="371"/>
      <c r="D187" s="372" t="str">
        <f>IFERROR(INDEX('[12]Equipment List'!$B$2:$B$2038,MATCH(E187,'[12]Equipment List'!$A$2:$A$2038,0)),"")</f>
        <v/>
      </c>
      <c r="E187" s="388"/>
      <c r="F187" s="374"/>
      <c r="G187" s="375"/>
      <c r="H187" s="397"/>
      <c r="I187" s="377"/>
      <c r="J187" s="378"/>
      <c r="K187" s="379"/>
      <c r="L187" s="387"/>
      <c r="M187" s="380" t="str">
        <f t="array" ref="M187">IF(L187="","",(MAX(IF(AN$15:AN$144=B187,AO$15:AO$144))/60))</f>
        <v/>
      </c>
      <c r="N187" s="387"/>
      <c r="O187" s="387"/>
      <c r="P187" s="381" t="str">
        <f t="shared" si="8"/>
        <v/>
      </c>
      <c r="Q187" s="382" t="str">
        <f t="array" ref="Q187">IFERROR(INDEX($D$13:$D$1000,MATCH(0,COUNTIF($Q$12:Q186,$D$13:$D$1000&amp;"")+IF($D$13:$D$1000="",1,0),0)),"")</f>
        <v/>
      </c>
      <c r="R187" s="356" t="str">
        <f t="shared" si="9"/>
        <v/>
      </c>
      <c r="S187" s="383" t="str">
        <f t="shared" si="11"/>
        <v/>
      </c>
      <c r="T187" s="384" t="str">
        <f t="shared" si="10"/>
        <v/>
      </c>
      <c r="U187" s="349"/>
      <c r="V187" s="385"/>
      <c r="W187" s="385"/>
      <c r="X187" s="386"/>
    </row>
    <row r="188" spans="1:24" ht="16.5" customHeight="1">
      <c r="A188" s="301"/>
      <c r="B188" s="395"/>
      <c r="C188" s="371"/>
      <c r="D188" s="372" t="str">
        <f>IFERROR(INDEX('[12]Equipment List'!$B$2:$B$2038,MATCH(E188,'[12]Equipment List'!$A$2:$A$2038,0)),"")</f>
        <v/>
      </c>
      <c r="E188" s="388"/>
      <c r="F188" s="374"/>
      <c r="G188" s="375"/>
      <c r="H188" s="397"/>
      <c r="I188" s="377"/>
      <c r="J188" s="378"/>
      <c r="K188" s="379"/>
      <c r="L188" s="387"/>
      <c r="M188" s="380" t="str">
        <f t="array" ref="M188">IF(L188="","",(MAX(IF(AN$15:AN$144=B188,AO$15:AO$144))/60))</f>
        <v/>
      </c>
      <c r="N188" s="387"/>
      <c r="O188" s="387"/>
      <c r="P188" s="381" t="str">
        <f t="shared" si="8"/>
        <v/>
      </c>
      <c r="Q188" s="382" t="str">
        <f t="array" ref="Q188">IFERROR(INDEX($D$13:$D$1000,MATCH(0,COUNTIF($Q$12:Q187,$D$13:$D$1000&amp;"")+IF($D$13:$D$1000="",1,0),0)),"")</f>
        <v/>
      </c>
      <c r="R188" s="356" t="str">
        <f t="shared" si="9"/>
        <v/>
      </c>
      <c r="S188" s="383" t="str">
        <f t="shared" si="11"/>
        <v/>
      </c>
      <c r="T188" s="384" t="str">
        <f t="shared" si="10"/>
        <v/>
      </c>
      <c r="U188" s="349"/>
      <c r="V188" s="385"/>
      <c r="W188" s="385"/>
      <c r="X188" s="386"/>
    </row>
    <row r="189" spans="1:24" ht="16.5" customHeight="1">
      <c r="A189" s="301"/>
      <c r="B189" s="387"/>
      <c r="C189" s="371"/>
      <c r="D189" s="372" t="str">
        <f>IFERROR(INDEX('[12]Equipment List'!$B$2:$B$2038,MATCH(E189,'[12]Equipment List'!$A$2:$A$2038,0)),"")</f>
        <v/>
      </c>
      <c r="E189" s="388"/>
      <c r="F189" s="374"/>
      <c r="G189" s="375"/>
      <c r="H189" s="397"/>
      <c r="I189" s="377"/>
      <c r="J189" s="378"/>
      <c r="K189" s="379"/>
      <c r="L189" s="387"/>
      <c r="M189" s="380" t="str">
        <f t="array" ref="M189">IF(L189="","",(MAX(IF(AN$15:AN$144=B189,AO$15:AO$144))/60))</f>
        <v/>
      </c>
      <c r="N189" s="387"/>
      <c r="O189" s="387"/>
      <c r="P189" s="381" t="str">
        <f t="shared" si="8"/>
        <v/>
      </c>
      <c r="Q189" s="382" t="str">
        <f t="array" ref="Q189">IFERROR(INDEX($D$13:$D$1000,MATCH(0,COUNTIF($Q$12:Q188,$D$13:$D$1000&amp;"")+IF($D$13:$D$1000="",1,0),0)),"")</f>
        <v/>
      </c>
      <c r="R189" s="356" t="str">
        <f t="shared" si="9"/>
        <v/>
      </c>
      <c r="S189" s="383" t="str">
        <f t="shared" si="11"/>
        <v/>
      </c>
      <c r="T189" s="384" t="str">
        <f t="shared" si="10"/>
        <v/>
      </c>
      <c r="U189" s="349"/>
      <c r="V189" s="385"/>
      <c r="W189" s="385"/>
      <c r="X189" s="386"/>
    </row>
    <row r="190" spans="1:24" ht="16.5" customHeight="1">
      <c r="A190" s="301"/>
      <c r="B190" s="395"/>
      <c r="C190" s="371"/>
      <c r="D190" s="372" t="str">
        <f>IFERROR(INDEX('[12]Equipment List'!$B$2:$B$2038,MATCH(E190,'[12]Equipment List'!$A$2:$A$2038,0)),"")</f>
        <v/>
      </c>
      <c r="E190" s="388"/>
      <c r="F190" s="374"/>
      <c r="G190" s="375"/>
      <c r="H190" s="397"/>
      <c r="I190" s="377"/>
      <c r="J190" s="378"/>
      <c r="K190" s="379"/>
      <c r="L190" s="387"/>
      <c r="M190" s="380" t="str">
        <f t="array" ref="M190">IF(L190="","",(MAX(IF(AN$15:AN$144=B190,AO$15:AO$144))/60))</f>
        <v/>
      </c>
      <c r="N190" s="387"/>
      <c r="O190" s="387"/>
      <c r="P190" s="381" t="str">
        <f t="shared" si="8"/>
        <v/>
      </c>
      <c r="Q190" s="382" t="str">
        <f t="array" ref="Q190">IFERROR(INDEX($D$13:$D$1000,MATCH(0,COUNTIF($Q$12:Q189,$D$13:$D$1000&amp;"")+IF($D$13:$D$1000="",1,0),0)),"")</f>
        <v/>
      </c>
      <c r="R190" s="356" t="str">
        <f t="shared" si="9"/>
        <v/>
      </c>
      <c r="S190" s="383" t="str">
        <f t="shared" si="11"/>
        <v/>
      </c>
      <c r="T190" s="384" t="str">
        <f t="shared" si="10"/>
        <v/>
      </c>
      <c r="U190" s="349"/>
      <c r="V190" s="385"/>
      <c r="W190" s="385"/>
      <c r="X190" s="386"/>
    </row>
    <row r="191" spans="1:24" ht="16.5" customHeight="1">
      <c r="A191" s="301"/>
      <c r="B191" s="387"/>
      <c r="C191" s="371"/>
      <c r="D191" s="372" t="str">
        <f>IFERROR(INDEX('[12]Equipment List'!$B$2:$B$2038,MATCH(E191,'[12]Equipment List'!$A$2:$A$2038,0)),"")</f>
        <v/>
      </c>
      <c r="E191" s="388"/>
      <c r="F191" s="374"/>
      <c r="G191" s="375"/>
      <c r="H191" s="397"/>
      <c r="I191" s="377"/>
      <c r="J191" s="378"/>
      <c r="K191" s="379"/>
      <c r="L191" s="387"/>
      <c r="M191" s="380" t="str">
        <f t="array" ref="M191">IF(L191="","",(MAX(IF(AN$15:AN$144=B191,AO$15:AO$144))/60))</f>
        <v/>
      </c>
      <c r="N191" s="387"/>
      <c r="O191" s="387"/>
      <c r="P191" s="381" t="str">
        <f t="shared" si="8"/>
        <v/>
      </c>
      <c r="Q191" s="382" t="str">
        <f t="array" ref="Q191">IFERROR(INDEX($D$13:$D$1000,MATCH(0,COUNTIF($Q$12:Q190,$D$13:$D$1000&amp;"")+IF($D$13:$D$1000="",1,0),0)),"")</f>
        <v/>
      </c>
      <c r="R191" s="356" t="str">
        <f t="shared" si="9"/>
        <v/>
      </c>
      <c r="S191" s="383" t="str">
        <f t="shared" si="11"/>
        <v/>
      </c>
      <c r="T191" s="384" t="str">
        <f t="shared" si="10"/>
        <v/>
      </c>
      <c r="U191" s="349"/>
      <c r="V191" s="385"/>
      <c r="W191" s="385"/>
      <c r="X191" s="386"/>
    </row>
    <row r="192" spans="1:24" ht="16.5" customHeight="1">
      <c r="A192" s="301"/>
      <c r="B192" s="395"/>
      <c r="C192" s="371"/>
      <c r="D192" s="372" t="str">
        <f>IFERROR(INDEX('[12]Equipment List'!$B$2:$B$2038,MATCH(E192,'[12]Equipment List'!$A$2:$A$2038,0)),"")</f>
        <v/>
      </c>
      <c r="E192" s="388"/>
      <c r="F192" s="374"/>
      <c r="G192" s="375"/>
      <c r="H192" s="397"/>
      <c r="I192" s="377"/>
      <c r="J192" s="378"/>
      <c r="K192" s="379"/>
      <c r="L192" s="387"/>
      <c r="M192" s="380" t="str">
        <f t="array" ref="M192">IF(L192="","",(MAX(IF(AN$15:AN$144=B192,AO$15:AO$144))/60))</f>
        <v/>
      </c>
      <c r="N192" s="387"/>
      <c r="O192" s="387"/>
      <c r="P192" s="381" t="str">
        <f t="shared" si="8"/>
        <v/>
      </c>
      <c r="Q192" s="382" t="str">
        <f t="array" ref="Q192">IFERROR(INDEX($D$13:$D$1000,MATCH(0,COUNTIF($Q$12:Q191,$D$13:$D$1000&amp;"")+IF($D$13:$D$1000="",1,0),0)),"")</f>
        <v/>
      </c>
      <c r="R192" s="356" t="str">
        <f t="shared" si="9"/>
        <v/>
      </c>
      <c r="S192" s="383" t="str">
        <f t="shared" si="11"/>
        <v/>
      </c>
      <c r="T192" s="384" t="str">
        <f t="shared" si="10"/>
        <v/>
      </c>
      <c r="U192" s="349"/>
      <c r="V192" s="385"/>
      <c r="W192" s="385"/>
      <c r="X192" s="386"/>
    </row>
    <row r="193" spans="1:24" ht="16.5" customHeight="1">
      <c r="A193" s="301"/>
      <c r="B193" s="387"/>
      <c r="C193" s="371"/>
      <c r="D193" s="372" t="str">
        <f>IFERROR(INDEX('[12]Equipment List'!$B$2:$B$2038,MATCH(E193,'[12]Equipment List'!$A$2:$A$2038,0)),"")</f>
        <v/>
      </c>
      <c r="E193" s="388"/>
      <c r="F193" s="374"/>
      <c r="G193" s="375"/>
      <c r="H193" s="397"/>
      <c r="I193" s="377"/>
      <c r="J193" s="378"/>
      <c r="K193" s="379"/>
      <c r="L193" s="387"/>
      <c r="M193" s="380" t="str">
        <f t="array" ref="M193">IF(L193="","",(MAX(IF(AN$15:AN$144=B193,AO$15:AO$144))/60))</f>
        <v/>
      </c>
      <c r="N193" s="387"/>
      <c r="O193" s="387"/>
      <c r="P193" s="381" t="str">
        <f t="shared" si="8"/>
        <v/>
      </c>
      <c r="Q193" s="382" t="str">
        <f t="array" ref="Q193">IFERROR(INDEX($D$13:$D$1000,MATCH(0,COUNTIF($Q$12:Q192,$D$13:$D$1000&amp;"")+IF($D$13:$D$1000="",1,0),0)),"")</f>
        <v/>
      </c>
      <c r="R193" s="356" t="str">
        <f t="shared" si="9"/>
        <v/>
      </c>
      <c r="S193" s="383" t="str">
        <f t="shared" si="11"/>
        <v/>
      </c>
      <c r="T193" s="384" t="str">
        <f t="shared" si="10"/>
        <v/>
      </c>
      <c r="U193" s="349"/>
      <c r="V193" s="385"/>
      <c r="W193" s="385"/>
      <c r="X193" s="386"/>
    </row>
    <row r="194" spans="1:24" ht="16.5" customHeight="1">
      <c r="A194" s="301"/>
      <c r="B194" s="395"/>
      <c r="C194" s="371"/>
      <c r="D194" s="372" t="str">
        <f>IFERROR(INDEX('[12]Equipment List'!$B$2:$B$2038,MATCH(E194,'[12]Equipment List'!$A$2:$A$2038,0)),"")</f>
        <v/>
      </c>
      <c r="E194" s="388"/>
      <c r="F194" s="374"/>
      <c r="G194" s="375"/>
      <c r="H194" s="397"/>
      <c r="I194" s="377"/>
      <c r="J194" s="378"/>
      <c r="K194" s="379"/>
      <c r="L194" s="387"/>
      <c r="M194" s="380" t="str">
        <f t="array" ref="M194">IF(L194="","",(MAX(IF(AN$15:AN$144=B194,AO$15:AO$144))/60))</f>
        <v/>
      </c>
      <c r="N194" s="387"/>
      <c r="O194" s="387"/>
      <c r="P194" s="381" t="str">
        <f t="shared" si="8"/>
        <v/>
      </c>
      <c r="Q194" s="382" t="str">
        <f t="array" ref="Q194">IFERROR(INDEX($D$13:$D$1000,MATCH(0,COUNTIF($Q$12:Q193,$D$13:$D$1000&amp;"")+IF($D$13:$D$1000="",1,0),0)),"")</f>
        <v/>
      </c>
      <c r="R194" s="356" t="str">
        <f t="shared" si="9"/>
        <v/>
      </c>
      <c r="S194" s="383" t="str">
        <f t="shared" si="11"/>
        <v/>
      </c>
      <c r="T194" s="384" t="str">
        <f t="shared" si="10"/>
        <v/>
      </c>
      <c r="U194" s="349"/>
      <c r="V194" s="385"/>
      <c r="W194" s="385"/>
      <c r="X194" s="386"/>
    </row>
    <row r="195" spans="1:24" ht="16.5" customHeight="1">
      <c r="A195" s="301"/>
      <c r="B195" s="387"/>
      <c r="C195" s="371"/>
      <c r="D195" s="372" t="str">
        <f>IFERROR(INDEX('[12]Equipment List'!$B$2:$B$2038,MATCH(E195,'[12]Equipment List'!$A$2:$A$2038,0)),"")</f>
        <v/>
      </c>
      <c r="E195" s="388"/>
      <c r="F195" s="374"/>
      <c r="G195" s="375"/>
      <c r="H195" s="397"/>
      <c r="I195" s="377"/>
      <c r="J195" s="378"/>
      <c r="K195" s="379"/>
      <c r="L195" s="387"/>
      <c r="M195" s="380" t="str">
        <f t="array" ref="M195">IF(L195="","",(MAX(IF(AN$15:AN$144=B195,AO$15:AO$144))/60))</f>
        <v/>
      </c>
      <c r="N195" s="387"/>
      <c r="O195" s="387"/>
      <c r="P195" s="381" t="str">
        <f t="shared" si="8"/>
        <v/>
      </c>
      <c r="Q195" s="382" t="str">
        <f t="array" ref="Q195">IFERROR(INDEX($D$13:$D$1000,MATCH(0,COUNTIF($Q$12:Q194,$D$13:$D$1000&amp;"")+IF($D$13:$D$1000="",1,0),0)),"")</f>
        <v/>
      </c>
      <c r="R195" s="356" t="str">
        <f t="shared" si="9"/>
        <v/>
      </c>
      <c r="S195" s="383" t="str">
        <f t="shared" si="11"/>
        <v/>
      </c>
      <c r="T195" s="384" t="str">
        <f t="shared" si="10"/>
        <v/>
      </c>
      <c r="U195" s="349"/>
      <c r="V195" s="385"/>
      <c r="W195" s="385"/>
      <c r="X195" s="386"/>
    </row>
    <row r="196" spans="1:24" ht="16.5" customHeight="1">
      <c r="A196" s="301"/>
      <c r="B196" s="395"/>
      <c r="C196" s="371"/>
      <c r="D196" s="372" t="str">
        <f>IFERROR(INDEX('[12]Equipment List'!$B$2:$B$2038,MATCH(E196,'[12]Equipment List'!$A$2:$A$2038,0)),"")</f>
        <v/>
      </c>
      <c r="E196" s="388"/>
      <c r="F196" s="374"/>
      <c r="G196" s="375"/>
      <c r="H196" s="397"/>
      <c r="I196" s="377"/>
      <c r="J196" s="378"/>
      <c r="K196" s="379"/>
      <c r="L196" s="387"/>
      <c r="M196" s="380" t="str">
        <f t="array" ref="M196">IF(L196="","",(MAX(IF(AN$15:AN$144=B196,AO$15:AO$144))/60))</f>
        <v/>
      </c>
      <c r="N196" s="387"/>
      <c r="O196" s="387"/>
      <c r="P196" s="381" t="str">
        <f t="shared" si="8"/>
        <v/>
      </c>
      <c r="Q196" s="382" t="str">
        <f t="array" ref="Q196">IFERROR(INDEX($D$13:$D$1000,MATCH(0,COUNTIF($Q$12:Q195,$D$13:$D$1000&amp;"")+IF($D$13:$D$1000="",1,0),0)),"")</f>
        <v/>
      </c>
      <c r="R196" s="356" t="str">
        <f t="shared" si="9"/>
        <v/>
      </c>
      <c r="S196" s="383" t="str">
        <f t="shared" si="11"/>
        <v/>
      </c>
      <c r="T196" s="384" t="str">
        <f t="shared" si="10"/>
        <v/>
      </c>
      <c r="U196" s="349"/>
      <c r="V196" s="385"/>
      <c r="W196" s="385"/>
      <c r="X196" s="386"/>
    </row>
    <row r="197" spans="1:24" ht="16.5" customHeight="1">
      <c r="A197" s="301"/>
      <c r="B197" s="387"/>
      <c r="C197" s="371"/>
      <c r="D197" s="372" t="str">
        <f>IFERROR(INDEX('[12]Equipment List'!$B$2:$B$2038,MATCH(E197,'[12]Equipment List'!$A$2:$A$2038,0)),"")</f>
        <v/>
      </c>
      <c r="E197" s="388"/>
      <c r="F197" s="374"/>
      <c r="G197" s="375"/>
      <c r="H197" s="397"/>
      <c r="I197" s="377"/>
      <c r="J197" s="378"/>
      <c r="K197" s="379"/>
      <c r="L197" s="387"/>
      <c r="M197" s="380" t="str">
        <f t="array" ref="M197">IF(L197="","",(MAX(IF(AN$15:AN$144=B197,AO$15:AO$144))/60))</f>
        <v/>
      </c>
      <c r="N197" s="387"/>
      <c r="O197" s="387"/>
      <c r="P197" s="381" t="str">
        <f t="shared" si="8"/>
        <v/>
      </c>
      <c r="Q197" s="382" t="str">
        <f t="array" ref="Q197">IFERROR(INDEX($D$13:$D$1000,MATCH(0,COUNTIF($Q$12:Q196,$D$13:$D$1000&amp;"")+IF($D$13:$D$1000="",1,0),0)),"")</f>
        <v/>
      </c>
      <c r="R197" s="356" t="str">
        <f t="shared" si="9"/>
        <v/>
      </c>
      <c r="S197" s="383" t="str">
        <f t="shared" si="11"/>
        <v/>
      </c>
      <c r="T197" s="384" t="str">
        <f t="shared" si="10"/>
        <v/>
      </c>
      <c r="U197" s="349"/>
      <c r="V197" s="385"/>
      <c r="W197" s="385"/>
      <c r="X197" s="386"/>
    </row>
    <row r="198" spans="1:24" ht="16.5" customHeight="1">
      <c r="A198" s="301"/>
      <c r="B198" s="395"/>
      <c r="C198" s="371"/>
      <c r="D198" s="372" t="str">
        <f>IFERROR(INDEX('[12]Equipment List'!$B$2:$B$2038,MATCH(E198,'[12]Equipment List'!$A$2:$A$2038,0)),"")</f>
        <v/>
      </c>
      <c r="E198" s="388"/>
      <c r="F198" s="374"/>
      <c r="G198" s="375"/>
      <c r="H198" s="397"/>
      <c r="I198" s="377"/>
      <c r="J198" s="378"/>
      <c r="K198" s="379"/>
      <c r="L198" s="387"/>
      <c r="M198" s="380" t="str">
        <f t="array" ref="M198">IF(L198="","",(MAX(IF(AN$15:AN$144=B198,AO$15:AO$144))/60))</f>
        <v/>
      </c>
      <c r="N198" s="387"/>
      <c r="O198" s="387"/>
      <c r="P198" s="381" t="str">
        <f t="shared" si="8"/>
        <v/>
      </c>
      <c r="Q198" s="382" t="str">
        <f t="array" ref="Q198">IFERROR(INDEX($D$13:$D$1000,MATCH(0,COUNTIF($Q$12:Q197,$D$13:$D$1000&amp;"")+IF($D$13:$D$1000="",1,0),0)),"")</f>
        <v/>
      </c>
      <c r="R198" s="356" t="str">
        <f t="shared" si="9"/>
        <v/>
      </c>
      <c r="S198" s="383" t="str">
        <f t="shared" si="11"/>
        <v/>
      </c>
      <c r="T198" s="384" t="str">
        <f t="shared" si="10"/>
        <v/>
      </c>
      <c r="U198" s="349"/>
      <c r="V198" s="385"/>
      <c r="W198" s="385"/>
      <c r="X198" s="386"/>
    </row>
    <row r="199" spans="1:24" ht="16.5" customHeight="1">
      <c r="A199" s="301"/>
      <c r="B199" s="387"/>
      <c r="C199" s="371"/>
      <c r="D199" s="372" t="str">
        <f>IFERROR(INDEX('[12]Equipment List'!$B$2:$B$2038,MATCH(E199,'[12]Equipment List'!$A$2:$A$2038,0)),"")</f>
        <v/>
      </c>
      <c r="E199" s="388"/>
      <c r="F199" s="374"/>
      <c r="G199" s="375"/>
      <c r="H199" s="397"/>
      <c r="I199" s="377"/>
      <c r="J199" s="378"/>
      <c r="K199" s="379"/>
      <c r="L199" s="387"/>
      <c r="M199" s="380" t="str">
        <f t="array" ref="M199">IF(L199="","",(MAX(IF(AN$15:AN$144=B199,AO$15:AO$144))/60))</f>
        <v/>
      </c>
      <c r="N199" s="387"/>
      <c r="O199" s="387"/>
      <c r="P199" s="381" t="str">
        <f t="shared" si="8"/>
        <v/>
      </c>
      <c r="Q199" s="382" t="str">
        <f t="array" ref="Q199">IFERROR(INDEX($D$13:$D$1000,MATCH(0,COUNTIF($Q$12:Q198,$D$13:$D$1000&amp;"")+IF($D$13:$D$1000="",1,0),0)),"")</f>
        <v/>
      </c>
      <c r="R199" s="356" t="str">
        <f t="shared" si="9"/>
        <v/>
      </c>
      <c r="S199" s="383" t="str">
        <f t="shared" si="11"/>
        <v/>
      </c>
      <c r="T199" s="384" t="str">
        <f t="shared" si="10"/>
        <v/>
      </c>
      <c r="U199" s="349"/>
      <c r="V199" s="385"/>
      <c r="W199" s="385"/>
      <c r="X199" s="386"/>
    </row>
    <row r="200" spans="1:24" ht="16.5" customHeight="1">
      <c r="A200" s="301"/>
      <c r="B200" s="395"/>
      <c r="C200" s="371"/>
      <c r="D200" s="372" t="str">
        <f>IFERROR(INDEX('[12]Equipment List'!$B$2:$B$2038,MATCH(E200,'[12]Equipment List'!$A$2:$A$2038,0)),"")</f>
        <v/>
      </c>
      <c r="E200" s="388"/>
      <c r="F200" s="374"/>
      <c r="G200" s="375"/>
      <c r="H200" s="397"/>
      <c r="I200" s="377"/>
      <c r="J200" s="378"/>
      <c r="K200" s="379"/>
      <c r="L200" s="387"/>
      <c r="M200" s="380" t="str">
        <f t="array" ref="M200">IF(L200="","",(MAX(IF(AN$15:AN$144=B200,AO$15:AO$144))/60))</f>
        <v/>
      </c>
      <c r="N200" s="387"/>
      <c r="O200" s="387"/>
      <c r="P200" s="381" t="str">
        <f t="shared" si="8"/>
        <v/>
      </c>
      <c r="Q200" s="382" t="str">
        <f t="array" ref="Q200">IFERROR(INDEX($D$13:$D$1000,MATCH(0,COUNTIF($Q$12:Q199,$D$13:$D$1000&amp;"")+IF($D$13:$D$1000="",1,0),0)),"")</f>
        <v/>
      </c>
      <c r="R200" s="356" t="str">
        <f t="shared" si="9"/>
        <v/>
      </c>
      <c r="S200" s="383" t="str">
        <f t="shared" si="11"/>
        <v/>
      </c>
      <c r="T200" s="384" t="str">
        <f t="shared" si="10"/>
        <v/>
      </c>
      <c r="U200" s="349"/>
      <c r="V200" s="385"/>
      <c r="W200" s="385"/>
      <c r="X200" s="386"/>
    </row>
    <row r="201" spans="1:24" ht="16.5" customHeight="1">
      <c r="A201" s="301"/>
      <c r="B201" s="395"/>
      <c r="C201" s="371"/>
      <c r="D201" s="372" t="str">
        <f>IFERROR(INDEX('[12]Equipment List'!$B$2:$B$2038,MATCH(E201,'[12]Equipment List'!$A$2:$A$2038,0)),"")</f>
        <v/>
      </c>
      <c r="E201" s="388"/>
      <c r="F201" s="374"/>
      <c r="G201" s="375"/>
      <c r="H201" s="397"/>
      <c r="I201" s="377"/>
      <c r="J201" s="378"/>
      <c r="K201" s="379"/>
      <c r="L201" s="387"/>
      <c r="M201" s="380" t="str">
        <f t="array" ref="M201">IF(L201="","",(MAX(IF(AN$15:AN$144=B201,AO$15:AO$144))/60))</f>
        <v/>
      </c>
      <c r="N201" s="387"/>
      <c r="O201" s="387"/>
      <c r="P201" s="381" t="str">
        <f t="shared" si="8"/>
        <v/>
      </c>
      <c r="Q201" s="382" t="str">
        <f t="array" ref="Q201">IFERROR(INDEX($D$13:$D$1000,MATCH(0,COUNTIF($Q$12:Q200,$D$13:$D$1000&amp;"")+IF($D$13:$D$1000="",1,0),0)),"")</f>
        <v/>
      </c>
      <c r="R201" s="356" t="str">
        <f t="shared" si="9"/>
        <v/>
      </c>
      <c r="S201" s="383" t="str">
        <f t="shared" si="11"/>
        <v/>
      </c>
      <c r="T201" s="384" t="str">
        <f t="shared" si="10"/>
        <v/>
      </c>
      <c r="U201" s="349"/>
      <c r="V201" s="385"/>
      <c r="W201" s="385"/>
      <c r="X201" s="386"/>
    </row>
    <row r="202" spans="1:24" ht="16.5" customHeight="1">
      <c r="A202" s="301"/>
      <c r="B202" s="395"/>
      <c r="C202" s="371"/>
      <c r="D202" s="372" t="str">
        <f>IFERROR(INDEX('[12]Equipment List'!$B$2:$B$2038,MATCH(E202,'[12]Equipment List'!$A$2:$A$2038,0)),"")</f>
        <v/>
      </c>
      <c r="E202" s="388"/>
      <c r="F202" s="374"/>
      <c r="G202" s="375"/>
      <c r="H202" s="397"/>
      <c r="I202" s="377"/>
      <c r="J202" s="378"/>
      <c r="K202" s="379"/>
      <c r="L202" s="387"/>
      <c r="M202" s="380" t="str">
        <f t="array" ref="M202">IF(L202="","",(MAX(IF(AN$15:AN$144=B202,AO$15:AO$144))/60))</f>
        <v/>
      </c>
      <c r="N202" s="387"/>
      <c r="O202" s="387"/>
      <c r="P202" s="381" t="str">
        <f t="shared" si="8"/>
        <v/>
      </c>
      <c r="Q202" s="382" t="str">
        <f t="array" ref="Q202">IFERROR(INDEX($D$13:$D$1000,MATCH(0,COUNTIF($Q$12:Q201,$D$13:$D$1000&amp;"")+IF($D$13:$D$1000="",1,0),0)),"")</f>
        <v/>
      </c>
      <c r="R202" s="356" t="str">
        <f t="shared" si="9"/>
        <v/>
      </c>
      <c r="S202" s="383" t="str">
        <f t="shared" si="11"/>
        <v/>
      </c>
      <c r="T202" s="384" t="str">
        <f t="shared" si="10"/>
        <v/>
      </c>
      <c r="U202" s="349"/>
      <c r="V202" s="385"/>
      <c r="W202" s="385"/>
      <c r="X202" s="386"/>
    </row>
    <row r="203" spans="1:24" ht="16.5" customHeight="1">
      <c r="A203" s="301"/>
      <c r="B203" s="395"/>
      <c r="C203" s="371"/>
      <c r="D203" s="372" t="str">
        <f>IFERROR(INDEX('[12]Equipment List'!$B$2:$B$2038,MATCH(E203,'[12]Equipment List'!$A$2:$A$2038,0)),"")</f>
        <v/>
      </c>
      <c r="E203" s="388"/>
      <c r="F203" s="374"/>
      <c r="G203" s="375"/>
      <c r="H203" s="397"/>
      <c r="I203" s="377"/>
      <c r="J203" s="378"/>
      <c r="K203" s="379"/>
      <c r="L203" s="387"/>
      <c r="M203" s="380" t="str">
        <f t="array" ref="M203">IF(L203="","",(MAX(IF(AN$15:AN$144=B203,AO$15:AO$144))/60))</f>
        <v/>
      </c>
      <c r="N203" s="387"/>
      <c r="O203" s="387"/>
      <c r="P203" s="381" t="str">
        <f t="shared" si="8"/>
        <v/>
      </c>
      <c r="Q203" s="382" t="str">
        <f t="array" ref="Q203">IFERROR(INDEX($D$13:$D$1000,MATCH(0,COUNTIF($Q$12:Q202,$D$13:$D$1000&amp;"")+IF($D$13:$D$1000="",1,0),0)),"")</f>
        <v/>
      </c>
      <c r="R203" s="356" t="str">
        <f t="shared" si="9"/>
        <v/>
      </c>
      <c r="S203" s="383" t="str">
        <f t="shared" si="11"/>
        <v/>
      </c>
      <c r="T203" s="384" t="str">
        <f t="shared" si="10"/>
        <v/>
      </c>
      <c r="U203" s="349"/>
      <c r="V203" s="385"/>
      <c r="W203" s="385"/>
      <c r="X203" s="386"/>
    </row>
    <row r="204" spans="1:24" ht="16.5" customHeight="1">
      <c r="A204" s="301"/>
      <c r="B204" s="395"/>
      <c r="C204" s="371"/>
      <c r="D204" s="372" t="str">
        <f>IFERROR(INDEX('[12]Equipment List'!$B$2:$B$2038,MATCH(E204,'[12]Equipment List'!$A$2:$A$2038,0)),"")</f>
        <v/>
      </c>
      <c r="E204" s="388"/>
      <c r="F204" s="374"/>
      <c r="G204" s="375"/>
      <c r="H204" s="397"/>
      <c r="I204" s="377"/>
      <c r="J204" s="378"/>
      <c r="K204" s="379"/>
      <c r="L204" s="387"/>
      <c r="M204" s="380" t="str">
        <f t="array" ref="M204">IF(L204="","",(MAX(IF(AN$15:AN$144=B204,AO$15:AO$144))/60))</f>
        <v/>
      </c>
      <c r="N204" s="387"/>
      <c r="O204" s="387"/>
      <c r="P204" s="381" t="str">
        <f t="shared" ref="P204:P267" si="12">IFERROR((((K204/5/250/$F$8)+(N204*$F$9))/$S$4)*(M204/60),"")</f>
        <v/>
      </c>
      <c r="Q204" s="382" t="str">
        <f t="array" ref="Q204">IFERROR(INDEX($D$13:$D$1000,MATCH(0,COUNTIF($Q$12:Q203,$D$13:$D$1000&amp;"")+IF($D$13:$D$1000="",1,0),0)),"")</f>
        <v/>
      </c>
      <c r="R204" s="356" t="str">
        <f t="shared" si="9"/>
        <v/>
      </c>
      <c r="S204" s="383" t="str">
        <f t="shared" si="11"/>
        <v/>
      </c>
      <c r="T204" s="384" t="str">
        <f t="shared" si="10"/>
        <v/>
      </c>
      <c r="U204" s="349"/>
      <c r="V204" s="385"/>
      <c r="W204" s="385"/>
      <c r="X204" s="386"/>
    </row>
    <row r="205" spans="1:24" ht="16.5" customHeight="1">
      <c r="A205" s="301"/>
      <c r="B205" s="395"/>
      <c r="C205" s="371"/>
      <c r="D205" s="372" t="str">
        <f>IFERROR(INDEX('[12]Equipment List'!$B$2:$B$2038,MATCH(E205,'[12]Equipment List'!$A$2:$A$2038,0)),"")</f>
        <v/>
      </c>
      <c r="E205" s="388"/>
      <c r="F205" s="374"/>
      <c r="G205" s="375"/>
      <c r="H205" s="397"/>
      <c r="I205" s="377"/>
      <c r="J205" s="378"/>
      <c r="K205" s="379"/>
      <c r="L205" s="387"/>
      <c r="M205" s="380" t="str">
        <f t="array" ref="M205">IF(L205="","",(MAX(IF(AN$15:AN$144=B205,AO$15:AO$144))/60))</f>
        <v/>
      </c>
      <c r="N205" s="387"/>
      <c r="O205" s="387"/>
      <c r="P205" s="381" t="str">
        <f t="shared" si="12"/>
        <v/>
      </c>
      <c r="Q205" s="382" t="str">
        <f t="array" ref="Q205">IFERROR(INDEX($D$13:$D$1000,MATCH(0,COUNTIF($Q$12:Q204,$D$13:$D$1000&amp;"")+IF($D$13:$D$1000="",1,0),0)),"")</f>
        <v/>
      </c>
      <c r="R205" s="356" t="str">
        <f t="shared" ref="R205:R268" si="13">IF(Q205="","",COUNTIF($D$13:$D$1000,$Q205))</f>
        <v/>
      </c>
      <c r="S205" s="383" t="str">
        <f t="shared" si="11"/>
        <v/>
      </c>
      <c r="T205" s="384" t="str">
        <f t="shared" ref="T205:T268" si="14">IF($Q205="","",SUMIF($D$13:$D$1000,$Q205,N$13:N$1000))</f>
        <v/>
      </c>
      <c r="U205" s="349"/>
      <c r="V205" s="385"/>
      <c r="W205" s="385"/>
      <c r="X205" s="386"/>
    </row>
    <row r="206" spans="1:24" ht="16.5" customHeight="1">
      <c r="A206" s="301"/>
      <c r="B206" s="395"/>
      <c r="C206" s="371"/>
      <c r="D206" s="372" t="str">
        <f>IFERROR(INDEX('[12]Equipment List'!$B$2:$B$2038,MATCH(E206,'[12]Equipment List'!$A$2:$A$2038,0)),"")</f>
        <v/>
      </c>
      <c r="E206" s="388"/>
      <c r="F206" s="374"/>
      <c r="G206" s="375"/>
      <c r="H206" s="397"/>
      <c r="I206" s="377"/>
      <c r="J206" s="378"/>
      <c r="K206" s="379"/>
      <c r="L206" s="387"/>
      <c r="M206" s="380" t="str">
        <f t="array" ref="M206">IF(L206="","",(MAX(IF(AN$15:AN$144=B206,AO$15:AO$144))/60))</f>
        <v/>
      </c>
      <c r="N206" s="387"/>
      <c r="O206" s="387"/>
      <c r="P206" s="381" t="str">
        <f t="shared" si="12"/>
        <v/>
      </c>
      <c r="Q206" s="382" t="str">
        <f t="array" ref="Q206">IFERROR(INDEX($D$13:$D$1000,MATCH(0,COUNTIF($Q$12:Q205,$D$13:$D$1000&amp;"")+IF($D$13:$D$1000="",1,0),0)),"")</f>
        <v/>
      </c>
      <c r="R206" s="356" t="str">
        <f t="shared" si="13"/>
        <v/>
      </c>
      <c r="S206" s="383" t="str">
        <f t="shared" ref="S206:S234" si="15">IF($Q206="","",SUMIF($D$13:$D$1000,$Q206,K$13:K$1000))</f>
        <v/>
      </c>
      <c r="T206" s="384" t="str">
        <f t="shared" si="14"/>
        <v/>
      </c>
      <c r="U206" s="349"/>
      <c r="V206" s="385"/>
      <c r="W206" s="385"/>
      <c r="X206" s="386"/>
    </row>
    <row r="207" spans="1:24" ht="16.5" customHeight="1">
      <c r="A207" s="301"/>
      <c r="B207" s="395"/>
      <c r="C207" s="371"/>
      <c r="D207" s="372" t="str">
        <f>IFERROR(INDEX('[12]Equipment List'!$B$2:$B$2038,MATCH(E207,'[12]Equipment List'!$A$2:$A$2038,0)),"")</f>
        <v/>
      </c>
      <c r="E207" s="388"/>
      <c r="F207" s="374"/>
      <c r="G207" s="375"/>
      <c r="H207" s="397"/>
      <c r="I207" s="377"/>
      <c r="J207" s="378"/>
      <c r="K207" s="379"/>
      <c r="L207" s="387"/>
      <c r="M207" s="380" t="str">
        <f t="array" ref="M207">IF(L207="","",(MAX(IF(AN$15:AN$144=B207,AO$15:AO$144))/60))</f>
        <v/>
      </c>
      <c r="N207" s="387"/>
      <c r="O207" s="387"/>
      <c r="P207" s="381" t="str">
        <f t="shared" si="12"/>
        <v/>
      </c>
      <c r="Q207" s="382" t="str">
        <f t="array" ref="Q207">IFERROR(INDEX($D$13:$D$1000,MATCH(0,COUNTIF($Q$12:Q206,$D$13:$D$1000&amp;"")+IF($D$13:$D$1000="",1,0),0)),"")</f>
        <v/>
      </c>
      <c r="R207" s="356" t="str">
        <f t="shared" si="13"/>
        <v/>
      </c>
      <c r="S207" s="383" t="str">
        <f t="shared" si="15"/>
        <v/>
      </c>
      <c r="T207" s="384" t="str">
        <f t="shared" si="14"/>
        <v/>
      </c>
      <c r="U207" s="349"/>
      <c r="V207" s="385"/>
      <c r="W207" s="385"/>
      <c r="X207" s="386"/>
    </row>
    <row r="208" spans="1:24" ht="16.5" customHeight="1">
      <c r="A208" s="301"/>
      <c r="B208" s="395"/>
      <c r="C208" s="371"/>
      <c r="D208" s="372" t="str">
        <f>IFERROR(INDEX('[12]Equipment List'!$B$2:$B$2038,MATCH(E208,'[12]Equipment List'!$A$2:$A$2038,0)),"")</f>
        <v/>
      </c>
      <c r="E208" s="388"/>
      <c r="F208" s="374"/>
      <c r="G208" s="375"/>
      <c r="H208" s="397"/>
      <c r="I208" s="377"/>
      <c r="J208" s="378"/>
      <c r="K208" s="379"/>
      <c r="L208" s="387"/>
      <c r="M208" s="380" t="str">
        <f t="array" ref="M208">IF(L208="","",(MAX(IF(AN$15:AN$144=B208,AO$15:AO$144))/60))</f>
        <v/>
      </c>
      <c r="N208" s="387"/>
      <c r="O208" s="387"/>
      <c r="P208" s="381" t="str">
        <f t="shared" si="12"/>
        <v/>
      </c>
      <c r="Q208" s="382" t="str">
        <f t="array" ref="Q208">IFERROR(INDEX($D$13:$D$1000,MATCH(0,COUNTIF($Q$12:Q207,$D$13:$D$1000&amp;"")+IF($D$13:$D$1000="",1,0),0)),"")</f>
        <v/>
      </c>
      <c r="R208" s="356" t="str">
        <f t="shared" si="13"/>
        <v/>
      </c>
      <c r="S208" s="383" t="str">
        <f t="shared" si="15"/>
        <v/>
      </c>
      <c r="T208" s="384" t="str">
        <f t="shared" si="14"/>
        <v/>
      </c>
      <c r="U208" s="349"/>
      <c r="V208" s="385"/>
      <c r="W208" s="385"/>
      <c r="X208" s="386"/>
    </row>
    <row r="209" spans="1:24" ht="16.5" customHeight="1">
      <c r="A209" s="301"/>
      <c r="B209" s="395"/>
      <c r="C209" s="371"/>
      <c r="D209" s="372" t="str">
        <f>IFERROR(INDEX('[12]Equipment List'!$B$2:$B$2038,MATCH(E209,'[12]Equipment List'!$A$2:$A$2038,0)),"")</f>
        <v/>
      </c>
      <c r="E209" s="388"/>
      <c r="F209" s="374"/>
      <c r="G209" s="375"/>
      <c r="H209" s="397"/>
      <c r="I209" s="377"/>
      <c r="J209" s="378"/>
      <c r="K209" s="379"/>
      <c r="L209" s="387"/>
      <c r="M209" s="380" t="str">
        <f t="array" ref="M209">IF(L209="","",(MAX(IF(AN$15:AN$144=B209,AO$15:AO$144))/60))</f>
        <v/>
      </c>
      <c r="N209" s="387"/>
      <c r="O209" s="387"/>
      <c r="P209" s="381" t="str">
        <f t="shared" si="12"/>
        <v/>
      </c>
      <c r="Q209" s="382" t="str">
        <f t="array" ref="Q209">IFERROR(INDEX($D$13:$D$1000,MATCH(0,COUNTIF($Q$12:Q208,$D$13:$D$1000&amp;"")+IF($D$13:$D$1000="",1,0),0)),"")</f>
        <v/>
      </c>
      <c r="R209" s="356" t="str">
        <f t="shared" si="13"/>
        <v/>
      </c>
      <c r="S209" s="383" t="str">
        <f t="shared" si="15"/>
        <v/>
      </c>
      <c r="T209" s="384" t="str">
        <f t="shared" si="14"/>
        <v/>
      </c>
      <c r="U209" s="349"/>
      <c r="V209" s="385"/>
      <c r="W209" s="385"/>
      <c r="X209" s="386"/>
    </row>
    <row r="210" spans="1:24" ht="16.5" customHeight="1">
      <c r="A210" s="301"/>
      <c r="B210" s="395"/>
      <c r="C210" s="371"/>
      <c r="D210" s="372" t="str">
        <f>IFERROR(INDEX('[12]Equipment List'!$B$2:$B$2038,MATCH(E210,'[12]Equipment List'!$A$2:$A$2038,0)),"")</f>
        <v/>
      </c>
      <c r="E210" s="388"/>
      <c r="F210" s="374"/>
      <c r="G210" s="375"/>
      <c r="H210" s="397"/>
      <c r="I210" s="377"/>
      <c r="J210" s="378"/>
      <c r="K210" s="379"/>
      <c r="L210" s="387"/>
      <c r="M210" s="380" t="str">
        <f t="array" ref="M210">IF(L210="","",(MAX(IF(AN$15:AN$144=B210,AO$15:AO$144))/60))</f>
        <v/>
      </c>
      <c r="N210" s="387"/>
      <c r="O210" s="387"/>
      <c r="P210" s="381" t="str">
        <f t="shared" si="12"/>
        <v/>
      </c>
      <c r="Q210" s="382" t="str">
        <f t="array" ref="Q210">IFERROR(INDEX($D$13:$D$1000,MATCH(0,COUNTIF($Q$12:Q209,$D$13:$D$1000&amp;"")+IF($D$13:$D$1000="",1,0),0)),"")</f>
        <v/>
      </c>
      <c r="R210" s="356" t="str">
        <f t="shared" si="13"/>
        <v/>
      </c>
      <c r="S210" s="383" t="str">
        <f t="shared" si="15"/>
        <v/>
      </c>
      <c r="T210" s="384" t="str">
        <f t="shared" si="14"/>
        <v/>
      </c>
      <c r="U210" s="349"/>
      <c r="V210" s="385"/>
      <c r="W210" s="385"/>
      <c r="X210" s="386"/>
    </row>
    <row r="211" spans="1:24" ht="16.5" customHeight="1">
      <c r="A211" s="301"/>
      <c r="B211" s="395"/>
      <c r="C211" s="371"/>
      <c r="D211" s="372" t="str">
        <f>IFERROR(INDEX('[12]Equipment List'!$B$2:$B$2038,MATCH(E211,'[12]Equipment List'!$A$2:$A$2038,0)),"")</f>
        <v/>
      </c>
      <c r="E211" s="388"/>
      <c r="F211" s="374"/>
      <c r="G211" s="375"/>
      <c r="H211" s="397"/>
      <c r="I211" s="377"/>
      <c r="J211" s="378"/>
      <c r="K211" s="379"/>
      <c r="L211" s="387"/>
      <c r="M211" s="380" t="str">
        <f t="array" ref="M211">IF(L211="","",(MAX(IF(AN$15:AN$144=B211,AO$15:AO$144))/60))</f>
        <v/>
      </c>
      <c r="N211" s="387"/>
      <c r="O211" s="387"/>
      <c r="P211" s="381" t="str">
        <f t="shared" si="12"/>
        <v/>
      </c>
      <c r="Q211" s="382" t="str">
        <f t="array" ref="Q211">IFERROR(INDEX($D$13:$D$1000,MATCH(0,COUNTIF($Q$12:Q210,$D$13:$D$1000&amp;"")+IF($D$13:$D$1000="",1,0),0)),"")</f>
        <v/>
      </c>
      <c r="R211" s="356" t="str">
        <f t="shared" si="13"/>
        <v/>
      </c>
      <c r="S211" s="383" t="str">
        <f t="shared" si="15"/>
        <v/>
      </c>
      <c r="T211" s="384" t="str">
        <f t="shared" si="14"/>
        <v/>
      </c>
      <c r="U211" s="349"/>
      <c r="V211" s="385"/>
      <c r="W211" s="385"/>
      <c r="X211" s="386"/>
    </row>
    <row r="212" spans="1:24" ht="16.5" customHeight="1">
      <c r="A212" s="301"/>
      <c r="B212" s="395"/>
      <c r="C212" s="371"/>
      <c r="D212" s="372" t="str">
        <f>IFERROR(INDEX('[12]Equipment List'!$B$2:$B$2038,MATCH(E212,'[12]Equipment List'!$A$2:$A$2038,0)),"")</f>
        <v/>
      </c>
      <c r="E212" s="388"/>
      <c r="F212" s="374"/>
      <c r="G212" s="375"/>
      <c r="H212" s="397"/>
      <c r="I212" s="377"/>
      <c r="J212" s="378"/>
      <c r="K212" s="379"/>
      <c r="L212" s="387"/>
      <c r="M212" s="380" t="str">
        <f t="array" ref="M212">IF(L212="","",(MAX(IF(AN$15:AN$144=B212,AO$15:AO$144))/60))</f>
        <v/>
      </c>
      <c r="N212" s="387"/>
      <c r="O212" s="387"/>
      <c r="P212" s="381" t="str">
        <f t="shared" si="12"/>
        <v/>
      </c>
      <c r="Q212" s="382" t="str">
        <f t="array" ref="Q212">IFERROR(INDEX($D$13:$D$1000,MATCH(0,COUNTIF($Q$12:Q211,$D$13:$D$1000&amp;"")+IF($D$13:$D$1000="",1,0),0)),"")</f>
        <v/>
      </c>
      <c r="R212" s="356" t="str">
        <f t="shared" si="13"/>
        <v/>
      </c>
      <c r="S212" s="383" t="str">
        <f t="shared" si="15"/>
        <v/>
      </c>
      <c r="T212" s="384" t="str">
        <f t="shared" si="14"/>
        <v/>
      </c>
      <c r="U212" s="349"/>
      <c r="V212" s="385"/>
      <c r="W212" s="385"/>
      <c r="X212" s="386"/>
    </row>
    <row r="213" spans="1:24">
      <c r="B213" s="395"/>
      <c r="C213" s="371"/>
      <c r="D213" s="372" t="str">
        <f>IFERROR(INDEX('[12]Equipment List'!$B$2:$B$2038,MATCH(E213,'[12]Equipment List'!$A$2:$A$2038,0)),"")</f>
        <v/>
      </c>
      <c r="E213" s="388"/>
      <c r="F213" s="374"/>
      <c r="G213" s="375"/>
      <c r="H213" s="397"/>
      <c r="I213" s="377"/>
      <c r="J213" s="378"/>
      <c r="K213" s="379"/>
      <c r="L213" s="387"/>
      <c r="M213" s="380" t="str">
        <f t="array" ref="M213">IF(L213="","",(MAX(IF(AN$15:AN$144=B213,AO$15:AO$144))/60))</f>
        <v/>
      </c>
      <c r="N213" s="387"/>
      <c r="O213" s="387"/>
      <c r="P213" s="381" t="str">
        <f t="shared" si="12"/>
        <v/>
      </c>
      <c r="Q213" s="382" t="str">
        <f t="array" ref="Q213">IFERROR(INDEX($D$13:$D$1000,MATCH(0,COUNTIF($Q$12:Q212,$D$13:$D$1000&amp;"")+IF($D$13:$D$1000="",1,0),0)),"")</f>
        <v/>
      </c>
      <c r="R213" s="356" t="str">
        <f t="shared" si="13"/>
        <v/>
      </c>
      <c r="S213" s="383" t="str">
        <f t="shared" si="15"/>
        <v/>
      </c>
      <c r="T213" s="384" t="str">
        <f t="shared" si="14"/>
        <v/>
      </c>
      <c r="U213" s="349"/>
      <c r="V213" s="385"/>
      <c r="W213" s="385"/>
      <c r="X213" s="386"/>
    </row>
    <row r="214" spans="1:24">
      <c r="B214" s="395"/>
      <c r="C214" s="371"/>
      <c r="D214" s="372" t="str">
        <f>IFERROR(INDEX('[12]Equipment List'!$B$2:$B$2038,MATCH(E214,'[12]Equipment List'!$A$2:$A$2038,0)),"")</f>
        <v/>
      </c>
      <c r="E214" s="388"/>
      <c r="F214" s="374"/>
      <c r="G214" s="375"/>
      <c r="H214" s="397"/>
      <c r="I214" s="377"/>
      <c r="J214" s="378"/>
      <c r="K214" s="379"/>
      <c r="L214" s="387"/>
      <c r="M214" s="380" t="str">
        <f t="array" ref="M214">IF(L214="","",(MAX(IF(AN$15:AN$144=B214,AO$15:AO$144))/60))</f>
        <v/>
      </c>
      <c r="N214" s="387"/>
      <c r="O214" s="387"/>
      <c r="P214" s="381" t="str">
        <f t="shared" si="12"/>
        <v/>
      </c>
      <c r="Q214" s="382" t="str">
        <f t="array" ref="Q214">IFERROR(INDEX($D$13:$D$1000,MATCH(0,COUNTIF($Q$12:Q213,$D$13:$D$1000&amp;"")+IF($D$13:$D$1000="",1,0),0)),"")</f>
        <v/>
      </c>
      <c r="R214" s="356" t="str">
        <f t="shared" si="13"/>
        <v/>
      </c>
      <c r="S214" s="383" t="str">
        <f t="shared" si="15"/>
        <v/>
      </c>
      <c r="T214" s="384" t="str">
        <f t="shared" si="14"/>
        <v/>
      </c>
      <c r="U214" s="349"/>
      <c r="V214" s="385"/>
      <c r="W214" s="385"/>
      <c r="X214" s="386"/>
    </row>
    <row r="215" spans="1:24">
      <c r="B215" s="395"/>
      <c r="C215" s="371"/>
      <c r="D215" s="372" t="str">
        <f>IFERROR(INDEX('[12]Equipment List'!$B$2:$B$2038,MATCH(E215,'[12]Equipment List'!$A$2:$A$2038,0)),"")</f>
        <v/>
      </c>
      <c r="E215" s="388"/>
      <c r="F215" s="374"/>
      <c r="G215" s="375"/>
      <c r="H215" s="397"/>
      <c r="I215" s="377"/>
      <c r="J215" s="378"/>
      <c r="K215" s="379"/>
      <c r="L215" s="387"/>
      <c r="M215" s="380" t="str">
        <f t="array" ref="M215">IF(L215="","",(MAX(IF(AN$15:AN$144=B215,AO$15:AO$144))/60))</f>
        <v/>
      </c>
      <c r="N215" s="387"/>
      <c r="O215" s="387"/>
      <c r="P215" s="381" t="str">
        <f t="shared" si="12"/>
        <v/>
      </c>
      <c r="Q215" s="382" t="str">
        <f t="array" ref="Q215">IFERROR(INDEX($D$13:$D$1000,MATCH(0,COUNTIF($Q$12:Q214,$D$13:$D$1000&amp;"")+IF($D$13:$D$1000="",1,0),0)),"")</f>
        <v/>
      </c>
      <c r="R215" s="356" t="str">
        <f t="shared" si="13"/>
        <v/>
      </c>
      <c r="S215" s="383" t="str">
        <f t="shared" si="15"/>
        <v/>
      </c>
      <c r="T215" s="384" t="str">
        <f t="shared" si="14"/>
        <v/>
      </c>
      <c r="U215" s="349"/>
      <c r="V215" s="385"/>
      <c r="W215" s="385"/>
      <c r="X215" s="386"/>
    </row>
    <row r="216" spans="1:24">
      <c r="B216" s="395"/>
      <c r="C216" s="371"/>
      <c r="D216" s="372" t="str">
        <f>IFERROR(INDEX('[12]Equipment List'!$B$2:$B$2038,MATCH(E216,'[12]Equipment List'!$A$2:$A$2038,0)),"")</f>
        <v/>
      </c>
      <c r="E216" s="388"/>
      <c r="F216" s="374"/>
      <c r="G216" s="375"/>
      <c r="H216" s="397"/>
      <c r="I216" s="377"/>
      <c r="J216" s="378"/>
      <c r="K216" s="379"/>
      <c r="L216" s="387"/>
      <c r="M216" s="380" t="str">
        <f t="array" ref="M216">IF(L216="","",(MAX(IF(AN$15:AN$144=B216,AO$15:AO$144))/60))</f>
        <v/>
      </c>
      <c r="N216" s="387"/>
      <c r="O216" s="387"/>
      <c r="P216" s="381" t="str">
        <f t="shared" si="12"/>
        <v/>
      </c>
      <c r="Q216" s="382" t="str">
        <f t="array" ref="Q216">IFERROR(INDEX($D$13:$D$1000,MATCH(0,COUNTIF($Q$12:Q215,$D$13:$D$1000&amp;"")+IF($D$13:$D$1000="",1,0),0)),"")</f>
        <v/>
      </c>
      <c r="R216" s="356" t="str">
        <f t="shared" si="13"/>
        <v/>
      </c>
      <c r="S216" s="383" t="str">
        <f t="shared" si="15"/>
        <v/>
      </c>
      <c r="T216" s="384" t="str">
        <f t="shared" si="14"/>
        <v/>
      </c>
      <c r="U216" s="349"/>
      <c r="V216" s="385"/>
      <c r="W216" s="385"/>
      <c r="X216" s="386"/>
    </row>
    <row r="217" spans="1:24">
      <c r="B217" s="395"/>
      <c r="C217" s="371"/>
      <c r="D217" s="372" t="str">
        <f>IFERROR(INDEX('[12]Equipment List'!$B$2:$B$2038,MATCH(E217,'[12]Equipment List'!$A$2:$A$2038,0)),"")</f>
        <v/>
      </c>
      <c r="E217" s="388"/>
      <c r="F217" s="374"/>
      <c r="G217" s="375"/>
      <c r="H217" s="397"/>
      <c r="I217" s="377"/>
      <c r="J217" s="378"/>
      <c r="K217" s="379"/>
      <c r="L217" s="387"/>
      <c r="M217" s="380" t="str">
        <f t="array" ref="M217">IF(L217="","",(MAX(IF(AN$15:AN$144=B217,AO$15:AO$144))/60))</f>
        <v/>
      </c>
      <c r="N217" s="387"/>
      <c r="O217" s="387"/>
      <c r="P217" s="381" t="str">
        <f t="shared" si="12"/>
        <v/>
      </c>
      <c r="Q217" s="382" t="str">
        <f t="array" ref="Q217">IFERROR(INDEX($D$13:$D$1000,MATCH(0,COUNTIF($Q$12:Q216,$D$13:$D$1000&amp;"")+IF($D$13:$D$1000="",1,0),0)),"")</f>
        <v/>
      </c>
      <c r="R217" s="356" t="str">
        <f t="shared" si="13"/>
        <v/>
      </c>
      <c r="S217" s="383" t="str">
        <f t="shared" si="15"/>
        <v/>
      </c>
      <c r="T217" s="384" t="str">
        <f t="shared" si="14"/>
        <v/>
      </c>
      <c r="U217" s="349"/>
      <c r="V217" s="385"/>
      <c r="W217" s="385"/>
      <c r="X217" s="386"/>
    </row>
    <row r="218" spans="1:24">
      <c r="B218" s="395"/>
      <c r="C218" s="371"/>
      <c r="D218" s="372" t="str">
        <f>IFERROR(INDEX('[12]Equipment List'!$B$2:$B$2038,MATCH(E218,'[12]Equipment List'!$A$2:$A$2038,0)),"")</f>
        <v/>
      </c>
      <c r="E218" s="388"/>
      <c r="F218" s="374"/>
      <c r="G218" s="375"/>
      <c r="H218" s="397"/>
      <c r="I218" s="377"/>
      <c r="J218" s="378"/>
      <c r="K218" s="379"/>
      <c r="L218" s="387"/>
      <c r="M218" s="380" t="str">
        <f t="array" ref="M218">IF(L218="","",(MAX(IF(AN$15:AN$144=B218,AO$15:AO$144))/60))</f>
        <v/>
      </c>
      <c r="N218" s="387"/>
      <c r="O218" s="387"/>
      <c r="P218" s="381" t="str">
        <f t="shared" si="12"/>
        <v/>
      </c>
      <c r="Q218" s="382" t="str">
        <f t="array" ref="Q218">IFERROR(INDEX($D$13:$D$1000,MATCH(0,COUNTIF($Q$12:Q217,$D$13:$D$1000&amp;"")+IF($D$13:$D$1000="",1,0),0)),"")</f>
        <v/>
      </c>
      <c r="R218" s="356" t="str">
        <f t="shared" si="13"/>
        <v/>
      </c>
      <c r="S218" s="383" t="str">
        <f t="shared" si="15"/>
        <v/>
      </c>
      <c r="T218" s="384" t="str">
        <f t="shared" si="14"/>
        <v/>
      </c>
      <c r="U218" s="349"/>
      <c r="V218" s="385"/>
      <c r="W218" s="385"/>
      <c r="X218" s="386"/>
    </row>
    <row r="219" spans="1:24">
      <c r="B219" s="395"/>
      <c r="C219" s="371"/>
      <c r="D219" s="372" t="str">
        <f>IFERROR(INDEX('[12]Equipment List'!$B$2:$B$2038,MATCH(E219,'[12]Equipment List'!$A$2:$A$2038,0)),"")</f>
        <v/>
      </c>
      <c r="E219" s="388"/>
      <c r="F219" s="374"/>
      <c r="G219" s="375"/>
      <c r="H219" s="397"/>
      <c r="I219" s="377"/>
      <c r="J219" s="378"/>
      <c r="K219" s="379"/>
      <c r="L219" s="387"/>
      <c r="M219" s="380" t="str">
        <f t="array" ref="M219">IF(L219="","",(MAX(IF(AN$15:AN$144=B219,AO$15:AO$144))/60))</f>
        <v/>
      </c>
      <c r="N219" s="387"/>
      <c r="O219" s="387"/>
      <c r="P219" s="381" t="str">
        <f t="shared" si="12"/>
        <v/>
      </c>
      <c r="Q219" s="382" t="str">
        <f t="array" ref="Q219">IFERROR(INDEX($D$13:$D$1000,MATCH(0,COUNTIF($Q$12:Q218,$D$13:$D$1000&amp;"")+IF($D$13:$D$1000="",1,0),0)),"")</f>
        <v/>
      </c>
      <c r="R219" s="356" t="str">
        <f t="shared" si="13"/>
        <v/>
      </c>
      <c r="S219" s="383" t="str">
        <f t="shared" si="15"/>
        <v/>
      </c>
      <c r="T219" s="384" t="str">
        <f t="shared" si="14"/>
        <v/>
      </c>
      <c r="U219" s="349"/>
      <c r="V219" s="385"/>
      <c r="W219" s="385"/>
      <c r="X219" s="386"/>
    </row>
    <row r="220" spans="1:24">
      <c r="B220" s="395"/>
      <c r="C220" s="371"/>
      <c r="D220" s="372" t="str">
        <f>IFERROR(INDEX('[12]Equipment List'!$B$2:$B$2038,MATCH(E220,'[12]Equipment List'!$A$2:$A$2038,0)),"")</f>
        <v/>
      </c>
      <c r="E220" s="388"/>
      <c r="F220" s="374"/>
      <c r="G220" s="375"/>
      <c r="H220" s="397"/>
      <c r="I220" s="377"/>
      <c r="J220" s="378"/>
      <c r="K220" s="379"/>
      <c r="L220" s="387"/>
      <c r="M220" s="380" t="str">
        <f t="array" ref="M220">IF(L220="","",(MAX(IF(AN$15:AN$144=B220,AO$15:AO$144))/60))</f>
        <v/>
      </c>
      <c r="N220" s="387"/>
      <c r="O220" s="387"/>
      <c r="P220" s="381" t="str">
        <f t="shared" si="12"/>
        <v/>
      </c>
      <c r="Q220" s="382" t="str">
        <f t="array" ref="Q220">IFERROR(INDEX($D$13:$D$1000,MATCH(0,COUNTIF($Q$12:Q219,$D$13:$D$1000&amp;"")+IF($D$13:$D$1000="",1,0),0)),"")</f>
        <v/>
      </c>
      <c r="R220" s="356" t="str">
        <f t="shared" si="13"/>
        <v/>
      </c>
      <c r="S220" s="383" t="str">
        <f t="shared" si="15"/>
        <v/>
      </c>
      <c r="T220" s="384" t="str">
        <f t="shared" si="14"/>
        <v/>
      </c>
      <c r="U220" s="349"/>
      <c r="V220" s="385"/>
      <c r="W220" s="385"/>
      <c r="X220" s="386"/>
    </row>
    <row r="221" spans="1:24">
      <c r="B221" s="395"/>
      <c r="C221" s="371"/>
      <c r="D221" s="372" t="str">
        <f>IFERROR(INDEX('[12]Equipment List'!$B$2:$B$2038,MATCH(E221,'[12]Equipment List'!$A$2:$A$2038,0)),"")</f>
        <v/>
      </c>
      <c r="E221" s="388"/>
      <c r="F221" s="374"/>
      <c r="G221" s="375"/>
      <c r="H221" s="397"/>
      <c r="I221" s="377"/>
      <c r="J221" s="378"/>
      <c r="K221" s="379"/>
      <c r="L221" s="387"/>
      <c r="M221" s="380" t="str">
        <f t="array" ref="M221">IF(L221="","",(MAX(IF(AN$15:AN$144=B221,AO$15:AO$144))/60))</f>
        <v/>
      </c>
      <c r="N221" s="387"/>
      <c r="O221" s="387"/>
      <c r="P221" s="381" t="str">
        <f t="shared" si="12"/>
        <v/>
      </c>
      <c r="Q221" s="382" t="str">
        <f t="array" ref="Q221">IFERROR(INDEX($D$13:$D$1000,MATCH(0,COUNTIF($Q$12:Q220,$D$13:$D$1000&amp;"")+IF($D$13:$D$1000="",1,0),0)),"")</f>
        <v/>
      </c>
      <c r="R221" s="356" t="str">
        <f t="shared" si="13"/>
        <v/>
      </c>
      <c r="S221" s="383" t="str">
        <f t="shared" si="15"/>
        <v/>
      </c>
      <c r="T221" s="384" t="str">
        <f t="shared" si="14"/>
        <v/>
      </c>
      <c r="U221" s="349"/>
      <c r="V221" s="385"/>
      <c r="W221" s="385"/>
      <c r="X221" s="386"/>
    </row>
    <row r="222" spans="1:24">
      <c r="B222" s="395"/>
      <c r="C222" s="371"/>
      <c r="D222" s="372" t="str">
        <f>IFERROR(INDEX('[12]Equipment List'!$B$2:$B$2038,MATCH(E222,'[12]Equipment List'!$A$2:$A$2038,0)),"")</f>
        <v/>
      </c>
      <c r="E222" s="388"/>
      <c r="F222" s="374"/>
      <c r="G222" s="375"/>
      <c r="H222" s="397"/>
      <c r="I222" s="377"/>
      <c r="J222" s="378"/>
      <c r="K222" s="379"/>
      <c r="L222" s="387"/>
      <c r="M222" s="380" t="str">
        <f t="array" ref="M222">IF(L222="","",(MAX(IF(AN$15:AN$144=B222,AO$15:AO$144))/60))</f>
        <v/>
      </c>
      <c r="N222" s="387"/>
      <c r="O222" s="387"/>
      <c r="P222" s="381" t="str">
        <f t="shared" si="12"/>
        <v/>
      </c>
      <c r="Q222" s="382" t="str">
        <f t="array" ref="Q222">IFERROR(INDEX($D$13:$D$1000,MATCH(0,COUNTIF($Q$12:Q221,$D$13:$D$1000&amp;"")+IF($D$13:$D$1000="",1,0),0)),"")</f>
        <v/>
      </c>
      <c r="R222" s="356" t="str">
        <f t="shared" si="13"/>
        <v/>
      </c>
      <c r="S222" s="383" t="str">
        <f t="shared" si="15"/>
        <v/>
      </c>
      <c r="T222" s="384" t="str">
        <f t="shared" si="14"/>
        <v/>
      </c>
      <c r="U222" s="349"/>
      <c r="V222" s="385"/>
      <c r="W222" s="385"/>
      <c r="X222" s="386"/>
    </row>
    <row r="223" spans="1:24">
      <c r="B223" s="395"/>
      <c r="C223" s="371"/>
      <c r="D223" s="372" t="str">
        <f>IFERROR(INDEX('[12]Equipment List'!$B$2:$B$2038,MATCH(E223,'[12]Equipment List'!$A$2:$A$2038,0)),"")</f>
        <v/>
      </c>
      <c r="E223" s="388"/>
      <c r="F223" s="374"/>
      <c r="G223" s="375"/>
      <c r="H223" s="397"/>
      <c r="I223" s="377"/>
      <c r="J223" s="378"/>
      <c r="K223" s="379"/>
      <c r="L223" s="387"/>
      <c r="M223" s="380" t="str">
        <f t="array" ref="M223">IF(L223="","",(MAX(IF(AN$15:AN$144=B223,AO$15:AO$144))/60))</f>
        <v/>
      </c>
      <c r="N223" s="387"/>
      <c r="O223" s="387"/>
      <c r="P223" s="381" t="str">
        <f t="shared" si="12"/>
        <v/>
      </c>
      <c r="Q223" s="382" t="str">
        <f t="array" ref="Q223">IFERROR(INDEX($D$13:$D$1000,MATCH(0,COUNTIF($Q$12:Q222,$D$13:$D$1000&amp;"")+IF($D$13:$D$1000="",1,0),0)),"")</f>
        <v/>
      </c>
      <c r="R223" s="356" t="str">
        <f t="shared" si="13"/>
        <v/>
      </c>
      <c r="S223" s="383" t="str">
        <f t="shared" si="15"/>
        <v/>
      </c>
      <c r="T223" s="384" t="str">
        <f t="shared" si="14"/>
        <v/>
      </c>
      <c r="U223" s="349"/>
      <c r="V223" s="385"/>
      <c r="W223" s="385"/>
      <c r="X223" s="386"/>
    </row>
    <row r="224" spans="1:24">
      <c r="B224" s="395"/>
      <c r="C224" s="371"/>
      <c r="D224" s="372" t="str">
        <f>IFERROR(INDEX('[12]Equipment List'!$B$2:$B$2038,MATCH(E224,'[12]Equipment List'!$A$2:$A$2038,0)),"")</f>
        <v/>
      </c>
      <c r="E224" s="388"/>
      <c r="F224" s="374"/>
      <c r="G224" s="375"/>
      <c r="H224" s="397"/>
      <c r="I224" s="377"/>
      <c r="J224" s="378"/>
      <c r="K224" s="379"/>
      <c r="L224" s="387"/>
      <c r="M224" s="380" t="str">
        <f t="array" ref="M224">IF(L224="","",(MAX(IF(AN$15:AN$144=B224,AO$15:AO$144))/60))</f>
        <v/>
      </c>
      <c r="N224" s="387"/>
      <c r="O224" s="387"/>
      <c r="P224" s="381" t="str">
        <f t="shared" si="12"/>
        <v/>
      </c>
      <c r="Q224" s="382" t="str">
        <f t="array" ref="Q224">IFERROR(INDEX($D$13:$D$1000,MATCH(0,COUNTIF($Q$12:Q223,$D$13:$D$1000&amp;"")+IF($D$13:$D$1000="",1,0),0)),"")</f>
        <v/>
      </c>
      <c r="R224" s="356" t="str">
        <f t="shared" si="13"/>
        <v/>
      </c>
      <c r="S224" s="383" t="str">
        <f t="shared" si="15"/>
        <v/>
      </c>
      <c r="T224" s="384" t="str">
        <f t="shared" si="14"/>
        <v/>
      </c>
      <c r="U224" s="349"/>
      <c r="V224" s="385"/>
      <c r="W224" s="385"/>
      <c r="X224" s="386"/>
    </row>
    <row r="225" spans="2:24">
      <c r="B225" s="395"/>
      <c r="C225" s="371"/>
      <c r="D225" s="372" t="str">
        <f>IFERROR(INDEX('[12]Equipment List'!$B$2:$B$2038,MATCH(E225,'[12]Equipment List'!$A$2:$A$2038,0)),"")</f>
        <v/>
      </c>
      <c r="E225" s="388"/>
      <c r="F225" s="374"/>
      <c r="G225" s="375"/>
      <c r="H225" s="397"/>
      <c r="I225" s="377"/>
      <c r="J225" s="378"/>
      <c r="K225" s="379"/>
      <c r="L225" s="387"/>
      <c r="M225" s="380" t="str">
        <f t="array" ref="M225">IF(L225="","",(MAX(IF(AN$15:AN$144=B225,AO$15:AO$144))/60))</f>
        <v/>
      </c>
      <c r="N225" s="387"/>
      <c r="O225" s="387"/>
      <c r="P225" s="381" t="str">
        <f t="shared" si="12"/>
        <v/>
      </c>
      <c r="Q225" s="382" t="str">
        <f t="array" ref="Q225">IFERROR(INDEX($D$13:$D$1000,MATCH(0,COUNTIF($Q$12:Q224,$D$13:$D$1000&amp;"")+IF($D$13:$D$1000="",1,0),0)),"")</f>
        <v/>
      </c>
      <c r="R225" s="356" t="str">
        <f t="shared" si="13"/>
        <v/>
      </c>
      <c r="S225" s="383" t="str">
        <f t="shared" si="15"/>
        <v/>
      </c>
      <c r="T225" s="384" t="str">
        <f t="shared" si="14"/>
        <v/>
      </c>
      <c r="U225" s="349"/>
      <c r="V225" s="385"/>
      <c r="W225" s="385"/>
      <c r="X225" s="386"/>
    </row>
    <row r="226" spans="2:24">
      <c r="B226" s="395"/>
      <c r="C226" s="371"/>
      <c r="D226" s="372" t="str">
        <f>IFERROR(INDEX('[12]Equipment List'!$B$2:$B$2038,MATCH(E226,'[12]Equipment List'!$A$2:$A$2038,0)),"")</f>
        <v/>
      </c>
      <c r="E226" s="388"/>
      <c r="F226" s="374"/>
      <c r="G226" s="375"/>
      <c r="H226" s="397"/>
      <c r="I226" s="377"/>
      <c r="J226" s="378"/>
      <c r="K226" s="379"/>
      <c r="L226" s="387"/>
      <c r="M226" s="380" t="str">
        <f t="array" ref="M226">IF(L226="","",(MAX(IF(AN$15:AN$144=B226,AO$15:AO$144))/60))</f>
        <v/>
      </c>
      <c r="N226" s="387"/>
      <c r="O226" s="387"/>
      <c r="P226" s="381" t="str">
        <f t="shared" si="12"/>
        <v/>
      </c>
      <c r="Q226" s="382" t="str">
        <f t="array" ref="Q226">IFERROR(INDEX($D$13:$D$1000,MATCH(0,COUNTIF($Q$12:Q225,$D$13:$D$1000&amp;"")+IF($D$13:$D$1000="",1,0),0)),"")</f>
        <v/>
      </c>
      <c r="R226" s="356" t="str">
        <f t="shared" si="13"/>
        <v/>
      </c>
      <c r="S226" s="383" t="str">
        <f t="shared" si="15"/>
        <v/>
      </c>
      <c r="T226" s="384" t="str">
        <f t="shared" si="14"/>
        <v/>
      </c>
      <c r="U226" s="349"/>
      <c r="V226" s="385"/>
      <c r="W226" s="385"/>
      <c r="X226" s="386"/>
    </row>
    <row r="227" spans="2:24">
      <c r="B227" s="395"/>
      <c r="C227" s="371"/>
      <c r="D227" s="372" t="str">
        <f>IFERROR(INDEX('[12]Equipment List'!$B$2:$B$2038,MATCH(E227,'[12]Equipment List'!$A$2:$A$2038,0)),"")</f>
        <v/>
      </c>
      <c r="E227" s="388"/>
      <c r="F227" s="374"/>
      <c r="G227" s="375"/>
      <c r="H227" s="397"/>
      <c r="I227" s="377"/>
      <c r="J227" s="378"/>
      <c r="K227" s="379"/>
      <c r="L227" s="387"/>
      <c r="M227" s="380" t="str">
        <f t="array" ref="M227">IF(L227="","",(MAX(IF(AN$15:AN$144=B227,AO$15:AO$144))/60))</f>
        <v/>
      </c>
      <c r="N227" s="387"/>
      <c r="O227" s="387"/>
      <c r="P227" s="381" t="str">
        <f t="shared" si="12"/>
        <v/>
      </c>
      <c r="Q227" s="382" t="str">
        <f t="array" ref="Q227">IFERROR(INDEX($D$13:$D$1000,MATCH(0,COUNTIF($Q$12:Q226,$D$13:$D$1000&amp;"")+IF($D$13:$D$1000="",1,0),0)),"")</f>
        <v/>
      </c>
      <c r="R227" s="356" t="str">
        <f t="shared" si="13"/>
        <v/>
      </c>
      <c r="S227" s="383" t="str">
        <f t="shared" si="15"/>
        <v/>
      </c>
      <c r="T227" s="384" t="str">
        <f t="shared" si="14"/>
        <v/>
      </c>
      <c r="U227" s="349"/>
      <c r="V227" s="385"/>
      <c r="W227" s="385"/>
      <c r="X227" s="386"/>
    </row>
    <row r="228" spans="2:24">
      <c r="B228" s="395"/>
      <c r="C228" s="371"/>
      <c r="D228" s="372" t="str">
        <f>IFERROR(INDEX('[12]Equipment List'!$B$2:$B$2038,MATCH(E228,'[12]Equipment List'!$A$2:$A$2038,0)),"")</f>
        <v/>
      </c>
      <c r="E228" s="388"/>
      <c r="F228" s="374"/>
      <c r="G228" s="375"/>
      <c r="H228" s="397"/>
      <c r="I228" s="377"/>
      <c r="J228" s="378"/>
      <c r="K228" s="379"/>
      <c r="L228" s="387"/>
      <c r="M228" s="380" t="str">
        <f t="array" ref="M228">IF(L228="","",(MAX(IF(AN$15:AN$144=B228,AO$15:AO$144))/60))</f>
        <v/>
      </c>
      <c r="N228" s="387"/>
      <c r="O228" s="387"/>
      <c r="P228" s="381" t="str">
        <f t="shared" si="12"/>
        <v/>
      </c>
      <c r="Q228" s="382" t="str">
        <f t="array" ref="Q228">IFERROR(INDEX($D$13:$D$1000,MATCH(0,COUNTIF($Q$12:Q227,$D$13:$D$1000&amp;"")+IF($D$13:$D$1000="",1,0),0)),"")</f>
        <v/>
      </c>
      <c r="R228" s="356" t="str">
        <f t="shared" si="13"/>
        <v/>
      </c>
      <c r="S228" s="383" t="str">
        <f t="shared" si="15"/>
        <v/>
      </c>
      <c r="T228" s="384" t="str">
        <f t="shared" si="14"/>
        <v/>
      </c>
      <c r="U228" s="349"/>
      <c r="V228" s="385"/>
      <c r="W228" s="385"/>
      <c r="X228" s="386"/>
    </row>
    <row r="229" spans="2:24">
      <c r="B229" s="395"/>
      <c r="C229" s="371"/>
      <c r="D229" s="372" t="str">
        <f>IFERROR(INDEX('[12]Equipment List'!$B$2:$B$2038,MATCH(E229,'[12]Equipment List'!$A$2:$A$2038,0)),"")</f>
        <v/>
      </c>
      <c r="E229" s="388"/>
      <c r="F229" s="374"/>
      <c r="G229" s="375"/>
      <c r="H229" s="397"/>
      <c r="I229" s="377"/>
      <c r="J229" s="378"/>
      <c r="K229" s="379"/>
      <c r="L229" s="387"/>
      <c r="M229" s="380" t="str">
        <f t="array" ref="M229">IF(L229="","",(MAX(IF(AN$15:AN$144=B229,AO$15:AO$144))/60))</f>
        <v/>
      </c>
      <c r="N229" s="387"/>
      <c r="O229" s="387"/>
      <c r="P229" s="381" t="str">
        <f t="shared" si="12"/>
        <v/>
      </c>
      <c r="Q229" s="382" t="str">
        <f t="array" ref="Q229">IFERROR(INDEX($D$13:$D$1000,MATCH(0,COUNTIF($Q$12:Q228,$D$13:$D$1000&amp;"")+IF($D$13:$D$1000="",1,0),0)),"")</f>
        <v/>
      </c>
      <c r="R229" s="356" t="str">
        <f t="shared" si="13"/>
        <v/>
      </c>
      <c r="S229" s="383" t="str">
        <f t="shared" si="15"/>
        <v/>
      </c>
      <c r="T229" s="384" t="str">
        <f t="shared" si="14"/>
        <v/>
      </c>
      <c r="U229" s="349"/>
      <c r="V229" s="385"/>
      <c r="W229" s="385"/>
      <c r="X229" s="386"/>
    </row>
    <row r="230" spans="2:24">
      <c r="B230" s="395"/>
      <c r="C230" s="371"/>
      <c r="D230" s="372" t="str">
        <f>IFERROR(INDEX('[12]Equipment List'!$B$2:$B$2038,MATCH(E230,'[12]Equipment List'!$A$2:$A$2038,0)),"")</f>
        <v/>
      </c>
      <c r="E230" s="388"/>
      <c r="F230" s="374"/>
      <c r="G230" s="375"/>
      <c r="H230" s="397"/>
      <c r="I230" s="377"/>
      <c r="J230" s="378"/>
      <c r="K230" s="379"/>
      <c r="L230" s="387"/>
      <c r="M230" s="380" t="str">
        <f t="array" ref="M230">IF(L230="","",(MAX(IF(AN$15:AN$144=B230,AO$15:AO$144))/60))</f>
        <v/>
      </c>
      <c r="N230" s="387"/>
      <c r="O230" s="387"/>
      <c r="P230" s="381" t="str">
        <f t="shared" si="12"/>
        <v/>
      </c>
      <c r="Q230" s="382" t="str">
        <f t="array" ref="Q230">IFERROR(INDEX($D$13:$D$1000,MATCH(0,COUNTIF($Q$12:Q229,$D$13:$D$1000&amp;"")+IF($D$13:$D$1000="",1,0),0)),"")</f>
        <v/>
      </c>
      <c r="R230" s="356" t="str">
        <f t="shared" si="13"/>
        <v/>
      </c>
      <c r="S230" s="383" t="str">
        <f t="shared" si="15"/>
        <v/>
      </c>
      <c r="T230" s="384" t="str">
        <f t="shared" si="14"/>
        <v/>
      </c>
      <c r="U230" s="349"/>
      <c r="V230" s="385"/>
      <c r="W230" s="385"/>
      <c r="X230" s="386"/>
    </row>
    <row r="231" spans="2:24">
      <c r="B231" s="395"/>
      <c r="C231" s="371"/>
      <c r="D231" s="372" t="str">
        <f>IFERROR(INDEX('[12]Equipment List'!$B$2:$B$2038,MATCH(E231,'[12]Equipment List'!$A$2:$A$2038,0)),"")</f>
        <v/>
      </c>
      <c r="E231" s="388"/>
      <c r="F231" s="374"/>
      <c r="G231" s="375"/>
      <c r="H231" s="397"/>
      <c r="I231" s="377"/>
      <c r="J231" s="378"/>
      <c r="K231" s="379"/>
      <c r="L231" s="387"/>
      <c r="M231" s="380" t="str">
        <f t="array" ref="M231">IF(L231="","",(MAX(IF(AN$15:AN$144=B231,AO$15:AO$144))/60))</f>
        <v/>
      </c>
      <c r="N231" s="387"/>
      <c r="O231" s="387"/>
      <c r="P231" s="381" t="str">
        <f t="shared" si="12"/>
        <v/>
      </c>
      <c r="Q231" s="382" t="str">
        <f t="array" ref="Q231">IFERROR(INDEX($D$13:$D$1000,MATCH(0,COUNTIF($Q$12:Q230,$D$13:$D$1000&amp;"")+IF($D$13:$D$1000="",1,0),0)),"")</f>
        <v/>
      </c>
      <c r="R231" s="356" t="str">
        <f t="shared" si="13"/>
        <v/>
      </c>
      <c r="S231" s="383" t="str">
        <f t="shared" si="15"/>
        <v/>
      </c>
      <c r="T231" s="384" t="str">
        <f t="shared" si="14"/>
        <v/>
      </c>
      <c r="U231" s="349"/>
      <c r="V231" s="385"/>
      <c r="W231" s="385"/>
      <c r="X231" s="386"/>
    </row>
    <row r="232" spans="2:24">
      <c r="B232" s="395"/>
      <c r="C232" s="371"/>
      <c r="D232" s="372" t="str">
        <f>IFERROR(INDEX('[12]Equipment List'!$B$2:$B$2038,MATCH(E232,'[12]Equipment List'!$A$2:$A$2038,0)),"")</f>
        <v/>
      </c>
      <c r="E232" s="388"/>
      <c r="F232" s="374"/>
      <c r="G232" s="375"/>
      <c r="H232" s="397"/>
      <c r="I232" s="377"/>
      <c r="J232" s="378"/>
      <c r="K232" s="379"/>
      <c r="L232" s="387"/>
      <c r="M232" s="380" t="str">
        <f t="array" ref="M232">IF(L232="","",(MAX(IF(AN$15:AN$144=B232,AO$15:AO$144))/60))</f>
        <v/>
      </c>
      <c r="N232" s="387"/>
      <c r="O232" s="387"/>
      <c r="P232" s="381" t="str">
        <f t="shared" si="12"/>
        <v/>
      </c>
      <c r="Q232" s="382" t="str">
        <f t="array" ref="Q232">IFERROR(INDEX($D$13:$D$1000,MATCH(0,COUNTIF($Q$12:Q231,$D$13:$D$1000&amp;"")+IF($D$13:$D$1000="",1,0),0)),"")</f>
        <v/>
      </c>
      <c r="R232" s="356" t="str">
        <f t="shared" si="13"/>
        <v/>
      </c>
      <c r="S232" s="383" t="str">
        <f t="shared" si="15"/>
        <v/>
      </c>
      <c r="T232" s="384" t="str">
        <f t="shared" si="14"/>
        <v/>
      </c>
      <c r="U232" s="349"/>
      <c r="V232" s="385"/>
      <c r="W232" s="385"/>
      <c r="X232" s="386"/>
    </row>
    <row r="233" spans="2:24">
      <c r="B233" s="395"/>
      <c r="C233" s="371"/>
      <c r="D233" s="372" t="str">
        <f>IFERROR(INDEX('[12]Equipment List'!$B$2:$B$2038,MATCH(E233,'[12]Equipment List'!$A$2:$A$2038,0)),"")</f>
        <v/>
      </c>
      <c r="E233" s="388"/>
      <c r="F233" s="374"/>
      <c r="G233" s="375"/>
      <c r="H233" s="397"/>
      <c r="I233" s="377"/>
      <c r="J233" s="378"/>
      <c r="K233" s="379"/>
      <c r="L233" s="387"/>
      <c r="M233" s="380" t="str">
        <f t="array" ref="M233">IF(L233="","",(MAX(IF(AN$15:AN$144=B233,AO$15:AO$144))/60))</f>
        <v/>
      </c>
      <c r="N233" s="387"/>
      <c r="O233" s="387"/>
      <c r="P233" s="381" t="str">
        <f t="shared" si="12"/>
        <v/>
      </c>
      <c r="Q233" s="382" t="str">
        <f t="array" ref="Q233">IFERROR(INDEX($D$13:$D$1000,MATCH(0,COUNTIF($Q$12:Q232,$D$13:$D$1000&amp;"")+IF($D$13:$D$1000="",1,0),0)),"")</f>
        <v/>
      </c>
      <c r="R233" s="356" t="str">
        <f t="shared" si="13"/>
        <v/>
      </c>
      <c r="S233" s="383" t="str">
        <f t="shared" si="15"/>
        <v/>
      </c>
      <c r="T233" s="384" t="str">
        <f t="shared" si="14"/>
        <v/>
      </c>
      <c r="U233" s="349"/>
      <c r="V233" s="385"/>
      <c r="W233" s="385"/>
      <c r="X233" s="386"/>
    </row>
    <row r="234" spans="2:24">
      <c r="B234" s="395"/>
      <c r="C234" s="371"/>
      <c r="D234" s="372" t="str">
        <f>IFERROR(INDEX('[12]Equipment List'!$B$2:$B$2038,MATCH(E234,'[12]Equipment List'!$A$2:$A$2038,0)),"")</f>
        <v/>
      </c>
      <c r="E234" s="388"/>
      <c r="F234" s="374"/>
      <c r="G234" s="375"/>
      <c r="H234" s="397"/>
      <c r="I234" s="377"/>
      <c r="J234" s="378"/>
      <c r="K234" s="379"/>
      <c r="L234" s="387"/>
      <c r="M234" s="380" t="str">
        <f t="array" ref="M234">IF(L234="","",(MAX(IF(AN$15:AN$144=B234,AO$15:AO$144))/60))</f>
        <v/>
      </c>
      <c r="N234" s="387"/>
      <c r="O234" s="387"/>
      <c r="P234" s="381" t="str">
        <f t="shared" si="12"/>
        <v/>
      </c>
      <c r="Q234" s="382" t="str">
        <f t="array" ref="Q234">IFERROR(INDEX($D$13:$D$1000,MATCH(0,COUNTIF($Q$12:Q233,$D$13:$D$1000&amp;"")+IF($D$13:$D$1000="",1,0),0)),"")</f>
        <v/>
      </c>
      <c r="R234" s="356" t="str">
        <f t="shared" si="13"/>
        <v/>
      </c>
      <c r="S234" s="383" t="str">
        <f t="shared" si="15"/>
        <v/>
      </c>
      <c r="T234" s="384" t="str">
        <f t="shared" si="14"/>
        <v/>
      </c>
      <c r="U234" s="349"/>
      <c r="V234" s="385"/>
      <c r="W234" s="385"/>
      <c r="X234" s="386"/>
    </row>
    <row r="235" spans="2:24">
      <c r="B235" s="395"/>
      <c r="C235" s="371"/>
      <c r="D235" s="372" t="str">
        <f>IFERROR(INDEX('[12]Equipment List'!$B$2:$B$2038,MATCH(E235,'[12]Equipment List'!$A$2:$A$2038,0)),"")</f>
        <v/>
      </c>
      <c r="E235" s="388"/>
      <c r="F235" s="374"/>
      <c r="G235" s="375"/>
      <c r="H235" s="397"/>
      <c r="I235" s="377"/>
      <c r="J235" s="378"/>
      <c r="K235" s="379"/>
      <c r="L235" s="387"/>
      <c r="M235" s="380" t="str">
        <f t="array" ref="M235">IF(L235="","",(MAX(IF(AN$15:AN$144=B235,AO$15:AO$144))/60))</f>
        <v/>
      </c>
      <c r="N235" s="387"/>
      <c r="O235" s="387"/>
      <c r="P235" s="381" t="str">
        <f t="shared" si="12"/>
        <v/>
      </c>
      <c r="Q235" s="382" t="str">
        <f t="array" ref="Q235">IFERROR(INDEX($D$13:$D$1000,MATCH(0,COUNTIF($Q$12:Q234,$D$13:$D$1000&amp;"")+IF($D$13:$D$1000="",1,0),0)),"")</f>
        <v/>
      </c>
      <c r="R235" s="356" t="str">
        <f t="shared" si="13"/>
        <v/>
      </c>
      <c r="S235" s="383" t="str">
        <f t="shared" ref="S235:S298" si="16">IF($Q235="","",SUMIF($D$13:$D$1000,$Q235,I$13:I$1000))</f>
        <v/>
      </c>
      <c r="T235" s="384" t="str">
        <f t="shared" si="14"/>
        <v/>
      </c>
      <c r="U235" s="349"/>
      <c r="V235" s="385"/>
      <c r="W235" s="385"/>
      <c r="X235" s="386"/>
    </row>
    <row r="236" spans="2:24">
      <c r="B236" s="395"/>
      <c r="C236" s="371"/>
      <c r="D236" s="372" t="str">
        <f>IFERROR(INDEX('[12]Equipment List'!$B$2:$B$2038,MATCH(E236,'[12]Equipment List'!$A$2:$A$2038,0)),"")</f>
        <v/>
      </c>
      <c r="E236" s="388"/>
      <c r="F236" s="374"/>
      <c r="G236" s="375"/>
      <c r="H236" s="397"/>
      <c r="I236" s="377"/>
      <c r="J236" s="378"/>
      <c r="K236" s="379"/>
      <c r="L236" s="387"/>
      <c r="M236" s="380" t="str">
        <f t="array" ref="M236">IF(L236="","",(MAX(IF(AN$15:AN$144=B236,AO$15:AO$144))/60))</f>
        <v/>
      </c>
      <c r="N236" s="387"/>
      <c r="O236" s="387"/>
      <c r="P236" s="381" t="str">
        <f t="shared" si="12"/>
        <v/>
      </c>
      <c r="Q236" s="382" t="str">
        <f t="array" ref="Q236">IFERROR(INDEX($D$13:$D$1000,MATCH(0,COUNTIF($Q$12:Q235,$D$13:$D$1000&amp;"")+IF($D$13:$D$1000="",1,0),0)),"")</f>
        <v/>
      </c>
      <c r="R236" s="356" t="str">
        <f t="shared" si="13"/>
        <v/>
      </c>
      <c r="S236" s="383" t="str">
        <f t="shared" si="16"/>
        <v/>
      </c>
      <c r="T236" s="384" t="str">
        <f t="shared" si="14"/>
        <v/>
      </c>
      <c r="U236" s="349"/>
      <c r="V236" s="385"/>
      <c r="W236" s="385"/>
      <c r="X236" s="386"/>
    </row>
    <row r="237" spans="2:24">
      <c r="B237" s="395"/>
      <c r="C237" s="371"/>
      <c r="D237" s="372" t="str">
        <f>IFERROR(INDEX('[12]Equipment List'!$B$2:$B$2038,MATCH(E237,'[12]Equipment List'!$A$2:$A$2038,0)),"")</f>
        <v/>
      </c>
      <c r="E237" s="388"/>
      <c r="F237" s="374"/>
      <c r="G237" s="375"/>
      <c r="H237" s="397"/>
      <c r="I237" s="377"/>
      <c r="J237" s="378"/>
      <c r="K237" s="379"/>
      <c r="L237" s="387"/>
      <c r="M237" s="380" t="str">
        <f t="array" ref="M237">IF(L237="","",(MAX(IF(AN$15:AN$144=B237,AO$15:AO$144))/60))</f>
        <v/>
      </c>
      <c r="N237" s="387"/>
      <c r="O237" s="387"/>
      <c r="P237" s="381" t="str">
        <f t="shared" si="12"/>
        <v/>
      </c>
      <c r="Q237" s="382" t="str">
        <f t="array" ref="Q237">IFERROR(INDEX($D$13:$D$1000,MATCH(0,COUNTIF($Q$12:Q236,$D$13:$D$1000&amp;"")+IF($D$13:$D$1000="",1,0),0)),"")</f>
        <v/>
      </c>
      <c r="R237" s="356" t="str">
        <f t="shared" si="13"/>
        <v/>
      </c>
      <c r="S237" s="383" t="str">
        <f t="shared" si="16"/>
        <v/>
      </c>
      <c r="T237" s="384" t="str">
        <f t="shared" si="14"/>
        <v/>
      </c>
      <c r="U237" s="349"/>
      <c r="V237" s="385"/>
      <c r="W237" s="385"/>
      <c r="X237" s="386"/>
    </row>
    <row r="238" spans="2:24">
      <c r="B238" s="395"/>
      <c r="C238" s="371"/>
      <c r="D238" s="372" t="str">
        <f>IFERROR(INDEX('[12]Equipment List'!$B$2:$B$2038,MATCH(E238,'[12]Equipment List'!$A$2:$A$2038,0)),"")</f>
        <v/>
      </c>
      <c r="E238" s="388"/>
      <c r="F238" s="374"/>
      <c r="G238" s="375"/>
      <c r="H238" s="397"/>
      <c r="I238" s="377"/>
      <c r="J238" s="378"/>
      <c r="K238" s="379"/>
      <c r="L238" s="387"/>
      <c r="M238" s="380" t="str">
        <f t="array" ref="M238">IF(L238="","",(MAX(IF(AN$15:AN$144=B238,AO$15:AO$144))/60))</f>
        <v/>
      </c>
      <c r="N238" s="387"/>
      <c r="O238" s="387"/>
      <c r="P238" s="381" t="str">
        <f t="shared" si="12"/>
        <v/>
      </c>
      <c r="Q238" s="382" t="str">
        <f t="array" ref="Q238">IFERROR(INDEX($D$13:$D$1000,MATCH(0,COUNTIF($Q$12:Q237,$D$13:$D$1000&amp;"")+IF($D$13:$D$1000="",1,0),0)),"")</f>
        <v/>
      </c>
      <c r="R238" s="356" t="str">
        <f t="shared" si="13"/>
        <v/>
      </c>
      <c r="S238" s="383" t="str">
        <f t="shared" si="16"/>
        <v/>
      </c>
      <c r="T238" s="384" t="str">
        <f t="shared" si="14"/>
        <v/>
      </c>
      <c r="U238" s="349"/>
      <c r="V238" s="385"/>
      <c r="W238" s="385"/>
      <c r="X238" s="386"/>
    </row>
    <row r="239" spans="2:24">
      <c r="B239" s="395"/>
      <c r="C239" s="371"/>
      <c r="D239" s="372" t="str">
        <f>IFERROR(INDEX('[12]Equipment List'!$B$2:$B$2038,MATCH(E239,'[12]Equipment List'!$A$2:$A$2038,0)),"")</f>
        <v/>
      </c>
      <c r="E239" s="388"/>
      <c r="F239" s="374"/>
      <c r="G239" s="375"/>
      <c r="H239" s="397"/>
      <c r="I239" s="377"/>
      <c r="J239" s="378"/>
      <c r="K239" s="379"/>
      <c r="L239" s="387"/>
      <c r="M239" s="380" t="str">
        <f t="array" ref="M239">IF(L239="","",(MAX(IF(AN$15:AN$144=B239,AO$15:AO$144))/60))</f>
        <v/>
      </c>
      <c r="N239" s="387"/>
      <c r="O239" s="387"/>
      <c r="P239" s="381" t="str">
        <f t="shared" si="12"/>
        <v/>
      </c>
      <c r="Q239" s="382" t="str">
        <f t="array" ref="Q239">IFERROR(INDEX($D$13:$D$1000,MATCH(0,COUNTIF($Q$12:Q238,$D$13:$D$1000&amp;"")+IF($D$13:$D$1000="",1,0),0)),"")</f>
        <v/>
      </c>
      <c r="R239" s="356" t="str">
        <f t="shared" si="13"/>
        <v/>
      </c>
      <c r="S239" s="383" t="str">
        <f t="shared" si="16"/>
        <v/>
      </c>
      <c r="T239" s="384" t="str">
        <f t="shared" si="14"/>
        <v/>
      </c>
      <c r="U239" s="349"/>
      <c r="V239" s="385"/>
      <c r="W239" s="385"/>
      <c r="X239" s="386"/>
    </row>
    <row r="240" spans="2:24">
      <c r="B240" s="395"/>
      <c r="C240" s="371"/>
      <c r="D240" s="372" t="str">
        <f>IFERROR(INDEX('[12]Equipment List'!$B$2:$B$2038,MATCH(E240,'[12]Equipment List'!$A$2:$A$2038,0)),"")</f>
        <v/>
      </c>
      <c r="E240" s="388"/>
      <c r="F240" s="374"/>
      <c r="G240" s="375"/>
      <c r="H240" s="397"/>
      <c r="I240" s="377"/>
      <c r="J240" s="378"/>
      <c r="K240" s="379"/>
      <c r="L240" s="387"/>
      <c r="M240" s="380" t="str">
        <f t="array" ref="M240">IF(L240="","",(MAX(IF(AN$15:AN$144=B240,AO$15:AO$144))/60))</f>
        <v/>
      </c>
      <c r="N240" s="387"/>
      <c r="O240" s="387"/>
      <c r="P240" s="381" t="str">
        <f t="shared" si="12"/>
        <v/>
      </c>
      <c r="Q240" s="382" t="str">
        <f t="array" ref="Q240">IFERROR(INDEX($D$13:$D$1000,MATCH(0,COUNTIF($Q$12:Q239,$D$13:$D$1000&amp;"")+IF($D$13:$D$1000="",1,0),0)),"")</f>
        <v/>
      </c>
      <c r="R240" s="356" t="str">
        <f t="shared" si="13"/>
        <v/>
      </c>
      <c r="S240" s="383" t="str">
        <f t="shared" si="16"/>
        <v/>
      </c>
      <c r="T240" s="384" t="str">
        <f t="shared" si="14"/>
        <v/>
      </c>
      <c r="U240" s="349"/>
      <c r="V240" s="385"/>
      <c r="W240" s="385"/>
      <c r="X240" s="386"/>
    </row>
    <row r="241" spans="2:24">
      <c r="B241" s="395"/>
      <c r="C241" s="371"/>
      <c r="D241" s="372" t="str">
        <f>IFERROR(INDEX('[12]Equipment List'!$B$2:$B$2038,MATCH(E241,'[12]Equipment List'!$A$2:$A$2038,0)),"")</f>
        <v/>
      </c>
      <c r="E241" s="388"/>
      <c r="F241" s="374"/>
      <c r="G241" s="375"/>
      <c r="H241" s="397"/>
      <c r="I241" s="377"/>
      <c r="J241" s="378"/>
      <c r="K241" s="379"/>
      <c r="L241" s="387"/>
      <c r="M241" s="380" t="str">
        <f t="array" ref="M241">IF(L241="","",(MAX(IF(AN$15:AN$144=B241,AO$15:AO$144))/60))</f>
        <v/>
      </c>
      <c r="N241" s="387"/>
      <c r="O241" s="387"/>
      <c r="P241" s="381" t="str">
        <f t="shared" si="12"/>
        <v/>
      </c>
      <c r="Q241" s="382" t="str">
        <f t="array" ref="Q241">IFERROR(INDEX($D$13:$D$1000,MATCH(0,COUNTIF($Q$12:Q240,$D$13:$D$1000&amp;"")+IF($D$13:$D$1000="",1,0),0)),"")</f>
        <v/>
      </c>
      <c r="R241" s="356" t="str">
        <f t="shared" si="13"/>
        <v/>
      </c>
      <c r="S241" s="383" t="str">
        <f t="shared" si="16"/>
        <v/>
      </c>
      <c r="T241" s="384" t="str">
        <f t="shared" si="14"/>
        <v/>
      </c>
      <c r="U241" s="349"/>
      <c r="V241" s="385"/>
      <c r="W241" s="385"/>
      <c r="X241" s="386"/>
    </row>
    <row r="242" spans="2:24">
      <c r="B242" s="395"/>
      <c r="C242" s="371"/>
      <c r="D242" s="372" t="str">
        <f>IFERROR(INDEX('[12]Equipment List'!$B$2:$B$2038,MATCH(E242,'[12]Equipment List'!$A$2:$A$2038,0)),"")</f>
        <v/>
      </c>
      <c r="E242" s="388"/>
      <c r="F242" s="374"/>
      <c r="G242" s="375"/>
      <c r="H242" s="397"/>
      <c r="I242" s="377"/>
      <c r="J242" s="378"/>
      <c r="K242" s="379"/>
      <c r="L242" s="387"/>
      <c r="M242" s="380" t="str">
        <f t="array" ref="M242">IF(L242="","",(MAX(IF(AN$15:AN$144=B242,AO$15:AO$144))/60))</f>
        <v/>
      </c>
      <c r="N242" s="387"/>
      <c r="O242" s="387"/>
      <c r="P242" s="381" t="str">
        <f t="shared" si="12"/>
        <v/>
      </c>
      <c r="Q242" s="382" t="str">
        <f t="array" ref="Q242">IFERROR(INDEX($D$13:$D$1000,MATCH(0,COUNTIF($Q$12:Q241,$D$13:$D$1000&amp;"")+IF($D$13:$D$1000="",1,0),0)),"")</f>
        <v/>
      </c>
      <c r="R242" s="356" t="str">
        <f t="shared" si="13"/>
        <v/>
      </c>
      <c r="S242" s="383" t="str">
        <f t="shared" si="16"/>
        <v/>
      </c>
      <c r="T242" s="384" t="str">
        <f t="shared" si="14"/>
        <v/>
      </c>
      <c r="U242" s="349"/>
      <c r="V242" s="385"/>
      <c r="W242" s="385"/>
      <c r="X242" s="386"/>
    </row>
    <row r="243" spans="2:24">
      <c r="B243" s="395"/>
      <c r="C243" s="371"/>
      <c r="D243" s="372" t="str">
        <f>IFERROR(INDEX('[12]Equipment List'!$B$2:$B$2038,MATCH(E243,'[12]Equipment List'!$A$2:$A$2038,0)),"")</f>
        <v/>
      </c>
      <c r="E243" s="388"/>
      <c r="F243" s="374"/>
      <c r="G243" s="375"/>
      <c r="H243" s="397"/>
      <c r="I243" s="377"/>
      <c r="J243" s="378"/>
      <c r="K243" s="379"/>
      <c r="L243" s="387"/>
      <c r="M243" s="380" t="str">
        <f t="array" ref="M243">IF(L243="","",(MAX(IF(AN$15:AN$144=B243,AO$15:AO$144))/60))</f>
        <v/>
      </c>
      <c r="N243" s="387"/>
      <c r="O243" s="387"/>
      <c r="P243" s="381" t="str">
        <f t="shared" si="12"/>
        <v/>
      </c>
      <c r="Q243" s="382" t="str">
        <f t="array" ref="Q243">IFERROR(INDEX($D$13:$D$1000,MATCH(0,COUNTIF($Q$12:Q242,$D$13:$D$1000&amp;"")+IF($D$13:$D$1000="",1,0),0)),"")</f>
        <v/>
      </c>
      <c r="R243" s="356" t="str">
        <f t="shared" si="13"/>
        <v/>
      </c>
      <c r="S243" s="383" t="str">
        <f t="shared" si="16"/>
        <v/>
      </c>
      <c r="T243" s="384" t="str">
        <f t="shared" si="14"/>
        <v/>
      </c>
      <c r="U243" s="349"/>
      <c r="V243" s="385"/>
      <c r="W243" s="385"/>
      <c r="X243" s="386"/>
    </row>
    <row r="244" spans="2:24">
      <c r="B244" s="395"/>
      <c r="C244" s="371"/>
      <c r="D244" s="372" t="str">
        <f>IFERROR(INDEX('[12]Equipment List'!$B$2:$B$2038,MATCH(E244,'[12]Equipment List'!$A$2:$A$2038,0)),"")</f>
        <v/>
      </c>
      <c r="E244" s="388"/>
      <c r="F244" s="374"/>
      <c r="G244" s="375"/>
      <c r="H244" s="397"/>
      <c r="I244" s="377"/>
      <c r="J244" s="378"/>
      <c r="K244" s="379"/>
      <c r="L244" s="387"/>
      <c r="M244" s="380" t="str">
        <f t="array" ref="M244">IF(L244="","",(MAX(IF(AN$15:AN$144=B244,AO$15:AO$144))/60))</f>
        <v/>
      </c>
      <c r="N244" s="387"/>
      <c r="O244" s="387"/>
      <c r="P244" s="381" t="str">
        <f t="shared" si="12"/>
        <v/>
      </c>
      <c r="Q244" s="382" t="str">
        <f t="array" ref="Q244">IFERROR(INDEX($D$13:$D$1000,MATCH(0,COUNTIF($Q$12:Q243,$D$13:$D$1000&amp;"")+IF($D$13:$D$1000="",1,0),0)),"")</f>
        <v/>
      </c>
      <c r="R244" s="356" t="str">
        <f t="shared" si="13"/>
        <v/>
      </c>
      <c r="S244" s="383" t="str">
        <f t="shared" si="16"/>
        <v/>
      </c>
      <c r="T244" s="384" t="str">
        <f t="shared" si="14"/>
        <v/>
      </c>
      <c r="U244" s="349"/>
      <c r="V244" s="385"/>
      <c r="W244" s="385"/>
      <c r="X244" s="386"/>
    </row>
    <row r="245" spans="2:24">
      <c r="B245" s="395"/>
      <c r="C245" s="371"/>
      <c r="D245" s="372" t="str">
        <f>IFERROR(INDEX('[12]Equipment List'!$B$2:$B$2038,MATCH(E245,'[12]Equipment List'!$A$2:$A$2038,0)),"")</f>
        <v/>
      </c>
      <c r="E245" s="388"/>
      <c r="F245" s="374"/>
      <c r="G245" s="375"/>
      <c r="H245" s="397"/>
      <c r="I245" s="377"/>
      <c r="J245" s="378"/>
      <c r="K245" s="379"/>
      <c r="L245" s="387"/>
      <c r="M245" s="380" t="str">
        <f t="array" ref="M245">IF(L245="","",(MAX(IF(AN$15:AN$144=B245,AO$15:AO$144))/60))</f>
        <v/>
      </c>
      <c r="N245" s="387"/>
      <c r="O245" s="387"/>
      <c r="P245" s="381" t="str">
        <f t="shared" si="12"/>
        <v/>
      </c>
      <c r="Q245" s="382" t="str">
        <f t="array" ref="Q245">IFERROR(INDEX($D$13:$D$1000,MATCH(0,COUNTIF($Q$12:Q244,$D$13:$D$1000&amp;"")+IF($D$13:$D$1000="",1,0),0)),"")</f>
        <v/>
      </c>
      <c r="R245" s="356" t="str">
        <f t="shared" si="13"/>
        <v/>
      </c>
      <c r="S245" s="383" t="str">
        <f t="shared" si="16"/>
        <v/>
      </c>
      <c r="T245" s="384" t="str">
        <f t="shared" si="14"/>
        <v/>
      </c>
      <c r="U245" s="349"/>
      <c r="V245" s="385"/>
      <c r="W245" s="385"/>
      <c r="X245" s="386"/>
    </row>
    <row r="246" spans="2:24">
      <c r="B246" s="395"/>
      <c r="C246" s="371"/>
      <c r="D246" s="372" t="str">
        <f>IFERROR(INDEX('[12]Equipment List'!$B$2:$B$2038,MATCH(E246,'[12]Equipment List'!$A$2:$A$2038,0)),"")</f>
        <v/>
      </c>
      <c r="E246" s="388"/>
      <c r="F246" s="374"/>
      <c r="G246" s="375"/>
      <c r="H246" s="397"/>
      <c r="I246" s="377"/>
      <c r="J246" s="378"/>
      <c r="K246" s="379"/>
      <c r="L246" s="387"/>
      <c r="M246" s="380" t="str">
        <f t="array" ref="M246">IF(L246="","",(MAX(IF(AN$15:AN$144=B246,AO$15:AO$144))/60))</f>
        <v/>
      </c>
      <c r="N246" s="387"/>
      <c r="O246" s="387"/>
      <c r="P246" s="381" t="str">
        <f t="shared" si="12"/>
        <v/>
      </c>
      <c r="Q246" s="382" t="str">
        <f t="array" ref="Q246">IFERROR(INDEX($D$13:$D$1000,MATCH(0,COUNTIF($Q$12:Q245,$D$13:$D$1000&amp;"")+IF($D$13:$D$1000="",1,0),0)),"")</f>
        <v/>
      </c>
      <c r="R246" s="356" t="str">
        <f t="shared" si="13"/>
        <v/>
      </c>
      <c r="S246" s="383" t="str">
        <f t="shared" si="16"/>
        <v/>
      </c>
      <c r="T246" s="384" t="str">
        <f t="shared" si="14"/>
        <v/>
      </c>
      <c r="U246" s="349"/>
      <c r="V246" s="385"/>
      <c r="W246" s="385"/>
      <c r="X246" s="386"/>
    </row>
    <row r="247" spans="2:24">
      <c r="B247" s="395"/>
      <c r="C247" s="371"/>
      <c r="D247" s="372" t="str">
        <f>IFERROR(INDEX('[12]Equipment List'!$B$2:$B$2038,MATCH(E247,'[12]Equipment List'!$A$2:$A$2038,0)),"")</f>
        <v/>
      </c>
      <c r="E247" s="388"/>
      <c r="F247" s="374"/>
      <c r="G247" s="375"/>
      <c r="H247" s="397"/>
      <c r="I247" s="377"/>
      <c r="J247" s="378"/>
      <c r="K247" s="379"/>
      <c r="L247" s="387"/>
      <c r="M247" s="380" t="str">
        <f t="array" ref="M247">IF(L247="","",(MAX(IF(AN$15:AN$144=B247,AO$15:AO$144))/60))</f>
        <v/>
      </c>
      <c r="N247" s="387"/>
      <c r="O247" s="387"/>
      <c r="P247" s="381" t="str">
        <f t="shared" si="12"/>
        <v/>
      </c>
      <c r="Q247" s="382" t="str">
        <f t="array" ref="Q247">IFERROR(INDEX($D$13:$D$1000,MATCH(0,COUNTIF($Q$12:Q246,$D$13:$D$1000&amp;"")+IF($D$13:$D$1000="",1,0),0)),"")</f>
        <v/>
      </c>
      <c r="R247" s="356" t="str">
        <f t="shared" si="13"/>
        <v/>
      </c>
      <c r="S247" s="383" t="str">
        <f t="shared" si="16"/>
        <v/>
      </c>
      <c r="T247" s="384" t="str">
        <f t="shared" si="14"/>
        <v/>
      </c>
      <c r="U247" s="349"/>
      <c r="V247" s="385"/>
      <c r="W247" s="385"/>
      <c r="X247" s="386"/>
    </row>
    <row r="248" spans="2:24">
      <c r="B248" s="395"/>
      <c r="C248" s="371"/>
      <c r="D248" s="372" t="str">
        <f>IFERROR(INDEX('[12]Equipment List'!$B$2:$B$2038,MATCH(E248,'[12]Equipment List'!$A$2:$A$2038,0)),"")</f>
        <v/>
      </c>
      <c r="E248" s="388"/>
      <c r="F248" s="374"/>
      <c r="G248" s="375"/>
      <c r="H248" s="397"/>
      <c r="I248" s="377"/>
      <c r="J248" s="378"/>
      <c r="K248" s="379"/>
      <c r="L248" s="387"/>
      <c r="M248" s="380" t="str">
        <f t="array" ref="M248">IF(L248="","",(MAX(IF(AN$15:AN$144=B248,AO$15:AO$144))/60))</f>
        <v/>
      </c>
      <c r="N248" s="387"/>
      <c r="O248" s="387"/>
      <c r="P248" s="381" t="str">
        <f t="shared" si="12"/>
        <v/>
      </c>
      <c r="Q248" s="382" t="str">
        <f t="array" ref="Q248">IFERROR(INDEX($D$13:$D$1000,MATCH(0,COUNTIF($Q$12:Q247,$D$13:$D$1000&amp;"")+IF($D$13:$D$1000="",1,0),0)),"")</f>
        <v/>
      </c>
      <c r="R248" s="356" t="str">
        <f t="shared" si="13"/>
        <v/>
      </c>
      <c r="S248" s="383" t="str">
        <f t="shared" si="16"/>
        <v/>
      </c>
      <c r="T248" s="384" t="str">
        <f t="shared" si="14"/>
        <v/>
      </c>
      <c r="U248" s="349"/>
      <c r="V248" s="385"/>
      <c r="W248" s="385"/>
      <c r="X248" s="386"/>
    </row>
    <row r="249" spans="2:24">
      <c r="B249" s="395"/>
      <c r="C249" s="371"/>
      <c r="D249" s="372" t="str">
        <f>IFERROR(INDEX('[12]Equipment List'!$B$2:$B$2038,MATCH(E249,'[12]Equipment List'!$A$2:$A$2038,0)),"")</f>
        <v/>
      </c>
      <c r="E249" s="388"/>
      <c r="F249" s="374"/>
      <c r="G249" s="375"/>
      <c r="H249" s="397"/>
      <c r="I249" s="377"/>
      <c r="J249" s="378"/>
      <c r="K249" s="379"/>
      <c r="L249" s="387"/>
      <c r="M249" s="380" t="str">
        <f t="array" ref="M249">IF(L249="","",(MAX(IF(AN$15:AN$144=B249,AO$15:AO$144))/60))</f>
        <v/>
      </c>
      <c r="N249" s="387"/>
      <c r="O249" s="387"/>
      <c r="P249" s="381" t="str">
        <f t="shared" si="12"/>
        <v/>
      </c>
      <c r="Q249" s="382" t="str">
        <f t="array" ref="Q249">IFERROR(INDEX($D$13:$D$1000,MATCH(0,COUNTIF($Q$12:Q248,$D$13:$D$1000&amp;"")+IF($D$13:$D$1000="",1,0),0)),"")</f>
        <v/>
      </c>
      <c r="R249" s="356" t="str">
        <f t="shared" si="13"/>
        <v/>
      </c>
      <c r="S249" s="383" t="str">
        <f t="shared" si="16"/>
        <v/>
      </c>
      <c r="T249" s="384" t="str">
        <f t="shared" si="14"/>
        <v/>
      </c>
      <c r="U249" s="349"/>
      <c r="V249" s="385"/>
      <c r="W249" s="385"/>
      <c r="X249" s="386"/>
    </row>
    <row r="250" spans="2:24">
      <c r="B250" s="395"/>
      <c r="C250" s="371"/>
      <c r="D250" s="372" t="str">
        <f>IFERROR(INDEX('[12]Equipment List'!$B$2:$B$2038,MATCH(E250,'[12]Equipment List'!$A$2:$A$2038,0)),"")</f>
        <v/>
      </c>
      <c r="E250" s="388"/>
      <c r="F250" s="374"/>
      <c r="G250" s="375"/>
      <c r="H250" s="397"/>
      <c r="I250" s="377"/>
      <c r="J250" s="378"/>
      <c r="K250" s="379"/>
      <c r="L250" s="387"/>
      <c r="M250" s="380" t="str">
        <f t="array" ref="M250">IF(L250="","",(MAX(IF(AN$15:AN$144=B250,AO$15:AO$144))/60))</f>
        <v/>
      </c>
      <c r="N250" s="387"/>
      <c r="O250" s="387"/>
      <c r="P250" s="381" t="str">
        <f t="shared" si="12"/>
        <v/>
      </c>
      <c r="Q250" s="382" t="str">
        <f t="array" ref="Q250">IFERROR(INDEX($D$13:$D$1000,MATCH(0,COUNTIF($Q$12:Q249,$D$13:$D$1000&amp;"")+IF($D$13:$D$1000="",1,0),0)),"")</f>
        <v/>
      </c>
      <c r="R250" s="356" t="str">
        <f t="shared" si="13"/>
        <v/>
      </c>
      <c r="S250" s="383" t="str">
        <f t="shared" si="16"/>
        <v/>
      </c>
      <c r="T250" s="384" t="str">
        <f t="shared" si="14"/>
        <v/>
      </c>
      <c r="U250" s="349"/>
      <c r="V250" s="385"/>
      <c r="W250" s="385"/>
      <c r="X250" s="386"/>
    </row>
    <row r="251" spans="2:24">
      <c r="B251" s="395"/>
      <c r="C251" s="371"/>
      <c r="D251" s="372" t="str">
        <f>IFERROR(INDEX('[12]Equipment List'!$B$2:$B$2038,MATCH(E251,'[12]Equipment List'!$A$2:$A$2038,0)),"")</f>
        <v/>
      </c>
      <c r="E251" s="388"/>
      <c r="F251" s="374"/>
      <c r="G251" s="375"/>
      <c r="H251" s="397"/>
      <c r="I251" s="377"/>
      <c r="J251" s="378"/>
      <c r="K251" s="379"/>
      <c r="L251" s="387"/>
      <c r="M251" s="380" t="str">
        <f t="array" ref="M251">IF(L251="","",(MAX(IF(AN$15:AN$144=B251,AO$15:AO$144))/60))</f>
        <v/>
      </c>
      <c r="N251" s="387"/>
      <c r="O251" s="387"/>
      <c r="P251" s="381" t="str">
        <f t="shared" si="12"/>
        <v/>
      </c>
      <c r="Q251" s="382" t="str">
        <f t="array" ref="Q251">IFERROR(INDEX($D$13:$D$1000,MATCH(0,COUNTIF($Q$12:Q250,$D$13:$D$1000&amp;"")+IF($D$13:$D$1000="",1,0),0)),"")</f>
        <v/>
      </c>
      <c r="R251" s="356" t="str">
        <f t="shared" si="13"/>
        <v/>
      </c>
      <c r="S251" s="383" t="str">
        <f t="shared" si="16"/>
        <v/>
      </c>
      <c r="T251" s="384" t="str">
        <f t="shared" si="14"/>
        <v/>
      </c>
      <c r="U251" s="349"/>
      <c r="V251" s="385"/>
      <c r="W251" s="385"/>
      <c r="X251" s="386"/>
    </row>
    <row r="252" spans="2:24">
      <c r="B252" s="395"/>
      <c r="C252" s="371"/>
      <c r="D252" s="372" t="str">
        <f>IFERROR(INDEX('[12]Equipment List'!$B$2:$B$2038,MATCH(E252,'[12]Equipment List'!$A$2:$A$2038,0)),"")</f>
        <v/>
      </c>
      <c r="E252" s="388"/>
      <c r="F252" s="374"/>
      <c r="G252" s="375"/>
      <c r="H252" s="397"/>
      <c r="I252" s="377"/>
      <c r="J252" s="378"/>
      <c r="K252" s="379"/>
      <c r="L252" s="387"/>
      <c r="M252" s="380" t="str">
        <f t="array" ref="M252">IF(L252="","",(MAX(IF(AN$15:AN$144=B252,AO$15:AO$144))/60))</f>
        <v/>
      </c>
      <c r="N252" s="387"/>
      <c r="O252" s="387"/>
      <c r="P252" s="381" t="str">
        <f t="shared" si="12"/>
        <v/>
      </c>
      <c r="Q252" s="382" t="str">
        <f t="array" ref="Q252">IFERROR(INDEX($D$13:$D$1000,MATCH(0,COUNTIF($Q$12:Q251,$D$13:$D$1000&amp;"")+IF($D$13:$D$1000="",1,0),0)),"")</f>
        <v/>
      </c>
      <c r="R252" s="356" t="str">
        <f t="shared" si="13"/>
        <v/>
      </c>
      <c r="S252" s="383" t="str">
        <f t="shared" si="16"/>
        <v/>
      </c>
      <c r="T252" s="384" t="str">
        <f t="shared" si="14"/>
        <v/>
      </c>
      <c r="U252" s="349"/>
      <c r="V252" s="385"/>
      <c r="W252" s="385"/>
      <c r="X252" s="386"/>
    </row>
    <row r="253" spans="2:24">
      <c r="B253" s="395"/>
      <c r="C253" s="371"/>
      <c r="D253" s="372" t="str">
        <f>IFERROR(INDEX('[12]Equipment List'!$B$2:$B$2038,MATCH(E253,'[12]Equipment List'!$A$2:$A$2038,0)),"")</f>
        <v/>
      </c>
      <c r="E253" s="388"/>
      <c r="F253" s="374"/>
      <c r="G253" s="375"/>
      <c r="H253" s="397"/>
      <c r="I253" s="377"/>
      <c r="J253" s="378"/>
      <c r="K253" s="379"/>
      <c r="L253" s="387"/>
      <c r="M253" s="380" t="str">
        <f t="array" ref="M253">IF(L253="","",(MAX(IF(AN$15:AN$144=B253,AO$15:AO$144))/60))</f>
        <v/>
      </c>
      <c r="N253" s="387"/>
      <c r="O253" s="387"/>
      <c r="P253" s="381" t="str">
        <f t="shared" si="12"/>
        <v/>
      </c>
      <c r="Q253" s="382" t="str">
        <f t="array" ref="Q253">IFERROR(INDEX($D$13:$D$1000,MATCH(0,COUNTIF($Q$12:Q252,$D$13:$D$1000&amp;"")+IF($D$13:$D$1000="",1,0),0)),"")</f>
        <v/>
      </c>
      <c r="R253" s="356" t="str">
        <f t="shared" si="13"/>
        <v/>
      </c>
      <c r="S253" s="383" t="str">
        <f t="shared" si="16"/>
        <v/>
      </c>
      <c r="T253" s="384" t="str">
        <f t="shared" si="14"/>
        <v/>
      </c>
      <c r="U253" s="349"/>
      <c r="V253" s="385"/>
      <c r="W253" s="385"/>
      <c r="X253" s="386"/>
    </row>
    <row r="254" spans="2:24">
      <c r="B254" s="395"/>
      <c r="C254" s="371"/>
      <c r="D254" s="372" t="str">
        <f>IFERROR(INDEX('[12]Equipment List'!$B$2:$B$2038,MATCH(E254,'[12]Equipment List'!$A$2:$A$2038,0)),"")</f>
        <v/>
      </c>
      <c r="E254" s="388"/>
      <c r="F254" s="374"/>
      <c r="G254" s="375"/>
      <c r="H254" s="397"/>
      <c r="I254" s="377"/>
      <c r="J254" s="378"/>
      <c r="K254" s="379"/>
      <c r="L254" s="387"/>
      <c r="M254" s="380" t="str">
        <f t="array" ref="M254">IF(L254="","",(MAX(IF(AN$15:AN$144=B254,AO$15:AO$144))/60))</f>
        <v/>
      </c>
      <c r="N254" s="387"/>
      <c r="O254" s="387"/>
      <c r="P254" s="381" t="str">
        <f t="shared" si="12"/>
        <v/>
      </c>
      <c r="Q254" s="382" t="str">
        <f t="array" ref="Q254">IFERROR(INDEX($D$13:$D$1000,MATCH(0,COUNTIF($Q$12:Q253,$D$13:$D$1000&amp;"")+IF($D$13:$D$1000="",1,0),0)),"")</f>
        <v/>
      </c>
      <c r="R254" s="356" t="str">
        <f t="shared" si="13"/>
        <v/>
      </c>
      <c r="S254" s="383" t="str">
        <f t="shared" si="16"/>
        <v/>
      </c>
      <c r="T254" s="384" t="str">
        <f t="shared" si="14"/>
        <v/>
      </c>
      <c r="U254" s="349"/>
      <c r="V254" s="385"/>
      <c r="W254" s="385"/>
      <c r="X254" s="386"/>
    </row>
    <row r="255" spans="2:24">
      <c r="B255" s="395"/>
      <c r="C255" s="371"/>
      <c r="D255" s="372" t="str">
        <f>IFERROR(INDEX('[12]Equipment List'!$B$2:$B$2038,MATCH(E255,'[12]Equipment List'!$A$2:$A$2038,0)),"")</f>
        <v/>
      </c>
      <c r="E255" s="388"/>
      <c r="F255" s="374"/>
      <c r="G255" s="375"/>
      <c r="H255" s="397"/>
      <c r="I255" s="377"/>
      <c r="J255" s="378"/>
      <c r="K255" s="379"/>
      <c r="L255" s="387"/>
      <c r="M255" s="380" t="str">
        <f t="array" ref="M255">IF(L255="","",(MAX(IF(AN$15:AN$144=B255,AO$15:AO$144))/60))</f>
        <v/>
      </c>
      <c r="N255" s="387"/>
      <c r="O255" s="387"/>
      <c r="P255" s="381" t="str">
        <f t="shared" si="12"/>
        <v/>
      </c>
      <c r="Q255" s="382" t="str">
        <f t="array" ref="Q255">IFERROR(INDEX($D$13:$D$1000,MATCH(0,COUNTIF($Q$12:Q254,$D$13:$D$1000&amp;"")+IF($D$13:$D$1000="",1,0),0)),"")</f>
        <v/>
      </c>
      <c r="R255" s="356" t="str">
        <f t="shared" si="13"/>
        <v/>
      </c>
      <c r="S255" s="383" t="str">
        <f t="shared" si="16"/>
        <v/>
      </c>
      <c r="T255" s="384" t="str">
        <f t="shared" si="14"/>
        <v/>
      </c>
      <c r="U255" s="349"/>
      <c r="V255" s="385"/>
      <c r="W255" s="385"/>
      <c r="X255" s="386"/>
    </row>
    <row r="256" spans="2:24">
      <c r="B256" s="395"/>
      <c r="C256" s="371"/>
      <c r="D256" s="372" t="str">
        <f>IFERROR(INDEX('[12]Equipment List'!$B$2:$B$2038,MATCH(E256,'[12]Equipment List'!$A$2:$A$2038,0)),"")</f>
        <v/>
      </c>
      <c r="E256" s="388"/>
      <c r="F256" s="374"/>
      <c r="G256" s="375"/>
      <c r="H256" s="397"/>
      <c r="I256" s="377"/>
      <c r="J256" s="378"/>
      <c r="K256" s="379"/>
      <c r="L256" s="387"/>
      <c r="M256" s="380" t="str">
        <f t="array" ref="M256">IF(L256="","",(MAX(IF(AN$15:AN$144=B256,AO$15:AO$144))/60))</f>
        <v/>
      </c>
      <c r="N256" s="387"/>
      <c r="O256" s="387"/>
      <c r="P256" s="381" t="str">
        <f t="shared" si="12"/>
        <v/>
      </c>
      <c r="Q256" s="382" t="str">
        <f t="array" ref="Q256">IFERROR(INDEX($D$13:$D$1000,MATCH(0,COUNTIF($Q$12:Q255,$D$13:$D$1000&amp;"")+IF($D$13:$D$1000="",1,0),0)),"")</f>
        <v/>
      </c>
      <c r="R256" s="356" t="str">
        <f t="shared" si="13"/>
        <v/>
      </c>
      <c r="S256" s="383" t="str">
        <f t="shared" si="16"/>
        <v/>
      </c>
      <c r="T256" s="384" t="str">
        <f t="shared" si="14"/>
        <v/>
      </c>
      <c r="U256" s="349"/>
      <c r="V256" s="385"/>
      <c r="W256" s="385"/>
      <c r="X256" s="386"/>
    </row>
    <row r="257" spans="2:24">
      <c r="B257" s="395"/>
      <c r="C257" s="371"/>
      <c r="D257" s="372" t="str">
        <f>IFERROR(INDEX('[12]Equipment List'!$B$2:$B$2038,MATCH(E257,'[12]Equipment List'!$A$2:$A$2038,0)),"")</f>
        <v/>
      </c>
      <c r="E257" s="388"/>
      <c r="F257" s="374"/>
      <c r="G257" s="375"/>
      <c r="H257" s="397"/>
      <c r="I257" s="377"/>
      <c r="J257" s="378"/>
      <c r="K257" s="379"/>
      <c r="L257" s="387"/>
      <c r="M257" s="380" t="str">
        <f t="array" ref="M257">IF(L257="","",(MAX(IF(AN$15:AN$144=B257,AO$15:AO$144))/60))</f>
        <v/>
      </c>
      <c r="N257" s="387"/>
      <c r="O257" s="387"/>
      <c r="P257" s="381" t="str">
        <f t="shared" si="12"/>
        <v/>
      </c>
      <c r="Q257" s="382" t="str">
        <f t="array" ref="Q257">IFERROR(INDEX($D$13:$D$1000,MATCH(0,COUNTIF($Q$12:Q256,$D$13:$D$1000&amp;"")+IF($D$13:$D$1000="",1,0),0)),"")</f>
        <v/>
      </c>
      <c r="R257" s="356" t="str">
        <f t="shared" si="13"/>
        <v/>
      </c>
      <c r="S257" s="383" t="str">
        <f t="shared" si="16"/>
        <v/>
      </c>
      <c r="T257" s="384" t="str">
        <f t="shared" si="14"/>
        <v/>
      </c>
      <c r="U257" s="349"/>
      <c r="V257" s="385"/>
      <c r="W257" s="385"/>
      <c r="X257" s="386"/>
    </row>
    <row r="258" spans="2:24">
      <c r="B258" s="395"/>
      <c r="C258" s="371"/>
      <c r="D258" s="372" t="str">
        <f>IFERROR(INDEX('[12]Equipment List'!$B$2:$B$2038,MATCH(E258,'[12]Equipment List'!$A$2:$A$2038,0)),"")</f>
        <v/>
      </c>
      <c r="E258" s="388"/>
      <c r="F258" s="374"/>
      <c r="G258" s="375"/>
      <c r="H258" s="397"/>
      <c r="I258" s="377"/>
      <c r="J258" s="378"/>
      <c r="K258" s="379"/>
      <c r="L258" s="387"/>
      <c r="M258" s="380" t="str">
        <f t="array" ref="M258">IF(L258="","",(MAX(IF(AN$15:AN$144=B258,AO$15:AO$144))/60))</f>
        <v/>
      </c>
      <c r="N258" s="387"/>
      <c r="O258" s="387"/>
      <c r="P258" s="381" t="str">
        <f t="shared" si="12"/>
        <v/>
      </c>
      <c r="Q258" s="382" t="str">
        <f t="array" ref="Q258">IFERROR(INDEX($D$13:$D$1000,MATCH(0,COUNTIF($Q$12:Q257,$D$13:$D$1000&amp;"")+IF($D$13:$D$1000="",1,0),0)),"")</f>
        <v/>
      </c>
      <c r="R258" s="356" t="str">
        <f t="shared" si="13"/>
        <v/>
      </c>
      <c r="S258" s="383" t="str">
        <f t="shared" si="16"/>
        <v/>
      </c>
      <c r="T258" s="384" t="str">
        <f t="shared" si="14"/>
        <v/>
      </c>
      <c r="U258" s="349"/>
      <c r="V258" s="385"/>
      <c r="W258" s="385"/>
      <c r="X258" s="386"/>
    </row>
    <row r="259" spans="2:24">
      <c r="B259" s="395"/>
      <c r="C259" s="371"/>
      <c r="D259" s="372" t="str">
        <f>IFERROR(INDEX('[12]Equipment List'!$B$2:$B$2038,MATCH(E259,'[12]Equipment List'!$A$2:$A$2038,0)),"")</f>
        <v/>
      </c>
      <c r="E259" s="388"/>
      <c r="F259" s="374"/>
      <c r="G259" s="375"/>
      <c r="H259" s="397"/>
      <c r="I259" s="377"/>
      <c r="J259" s="378"/>
      <c r="K259" s="379"/>
      <c r="L259" s="387"/>
      <c r="M259" s="380" t="str">
        <f t="array" ref="M259">IF(L259="","",(MAX(IF(AN$15:AN$144=B259,AO$15:AO$144))/60))</f>
        <v/>
      </c>
      <c r="N259" s="387"/>
      <c r="O259" s="387"/>
      <c r="P259" s="381" t="str">
        <f t="shared" si="12"/>
        <v/>
      </c>
      <c r="Q259" s="382" t="str">
        <f t="array" ref="Q259">IFERROR(INDEX($D$13:$D$1000,MATCH(0,COUNTIF($Q$12:Q258,$D$13:$D$1000&amp;"")+IF($D$13:$D$1000="",1,0),0)),"")</f>
        <v/>
      </c>
      <c r="R259" s="356" t="str">
        <f t="shared" si="13"/>
        <v/>
      </c>
      <c r="S259" s="383" t="str">
        <f t="shared" si="16"/>
        <v/>
      </c>
      <c r="T259" s="384" t="str">
        <f t="shared" si="14"/>
        <v/>
      </c>
      <c r="U259" s="349"/>
      <c r="V259" s="385"/>
      <c r="W259" s="385"/>
      <c r="X259" s="386"/>
    </row>
    <row r="260" spans="2:24">
      <c r="B260" s="395"/>
      <c r="C260" s="371"/>
      <c r="D260" s="372" t="str">
        <f>IFERROR(INDEX('[12]Equipment List'!$B$2:$B$2038,MATCH(E260,'[12]Equipment List'!$A$2:$A$2038,0)),"")</f>
        <v/>
      </c>
      <c r="E260" s="388"/>
      <c r="F260" s="374"/>
      <c r="G260" s="375"/>
      <c r="H260" s="397"/>
      <c r="I260" s="377"/>
      <c r="J260" s="378"/>
      <c r="K260" s="379"/>
      <c r="L260" s="387"/>
      <c r="M260" s="380" t="str">
        <f t="array" ref="M260">IF(L260="","",(MAX(IF(AN$15:AN$144=B260,AO$15:AO$144))/60))</f>
        <v/>
      </c>
      <c r="N260" s="387"/>
      <c r="O260" s="387"/>
      <c r="P260" s="381" t="str">
        <f t="shared" si="12"/>
        <v/>
      </c>
      <c r="Q260" s="382" t="str">
        <f t="array" ref="Q260">IFERROR(INDEX($D$13:$D$1000,MATCH(0,COUNTIF($Q$12:Q259,$D$13:$D$1000&amp;"")+IF($D$13:$D$1000="",1,0),0)),"")</f>
        <v/>
      </c>
      <c r="R260" s="356" t="str">
        <f t="shared" si="13"/>
        <v/>
      </c>
      <c r="S260" s="383" t="str">
        <f t="shared" si="16"/>
        <v/>
      </c>
      <c r="T260" s="384" t="str">
        <f t="shared" si="14"/>
        <v/>
      </c>
      <c r="U260" s="349"/>
      <c r="V260" s="385"/>
      <c r="W260" s="385"/>
      <c r="X260" s="386"/>
    </row>
    <row r="261" spans="2:24">
      <c r="B261" s="395"/>
      <c r="C261" s="371"/>
      <c r="D261" s="372" t="str">
        <f>IFERROR(INDEX('[12]Equipment List'!$B$2:$B$2038,MATCH(E261,'[12]Equipment List'!$A$2:$A$2038,0)),"")</f>
        <v/>
      </c>
      <c r="E261" s="388"/>
      <c r="F261" s="374"/>
      <c r="G261" s="375"/>
      <c r="H261" s="397"/>
      <c r="I261" s="377"/>
      <c r="J261" s="378"/>
      <c r="K261" s="379"/>
      <c r="L261" s="387"/>
      <c r="M261" s="380" t="str">
        <f t="array" ref="M261">IF(L261="","",(MAX(IF(AN$15:AN$144=B261,AO$15:AO$144))/60))</f>
        <v/>
      </c>
      <c r="N261" s="387"/>
      <c r="O261" s="387"/>
      <c r="P261" s="381" t="str">
        <f t="shared" si="12"/>
        <v/>
      </c>
      <c r="Q261" s="382" t="str">
        <f t="array" ref="Q261">IFERROR(INDEX($D$13:$D$1000,MATCH(0,COUNTIF($Q$12:Q260,$D$13:$D$1000&amp;"")+IF($D$13:$D$1000="",1,0),0)),"")</f>
        <v/>
      </c>
      <c r="R261" s="356" t="str">
        <f t="shared" si="13"/>
        <v/>
      </c>
      <c r="S261" s="383" t="str">
        <f t="shared" si="16"/>
        <v/>
      </c>
      <c r="T261" s="384" t="str">
        <f t="shared" si="14"/>
        <v/>
      </c>
      <c r="U261" s="349"/>
      <c r="V261" s="385"/>
      <c r="W261" s="385"/>
      <c r="X261" s="386"/>
    </row>
    <row r="262" spans="2:24">
      <c r="B262" s="395"/>
      <c r="C262" s="371"/>
      <c r="D262" s="372" t="str">
        <f>IFERROR(INDEX('[12]Equipment List'!$B$2:$B$2038,MATCH(E262,'[12]Equipment List'!$A$2:$A$2038,0)),"")</f>
        <v/>
      </c>
      <c r="E262" s="388"/>
      <c r="F262" s="374"/>
      <c r="G262" s="375"/>
      <c r="H262" s="397"/>
      <c r="I262" s="377"/>
      <c r="J262" s="378"/>
      <c r="K262" s="379"/>
      <c r="L262" s="387"/>
      <c r="M262" s="380" t="str">
        <f t="array" ref="M262">IF(L262="","",(MAX(IF(AN$15:AN$144=B262,AO$15:AO$144))/60))</f>
        <v/>
      </c>
      <c r="N262" s="387"/>
      <c r="O262" s="387"/>
      <c r="P262" s="381" t="str">
        <f t="shared" si="12"/>
        <v/>
      </c>
      <c r="Q262" s="382" t="str">
        <f t="array" ref="Q262">IFERROR(INDEX($D$13:$D$1000,MATCH(0,COUNTIF($Q$12:Q261,$D$13:$D$1000&amp;"")+IF($D$13:$D$1000="",1,0),0)),"")</f>
        <v/>
      </c>
      <c r="R262" s="356" t="str">
        <f t="shared" si="13"/>
        <v/>
      </c>
      <c r="S262" s="383" t="str">
        <f t="shared" si="16"/>
        <v/>
      </c>
      <c r="T262" s="384" t="str">
        <f t="shared" si="14"/>
        <v/>
      </c>
      <c r="U262" s="349"/>
      <c r="V262" s="385"/>
      <c r="W262" s="385"/>
      <c r="X262" s="386"/>
    </row>
    <row r="263" spans="2:24">
      <c r="B263" s="395"/>
      <c r="C263" s="371"/>
      <c r="D263" s="372" t="str">
        <f>IFERROR(INDEX('[12]Equipment List'!$B$2:$B$2038,MATCH(E263,'[12]Equipment List'!$A$2:$A$2038,0)),"")</f>
        <v/>
      </c>
      <c r="E263" s="388"/>
      <c r="F263" s="374"/>
      <c r="G263" s="375"/>
      <c r="H263" s="397"/>
      <c r="I263" s="377"/>
      <c r="J263" s="378"/>
      <c r="K263" s="379"/>
      <c r="L263" s="387"/>
      <c r="M263" s="380" t="str">
        <f t="array" ref="M263">IF(L263="","",(MAX(IF(AN$15:AN$144=B263,AO$15:AO$144))/60))</f>
        <v/>
      </c>
      <c r="N263" s="387"/>
      <c r="O263" s="387"/>
      <c r="P263" s="381" t="str">
        <f t="shared" si="12"/>
        <v/>
      </c>
      <c r="Q263" s="382" t="str">
        <f t="array" ref="Q263">IFERROR(INDEX($D$13:$D$1000,MATCH(0,COUNTIF($Q$12:Q262,$D$13:$D$1000&amp;"")+IF($D$13:$D$1000="",1,0),0)),"")</f>
        <v/>
      </c>
      <c r="R263" s="356" t="str">
        <f t="shared" si="13"/>
        <v/>
      </c>
      <c r="S263" s="383" t="str">
        <f t="shared" si="16"/>
        <v/>
      </c>
      <c r="T263" s="384" t="str">
        <f t="shared" si="14"/>
        <v/>
      </c>
      <c r="U263" s="349"/>
      <c r="V263" s="385"/>
      <c r="W263" s="385"/>
      <c r="X263" s="386"/>
    </row>
    <row r="264" spans="2:24">
      <c r="B264" s="395"/>
      <c r="C264" s="371"/>
      <c r="D264" s="372" t="str">
        <f>IFERROR(INDEX('[12]Equipment List'!$B$2:$B$2038,MATCH(E264,'[12]Equipment List'!$A$2:$A$2038,0)),"")</f>
        <v/>
      </c>
      <c r="E264" s="388"/>
      <c r="F264" s="374"/>
      <c r="G264" s="375"/>
      <c r="H264" s="397"/>
      <c r="I264" s="377"/>
      <c r="J264" s="378"/>
      <c r="K264" s="379"/>
      <c r="L264" s="387"/>
      <c r="M264" s="380" t="str">
        <f t="array" ref="M264">IF(L264="","",(MAX(IF(AN$15:AN$144=B264,AO$15:AO$144))/60))</f>
        <v/>
      </c>
      <c r="N264" s="387"/>
      <c r="O264" s="387"/>
      <c r="P264" s="381" t="str">
        <f t="shared" si="12"/>
        <v/>
      </c>
      <c r="Q264" s="382" t="str">
        <f t="array" ref="Q264">IFERROR(INDEX($D$13:$D$1000,MATCH(0,COUNTIF($Q$12:Q263,$D$13:$D$1000&amp;"")+IF($D$13:$D$1000="",1,0),0)),"")</f>
        <v/>
      </c>
      <c r="R264" s="356" t="str">
        <f t="shared" si="13"/>
        <v/>
      </c>
      <c r="S264" s="383" t="str">
        <f t="shared" si="16"/>
        <v/>
      </c>
      <c r="T264" s="384" t="str">
        <f t="shared" si="14"/>
        <v/>
      </c>
      <c r="U264" s="349"/>
      <c r="V264" s="385"/>
      <c r="W264" s="385"/>
      <c r="X264" s="386"/>
    </row>
    <row r="265" spans="2:24">
      <c r="B265" s="395"/>
      <c r="C265" s="371"/>
      <c r="D265" s="372" t="str">
        <f>IFERROR(INDEX('[12]Equipment List'!$B$2:$B$2038,MATCH(E265,'[12]Equipment List'!$A$2:$A$2038,0)),"")</f>
        <v/>
      </c>
      <c r="E265" s="388"/>
      <c r="F265" s="374"/>
      <c r="G265" s="375"/>
      <c r="H265" s="397"/>
      <c r="I265" s="377"/>
      <c r="J265" s="378"/>
      <c r="K265" s="379"/>
      <c r="L265" s="387"/>
      <c r="M265" s="380" t="str">
        <f t="array" ref="M265">IF(L265="","",(MAX(IF(AN$15:AN$144=B265,AO$15:AO$144))/60))</f>
        <v/>
      </c>
      <c r="N265" s="387"/>
      <c r="O265" s="387"/>
      <c r="P265" s="381" t="str">
        <f t="shared" si="12"/>
        <v/>
      </c>
      <c r="Q265" s="382" t="str">
        <f t="array" ref="Q265">IFERROR(INDEX($D$13:$D$1000,MATCH(0,COUNTIF($Q$12:Q264,$D$13:$D$1000&amp;"")+IF($D$13:$D$1000="",1,0),0)),"")</f>
        <v/>
      </c>
      <c r="R265" s="356" t="str">
        <f t="shared" si="13"/>
        <v/>
      </c>
      <c r="S265" s="383" t="str">
        <f t="shared" si="16"/>
        <v/>
      </c>
      <c r="T265" s="384" t="str">
        <f t="shared" si="14"/>
        <v/>
      </c>
      <c r="U265" s="349"/>
      <c r="V265" s="385"/>
      <c r="W265" s="385"/>
      <c r="X265" s="386"/>
    </row>
    <row r="266" spans="2:24">
      <c r="B266" s="395"/>
      <c r="C266" s="371"/>
      <c r="D266" s="372" t="str">
        <f>IFERROR(INDEX('[12]Equipment List'!$B$2:$B$2038,MATCH(E266,'[12]Equipment List'!$A$2:$A$2038,0)),"")</f>
        <v/>
      </c>
      <c r="E266" s="388"/>
      <c r="F266" s="374"/>
      <c r="G266" s="375"/>
      <c r="H266" s="397"/>
      <c r="I266" s="377"/>
      <c r="J266" s="378"/>
      <c r="K266" s="379"/>
      <c r="L266" s="387"/>
      <c r="M266" s="380" t="str">
        <f t="array" ref="M266">IF(L266="","",(MAX(IF(AN$15:AN$144=B266,AO$15:AO$144))/60))</f>
        <v/>
      </c>
      <c r="N266" s="387"/>
      <c r="O266" s="387"/>
      <c r="P266" s="381" t="str">
        <f t="shared" si="12"/>
        <v/>
      </c>
      <c r="Q266" s="382" t="str">
        <f t="array" ref="Q266">IFERROR(INDEX($D$13:$D$1000,MATCH(0,COUNTIF($Q$12:Q265,$D$13:$D$1000&amp;"")+IF($D$13:$D$1000="",1,0),0)),"")</f>
        <v/>
      </c>
      <c r="R266" s="356" t="str">
        <f t="shared" si="13"/>
        <v/>
      </c>
      <c r="S266" s="383" t="str">
        <f t="shared" si="16"/>
        <v/>
      </c>
      <c r="T266" s="384" t="str">
        <f t="shared" si="14"/>
        <v/>
      </c>
      <c r="U266" s="349"/>
      <c r="V266" s="385"/>
      <c r="W266" s="385"/>
      <c r="X266" s="386"/>
    </row>
    <row r="267" spans="2:24">
      <c r="B267" s="395"/>
      <c r="C267" s="371"/>
      <c r="D267" s="372" t="str">
        <f>IFERROR(INDEX('[12]Equipment List'!$B$2:$B$2038,MATCH(E267,'[12]Equipment List'!$A$2:$A$2038,0)),"")</f>
        <v/>
      </c>
      <c r="E267" s="388"/>
      <c r="F267" s="374"/>
      <c r="G267" s="375"/>
      <c r="H267" s="397"/>
      <c r="I267" s="377"/>
      <c r="J267" s="378"/>
      <c r="K267" s="379"/>
      <c r="L267" s="387"/>
      <c r="M267" s="380" t="str">
        <f t="array" ref="M267">IF(L267="","",(MAX(IF(AN$15:AN$144=B267,AO$15:AO$144))/60))</f>
        <v/>
      </c>
      <c r="N267" s="387"/>
      <c r="O267" s="387"/>
      <c r="P267" s="381" t="str">
        <f t="shared" si="12"/>
        <v/>
      </c>
      <c r="Q267" s="382" t="str">
        <f t="array" ref="Q267">IFERROR(INDEX($D$13:$D$1000,MATCH(0,COUNTIF($Q$12:Q266,$D$13:$D$1000&amp;"")+IF($D$13:$D$1000="",1,0),0)),"")</f>
        <v/>
      </c>
      <c r="R267" s="356" t="str">
        <f t="shared" si="13"/>
        <v/>
      </c>
      <c r="S267" s="383" t="str">
        <f t="shared" si="16"/>
        <v/>
      </c>
      <c r="T267" s="384" t="str">
        <f t="shared" si="14"/>
        <v/>
      </c>
      <c r="U267" s="349"/>
      <c r="V267" s="385"/>
      <c r="W267" s="385"/>
      <c r="X267" s="386"/>
    </row>
    <row r="268" spans="2:24">
      <c r="B268" s="395"/>
      <c r="C268" s="371"/>
      <c r="D268" s="372" t="str">
        <f>IFERROR(INDEX('[12]Equipment List'!$B$2:$B$2038,MATCH(E268,'[12]Equipment List'!$A$2:$A$2038,0)),"")</f>
        <v/>
      </c>
      <c r="E268" s="388"/>
      <c r="F268" s="374"/>
      <c r="G268" s="375"/>
      <c r="H268" s="397"/>
      <c r="I268" s="377"/>
      <c r="J268" s="378"/>
      <c r="K268" s="379"/>
      <c r="L268" s="387"/>
      <c r="M268" s="380" t="str">
        <f t="array" ref="M268">IF(L268="","",(MAX(IF(AN$15:AN$144=B268,AO$15:AO$144))/60))</f>
        <v/>
      </c>
      <c r="N268" s="387"/>
      <c r="O268" s="387"/>
      <c r="P268" s="381" t="str">
        <f t="shared" ref="P268:P331" si="17">IFERROR((((K268/5/250/$F$8)+(N268*$F$9))/$S$4)*(M268/60),"")</f>
        <v/>
      </c>
      <c r="Q268" s="382" t="str">
        <f t="array" ref="Q268">IFERROR(INDEX($D$13:$D$1000,MATCH(0,COUNTIF($Q$12:Q267,$D$13:$D$1000&amp;"")+IF($D$13:$D$1000="",1,0),0)),"")</f>
        <v/>
      </c>
      <c r="R268" s="356" t="str">
        <f t="shared" si="13"/>
        <v/>
      </c>
      <c r="S268" s="383" t="str">
        <f t="shared" si="16"/>
        <v/>
      </c>
      <c r="T268" s="384" t="str">
        <f t="shared" si="14"/>
        <v/>
      </c>
      <c r="U268" s="349"/>
      <c r="V268" s="385"/>
      <c r="W268" s="385"/>
      <c r="X268" s="386"/>
    </row>
    <row r="269" spans="2:24">
      <c r="B269" s="395"/>
      <c r="C269" s="371"/>
      <c r="D269" s="372" t="str">
        <f>IFERROR(INDEX('[12]Equipment List'!$B$2:$B$2038,MATCH(E269,'[12]Equipment List'!$A$2:$A$2038,0)),"")</f>
        <v/>
      </c>
      <c r="E269" s="388"/>
      <c r="F269" s="374"/>
      <c r="G269" s="375"/>
      <c r="H269" s="397"/>
      <c r="I269" s="377"/>
      <c r="J269" s="378"/>
      <c r="K269" s="379"/>
      <c r="L269" s="387"/>
      <c r="M269" s="380" t="str">
        <f t="array" ref="M269">IF(L269="","",(MAX(IF(AN$15:AN$144=B269,AO$15:AO$144))/60))</f>
        <v/>
      </c>
      <c r="N269" s="387"/>
      <c r="O269" s="387"/>
      <c r="P269" s="381" t="str">
        <f t="shared" si="17"/>
        <v/>
      </c>
      <c r="Q269" s="382" t="str">
        <f t="array" ref="Q269">IFERROR(INDEX($D$13:$D$1000,MATCH(0,COUNTIF($Q$12:Q268,$D$13:$D$1000&amp;"")+IF($D$13:$D$1000="",1,0),0)),"")</f>
        <v/>
      </c>
      <c r="R269" s="356" t="str">
        <f t="shared" ref="R269:R332" si="18">IF(Q269="","",COUNTIF($D$13:$D$1000,$Q269))</f>
        <v/>
      </c>
      <c r="S269" s="383" t="str">
        <f t="shared" si="16"/>
        <v/>
      </c>
      <c r="T269" s="384" t="str">
        <f t="shared" ref="T269:T332" si="19">IF($Q269="","",SUMIF($D$13:$D$1000,$Q269,N$13:N$1000))</f>
        <v/>
      </c>
      <c r="U269" s="349"/>
      <c r="V269" s="385"/>
      <c r="W269" s="385"/>
      <c r="X269" s="386"/>
    </row>
    <row r="270" spans="2:24">
      <c r="B270" s="395"/>
      <c r="C270" s="371"/>
      <c r="D270" s="372" t="str">
        <f>IFERROR(INDEX('[12]Equipment List'!$B$2:$B$2038,MATCH(E270,'[12]Equipment List'!$A$2:$A$2038,0)),"")</f>
        <v/>
      </c>
      <c r="E270" s="388"/>
      <c r="F270" s="374"/>
      <c r="G270" s="375"/>
      <c r="H270" s="397"/>
      <c r="I270" s="377"/>
      <c r="J270" s="378"/>
      <c r="K270" s="379"/>
      <c r="L270" s="387"/>
      <c r="M270" s="380" t="str">
        <f t="array" ref="M270">IF(L270="","",(MAX(IF(AN$15:AN$144=B270,AO$15:AO$144))/60))</f>
        <v/>
      </c>
      <c r="N270" s="387"/>
      <c r="O270" s="387"/>
      <c r="P270" s="381" t="str">
        <f t="shared" si="17"/>
        <v/>
      </c>
      <c r="Q270" s="382" t="str">
        <f t="array" ref="Q270">IFERROR(INDEX($D$13:$D$1000,MATCH(0,COUNTIF($Q$12:Q269,$D$13:$D$1000&amp;"")+IF($D$13:$D$1000="",1,0),0)),"")</f>
        <v/>
      </c>
      <c r="R270" s="356" t="str">
        <f t="shared" si="18"/>
        <v/>
      </c>
      <c r="S270" s="383" t="str">
        <f t="shared" si="16"/>
        <v/>
      </c>
      <c r="T270" s="384" t="str">
        <f t="shared" si="19"/>
        <v/>
      </c>
      <c r="U270" s="349"/>
      <c r="V270" s="385"/>
      <c r="W270" s="385"/>
      <c r="X270" s="386"/>
    </row>
    <row r="271" spans="2:24">
      <c r="B271" s="395"/>
      <c r="C271" s="371"/>
      <c r="D271" s="372" t="str">
        <f>IFERROR(INDEX('[12]Equipment List'!$B$2:$B$2038,MATCH(E271,'[12]Equipment List'!$A$2:$A$2038,0)),"")</f>
        <v/>
      </c>
      <c r="E271" s="388"/>
      <c r="F271" s="374"/>
      <c r="G271" s="375"/>
      <c r="H271" s="397"/>
      <c r="I271" s="377"/>
      <c r="J271" s="378"/>
      <c r="K271" s="379"/>
      <c r="L271" s="387"/>
      <c r="M271" s="380" t="str">
        <f t="array" ref="M271">IF(L271="","",(MAX(IF(AN$15:AN$144=B271,AO$15:AO$144))/60))</f>
        <v/>
      </c>
      <c r="N271" s="387"/>
      <c r="O271" s="387"/>
      <c r="P271" s="381" t="str">
        <f t="shared" si="17"/>
        <v/>
      </c>
      <c r="Q271" s="382" t="str">
        <f t="array" ref="Q271">IFERROR(INDEX($D$13:$D$1000,MATCH(0,COUNTIF($Q$12:Q270,$D$13:$D$1000&amp;"")+IF($D$13:$D$1000="",1,0),0)),"")</f>
        <v/>
      </c>
      <c r="R271" s="356" t="str">
        <f t="shared" si="18"/>
        <v/>
      </c>
      <c r="S271" s="383" t="str">
        <f t="shared" si="16"/>
        <v/>
      </c>
      <c r="T271" s="384" t="str">
        <f t="shared" si="19"/>
        <v/>
      </c>
      <c r="U271" s="349"/>
      <c r="V271" s="385"/>
      <c r="W271" s="385"/>
      <c r="X271" s="386"/>
    </row>
    <row r="272" spans="2:24">
      <c r="B272" s="395"/>
      <c r="C272" s="371"/>
      <c r="D272" s="372" t="str">
        <f>IFERROR(INDEX('[12]Equipment List'!$B$2:$B$2038,MATCH(E272,'[12]Equipment List'!$A$2:$A$2038,0)),"")</f>
        <v/>
      </c>
      <c r="E272" s="388"/>
      <c r="F272" s="374"/>
      <c r="G272" s="375"/>
      <c r="H272" s="397"/>
      <c r="I272" s="377"/>
      <c r="J272" s="378"/>
      <c r="K272" s="379"/>
      <c r="L272" s="387"/>
      <c r="M272" s="380" t="str">
        <f t="array" ref="M272">IF(L272="","",(MAX(IF(AN$15:AN$144=B272,AO$15:AO$144))/60))</f>
        <v/>
      </c>
      <c r="N272" s="387"/>
      <c r="O272" s="387"/>
      <c r="P272" s="381" t="str">
        <f t="shared" si="17"/>
        <v/>
      </c>
      <c r="Q272" s="382" t="str">
        <f t="array" ref="Q272">IFERROR(INDEX($D$13:$D$1000,MATCH(0,COUNTIF($Q$12:Q271,$D$13:$D$1000&amp;"")+IF($D$13:$D$1000="",1,0),0)),"")</f>
        <v/>
      </c>
      <c r="R272" s="356" t="str">
        <f t="shared" si="18"/>
        <v/>
      </c>
      <c r="S272" s="383" t="str">
        <f t="shared" si="16"/>
        <v/>
      </c>
      <c r="T272" s="384" t="str">
        <f t="shared" si="19"/>
        <v/>
      </c>
      <c r="U272" s="349"/>
      <c r="V272" s="385"/>
      <c r="W272" s="385"/>
      <c r="X272" s="386"/>
    </row>
    <row r="273" spans="2:24">
      <c r="B273" s="395"/>
      <c r="C273" s="371"/>
      <c r="D273" s="372" t="str">
        <f>IFERROR(INDEX('[12]Equipment List'!$B$2:$B$2038,MATCH(E273,'[12]Equipment List'!$A$2:$A$2038,0)),"")</f>
        <v/>
      </c>
      <c r="E273" s="388"/>
      <c r="F273" s="374"/>
      <c r="G273" s="375"/>
      <c r="H273" s="397"/>
      <c r="I273" s="377"/>
      <c r="J273" s="378"/>
      <c r="K273" s="379"/>
      <c r="L273" s="387"/>
      <c r="M273" s="380" t="str">
        <f t="array" ref="M273">IF(L273="","",(MAX(IF(AN$15:AN$144=B273,AO$15:AO$144))/60))</f>
        <v/>
      </c>
      <c r="N273" s="387"/>
      <c r="O273" s="387"/>
      <c r="P273" s="381" t="str">
        <f t="shared" si="17"/>
        <v/>
      </c>
      <c r="Q273" s="382" t="str">
        <f t="array" ref="Q273">IFERROR(INDEX($D$13:$D$1000,MATCH(0,COUNTIF($Q$12:Q272,$D$13:$D$1000&amp;"")+IF($D$13:$D$1000="",1,0),0)),"")</f>
        <v/>
      </c>
      <c r="R273" s="356" t="str">
        <f t="shared" si="18"/>
        <v/>
      </c>
      <c r="S273" s="383" t="str">
        <f t="shared" si="16"/>
        <v/>
      </c>
      <c r="T273" s="384" t="str">
        <f t="shared" si="19"/>
        <v/>
      </c>
      <c r="U273" s="349"/>
      <c r="V273" s="385"/>
      <c r="W273" s="385"/>
      <c r="X273" s="386"/>
    </row>
    <row r="274" spans="2:24">
      <c r="B274" s="395"/>
      <c r="C274" s="371"/>
      <c r="D274" s="372" t="str">
        <f>IFERROR(INDEX('[12]Equipment List'!$B$2:$B$2038,MATCH(E274,'[12]Equipment List'!$A$2:$A$2038,0)),"")</f>
        <v/>
      </c>
      <c r="E274" s="388"/>
      <c r="F274" s="374"/>
      <c r="G274" s="375"/>
      <c r="H274" s="397"/>
      <c r="I274" s="377"/>
      <c r="J274" s="378"/>
      <c r="K274" s="379"/>
      <c r="L274" s="387"/>
      <c r="M274" s="380" t="str">
        <f t="array" ref="M274">IF(L274="","",(MAX(IF(AN$15:AN$144=B274,AO$15:AO$144))/60))</f>
        <v/>
      </c>
      <c r="N274" s="387"/>
      <c r="O274" s="387"/>
      <c r="P274" s="381" t="str">
        <f t="shared" si="17"/>
        <v/>
      </c>
      <c r="Q274" s="382" t="str">
        <f t="array" ref="Q274">IFERROR(INDEX($D$13:$D$1000,MATCH(0,COUNTIF($Q$12:Q273,$D$13:$D$1000&amp;"")+IF($D$13:$D$1000="",1,0),0)),"")</f>
        <v/>
      </c>
      <c r="R274" s="356" t="str">
        <f t="shared" si="18"/>
        <v/>
      </c>
      <c r="S274" s="383" t="str">
        <f t="shared" si="16"/>
        <v/>
      </c>
      <c r="T274" s="384" t="str">
        <f t="shared" si="19"/>
        <v/>
      </c>
      <c r="U274" s="349"/>
      <c r="V274" s="385"/>
      <c r="W274" s="385"/>
      <c r="X274" s="386"/>
    </row>
    <row r="275" spans="2:24">
      <c r="B275" s="395"/>
      <c r="C275" s="371"/>
      <c r="D275" s="372" t="str">
        <f>IFERROR(INDEX('[12]Equipment List'!$B$2:$B$2038,MATCH(E275,'[12]Equipment List'!$A$2:$A$2038,0)),"")</f>
        <v/>
      </c>
      <c r="E275" s="388"/>
      <c r="F275" s="374"/>
      <c r="G275" s="375"/>
      <c r="H275" s="397"/>
      <c r="I275" s="377"/>
      <c r="J275" s="378"/>
      <c r="K275" s="379"/>
      <c r="L275" s="387"/>
      <c r="M275" s="380" t="str">
        <f t="array" ref="M275">IF(L275="","",(MAX(IF(AN$15:AN$144=B275,AO$15:AO$144))/60))</f>
        <v/>
      </c>
      <c r="N275" s="387"/>
      <c r="O275" s="387"/>
      <c r="P275" s="381" t="str">
        <f t="shared" si="17"/>
        <v/>
      </c>
      <c r="Q275" s="382" t="str">
        <f t="array" ref="Q275">IFERROR(INDEX($D$13:$D$1000,MATCH(0,COUNTIF($Q$12:Q274,$D$13:$D$1000&amp;"")+IF($D$13:$D$1000="",1,0),0)),"")</f>
        <v/>
      </c>
      <c r="R275" s="356" t="str">
        <f t="shared" si="18"/>
        <v/>
      </c>
      <c r="S275" s="383" t="str">
        <f t="shared" si="16"/>
        <v/>
      </c>
      <c r="T275" s="384" t="str">
        <f t="shared" si="19"/>
        <v/>
      </c>
      <c r="U275" s="349"/>
      <c r="V275" s="385"/>
      <c r="W275" s="385"/>
      <c r="X275" s="386"/>
    </row>
    <row r="276" spans="2:24">
      <c r="B276" s="395"/>
      <c r="C276" s="371"/>
      <c r="D276" s="372" t="str">
        <f>IFERROR(INDEX('[12]Equipment List'!$B$2:$B$2038,MATCH(E276,'[12]Equipment List'!$A$2:$A$2038,0)),"")</f>
        <v/>
      </c>
      <c r="E276" s="388"/>
      <c r="F276" s="374"/>
      <c r="G276" s="375"/>
      <c r="H276" s="397"/>
      <c r="I276" s="377"/>
      <c r="J276" s="378"/>
      <c r="K276" s="379"/>
      <c r="L276" s="387"/>
      <c r="M276" s="380" t="str">
        <f t="array" ref="M276">IF(L276="","",(MAX(IF(AN$15:AN$144=B276,AO$15:AO$144))/60))</f>
        <v/>
      </c>
      <c r="N276" s="387"/>
      <c r="O276" s="387"/>
      <c r="P276" s="381" t="str">
        <f t="shared" si="17"/>
        <v/>
      </c>
      <c r="Q276" s="382" t="str">
        <f t="array" ref="Q276">IFERROR(INDEX($D$13:$D$1000,MATCH(0,COUNTIF($Q$12:Q275,$D$13:$D$1000&amp;"")+IF($D$13:$D$1000="",1,0),0)),"")</f>
        <v/>
      </c>
      <c r="R276" s="356" t="str">
        <f t="shared" si="18"/>
        <v/>
      </c>
      <c r="S276" s="383" t="str">
        <f t="shared" si="16"/>
        <v/>
      </c>
      <c r="T276" s="384" t="str">
        <f t="shared" si="19"/>
        <v/>
      </c>
      <c r="U276" s="349"/>
      <c r="V276" s="385"/>
      <c r="W276" s="385"/>
      <c r="X276" s="386"/>
    </row>
    <row r="277" spans="2:24">
      <c r="B277" s="395"/>
      <c r="C277" s="371"/>
      <c r="D277" s="372" t="str">
        <f>IFERROR(INDEX('[12]Equipment List'!$B$2:$B$2038,MATCH(E277,'[12]Equipment List'!$A$2:$A$2038,0)),"")</f>
        <v/>
      </c>
      <c r="E277" s="388"/>
      <c r="F277" s="374"/>
      <c r="G277" s="375"/>
      <c r="H277" s="397"/>
      <c r="I277" s="377"/>
      <c r="J277" s="378"/>
      <c r="K277" s="379"/>
      <c r="L277" s="387"/>
      <c r="M277" s="380" t="str">
        <f t="array" ref="M277">IF(L277="","",(MAX(IF(AN$15:AN$144=B277,AO$15:AO$144))/60))</f>
        <v/>
      </c>
      <c r="N277" s="387"/>
      <c r="O277" s="387"/>
      <c r="P277" s="381" t="str">
        <f t="shared" si="17"/>
        <v/>
      </c>
      <c r="Q277" s="382" t="str">
        <f t="array" ref="Q277">IFERROR(INDEX($D$13:$D$1000,MATCH(0,COUNTIF($Q$12:Q276,$D$13:$D$1000&amp;"")+IF($D$13:$D$1000="",1,0),0)),"")</f>
        <v/>
      </c>
      <c r="R277" s="356" t="str">
        <f t="shared" si="18"/>
        <v/>
      </c>
      <c r="S277" s="383" t="str">
        <f t="shared" si="16"/>
        <v/>
      </c>
      <c r="T277" s="384" t="str">
        <f t="shared" si="19"/>
        <v/>
      </c>
      <c r="U277" s="349"/>
      <c r="V277" s="385"/>
      <c r="W277" s="385"/>
      <c r="X277" s="386"/>
    </row>
    <row r="278" spans="2:24">
      <c r="B278" s="395"/>
      <c r="C278" s="371"/>
      <c r="D278" s="372" t="str">
        <f>IFERROR(INDEX('[12]Equipment List'!$B$2:$B$2038,MATCH(E278,'[12]Equipment List'!$A$2:$A$2038,0)),"")</f>
        <v/>
      </c>
      <c r="E278" s="388"/>
      <c r="F278" s="374"/>
      <c r="G278" s="375"/>
      <c r="H278" s="397"/>
      <c r="I278" s="377"/>
      <c r="J278" s="378"/>
      <c r="K278" s="379"/>
      <c r="L278" s="387"/>
      <c r="M278" s="380" t="str">
        <f t="array" ref="M278">IF(L278="","",(MAX(IF(AN$15:AN$144=B278,AO$15:AO$144))/60))</f>
        <v/>
      </c>
      <c r="N278" s="387"/>
      <c r="O278" s="387"/>
      <c r="P278" s="381" t="str">
        <f t="shared" si="17"/>
        <v/>
      </c>
      <c r="Q278" s="382" t="str">
        <f t="array" ref="Q278">IFERROR(INDEX($D$13:$D$1000,MATCH(0,COUNTIF($Q$12:Q277,$D$13:$D$1000&amp;"")+IF($D$13:$D$1000="",1,0),0)),"")</f>
        <v/>
      </c>
      <c r="R278" s="356" t="str">
        <f t="shared" si="18"/>
        <v/>
      </c>
      <c r="S278" s="383" t="str">
        <f t="shared" si="16"/>
        <v/>
      </c>
      <c r="T278" s="384" t="str">
        <f t="shared" si="19"/>
        <v/>
      </c>
      <c r="U278" s="349"/>
      <c r="V278" s="385"/>
      <c r="W278" s="385"/>
      <c r="X278" s="386"/>
    </row>
    <row r="279" spans="2:24">
      <c r="B279" s="395"/>
      <c r="C279" s="371"/>
      <c r="D279" s="372" t="str">
        <f>IFERROR(INDEX('[12]Equipment List'!$B$2:$B$2038,MATCH(E279,'[12]Equipment List'!$A$2:$A$2038,0)),"")</f>
        <v/>
      </c>
      <c r="E279" s="388"/>
      <c r="F279" s="374"/>
      <c r="G279" s="375"/>
      <c r="H279" s="397"/>
      <c r="I279" s="377"/>
      <c r="J279" s="378"/>
      <c r="K279" s="379"/>
      <c r="L279" s="387"/>
      <c r="M279" s="380" t="str">
        <f t="array" ref="M279">IF(L279="","",(MAX(IF(AN$15:AN$144=B279,AO$15:AO$144))/60))</f>
        <v/>
      </c>
      <c r="N279" s="387"/>
      <c r="O279" s="387"/>
      <c r="P279" s="381" t="str">
        <f t="shared" si="17"/>
        <v/>
      </c>
      <c r="Q279" s="382" t="str">
        <f t="array" ref="Q279">IFERROR(INDEX($D$13:$D$1000,MATCH(0,COUNTIF($Q$12:Q278,$D$13:$D$1000&amp;"")+IF($D$13:$D$1000="",1,0),0)),"")</f>
        <v/>
      </c>
      <c r="R279" s="356" t="str">
        <f t="shared" si="18"/>
        <v/>
      </c>
      <c r="S279" s="383" t="str">
        <f t="shared" si="16"/>
        <v/>
      </c>
      <c r="T279" s="384" t="str">
        <f t="shared" si="19"/>
        <v/>
      </c>
      <c r="U279" s="349"/>
      <c r="V279" s="385"/>
      <c r="W279" s="385"/>
      <c r="X279" s="386"/>
    </row>
    <row r="280" spans="2:24">
      <c r="B280" s="395"/>
      <c r="C280" s="371"/>
      <c r="D280" s="372" t="str">
        <f>IFERROR(INDEX('[12]Equipment List'!$B$2:$B$2038,MATCH(E280,'[12]Equipment List'!$A$2:$A$2038,0)),"")</f>
        <v/>
      </c>
      <c r="E280" s="388"/>
      <c r="F280" s="374"/>
      <c r="G280" s="375"/>
      <c r="H280" s="397"/>
      <c r="I280" s="377"/>
      <c r="J280" s="378"/>
      <c r="K280" s="379"/>
      <c r="L280" s="387"/>
      <c r="M280" s="380" t="str">
        <f t="array" ref="M280">IF(L280="","",(MAX(IF(AN$15:AN$144=B280,AO$15:AO$144))/60))</f>
        <v/>
      </c>
      <c r="N280" s="387"/>
      <c r="O280" s="387"/>
      <c r="P280" s="381" t="str">
        <f t="shared" si="17"/>
        <v/>
      </c>
      <c r="Q280" s="382" t="str">
        <f t="array" ref="Q280">IFERROR(INDEX($D$13:$D$1000,MATCH(0,COUNTIF($Q$12:Q279,$D$13:$D$1000&amp;"")+IF($D$13:$D$1000="",1,0),0)),"")</f>
        <v/>
      </c>
      <c r="R280" s="356" t="str">
        <f t="shared" si="18"/>
        <v/>
      </c>
      <c r="S280" s="383" t="str">
        <f t="shared" si="16"/>
        <v/>
      </c>
      <c r="T280" s="384" t="str">
        <f t="shared" si="19"/>
        <v/>
      </c>
      <c r="U280" s="349"/>
      <c r="V280" s="385"/>
      <c r="W280" s="385"/>
      <c r="X280" s="386"/>
    </row>
    <row r="281" spans="2:24">
      <c r="B281" s="395"/>
      <c r="C281" s="371"/>
      <c r="D281" s="372" t="str">
        <f>IFERROR(INDEX('[12]Equipment List'!$B$2:$B$2038,MATCH(E281,'[12]Equipment List'!$A$2:$A$2038,0)),"")</f>
        <v/>
      </c>
      <c r="E281" s="388"/>
      <c r="F281" s="374"/>
      <c r="G281" s="375"/>
      <c r="H281" s="397"/>
      <c r="I281" s="377"/>
      <c r="J281" s="378"/>
      <c r="K281" s="379"/>
      <c r="L281" s="387"/>
      <c r="M281" s="380" t="str">
        <f t="array" ref="M281">IF(L281="","",(MAX(IF(AN$15:AN$144=B281,AO$15:AO$144))/60))</f>
        <v/>
      </c>
      <c r="N281" s="387"/>
      <c r="O281" s="387"/>
      <c r="P281" s="381" t="str">
        <f t="shared" si="17"/>
        <v/>
      </c>
      <c r="Q281" s="382" t="str">
        <f t="array" ref="Q281">IFERROR(INDEX($D$13:$D$1000,MATCH(0,COUNTIF($Q$12:Q280,$D$13:$D$1000&amp;"")+IF($D$13:$D$1000="",1,0),0)),"")</f>
        <v/>
      </c>
      <c r="R281" s="356" t="str">
        <f t="shared" si="18"/>
        <v/>
      </c>
      <c r="S281" s="383" t="str">
        <f t="shared" si="16"/>
        <v/>
      </c>
      <c r="T281" s="384" t="str">
        <f t="shared" si="19"/>
        <v/>
      </c>
      <c r="U281" s="349"/>
      <c r="V281" s="385"/>
      <c r="W281" s="385"/>
      <c r="X281" s="386"/>
    </row>
    <row r="282" spans="2:24">
      <c r="B282" s="395"/>
      <c r="C282" s="371"/>
      <c r="D282" s="372" t="str">
        <f>IFERROR(INDEX('[12]Equipment List'!$B$2:$B$2038,MATCH(E282,'[12]Equipment List'!$A$2:$A$2038,0)),"")</f>
        <v/>
      </c>
      <c r="E282" s="388"/>
      <c r="F282" s="374"/>
      <c r="G282" s="375"/>
      <c r="H282" s="397"/>
      <c r="I282" s="377"/>
      <c r="J282" s="378"/>
      <c r="K282" s="379"/>
      <c r="L282" s="387"/>
      <c r="M282" s="380" t="str">
        <f t="array" ref="M282">IF(L282="","",(MAX(IF(AN$15:AN$144=B282,AO$15:AO$144))/60))</f>
        <v/>
      </c>
      <c r="N282" s="387"/>
      <c r="O282" s="387"/>
      <c r="P282" s="381" t="str">
        <f t="shared" si="17"/>
        <v/>
      </c>
      <c r="Q282" s="382" t="str">
        <f t="array" ref="Q282">IFERROR(INDEX($D$13:$D$1000,MATCH(0,COUNTIF($Q$12:Q281,$D$13:$D$1000&amp;"")+IF($D$13:$D$1000="",1,0),0)),"")</f>
        <v/>
      </c>
      <c r="R282" s="356" t="str">
        <f t="shared" si="18"/>
        <v/>
      </c>
      <c r="S282" s="383" t="str">
        <f t="shared" si="16"/>
        <v/>
      </c>
      <c r="T282" s="384" t="str">
        <f t="shared" si="19"/>
        <v/>
      </c>
      <c r="U282" s="349"/>
      <c r="V282" s="385"/>
      <c r="W282" s="385"/>
      <c r="X282" s="386"/>
    </row>
    <row r="283" spans="2:24">
      <c r="B283" s="395"/>
      <c r="C283" s="371"/>
      <c r="D283" s="372" t="str">
        <f>IFERROR(INDEX('[12]Equipment List'!$B$2:$B$2038,MATCH(E283,'[12]Equipment List'!$A$2:$A$2038,0)),"")</f>
        <v/>
      </c>
      <c r="E283" s="388"/>
      <c r="F283" s="374"/>
      <c r="G283" s="375"/>
      <c r="H283" s="397"/>
      <c r="I283" s="377"/>
      <c r="J283" s="378"/>
      <c r="K283" s="379"/>
      <c r="L283" s="387"/>
      <c r="M283" s="380" t="str">
        <f t="array" ref="M283">IF(L283="","",(MAX(IF(AN$15:AN$144=B283,AO$15:AO$144))/60))</f>
        <v/>
      </c>
      <c r="N283" s="387"/>
      <c r="O283" s="387"/>
      <c r="P283" s="381" t="str">
        <f t="shared" si="17"/>
        <v/>
      </c>
      <c r="Q283" s="382" t="str">
        <f t="array" ref="Q283">IFERROR(INDEX($D$13:$D$1000,MATCH(0,COUNTIF($Q$12:Q282,$D$13:$D$1000&amp;"")+IF($D$13:$D$1000="",1,0),0)),"")</f>
        <v/>
      </c>
      <c r="R283" s="356" t="str">
        <f t="shared" si="18"/>
        <v/>
      </c>
      <c r="S283" s="383" t="str">
        <f t="shared" si="16"/>
        <v/>
      </c>
      <c r="T283" s="384" t="str">
        <f t="shared" si="19"/>
        <v/>
      </c>
      <c r="U283" s="349"/>
      <c r="V283" s="385"/>
      <c r="W283" s="385"/>
      <c r="X283" s="386"/>
    </row>
    <row r="284" spans="2:24">
      <c r="B284" s="395"/>
      <c r="C284" s="371"/>
      <c r="D284" s="372" t="str">
        <f>IFERROR(INDEX('[12]Equipment List'!$B$2:$B$2038,MATCH(E284,'[12]Equipment List'!$A$2:$A$2038,0)),"")</f>
        <v/>
      </c>
      <c r="E284" s="388"/>
      <c r="F284" s="374"/>
      <c r="G284" s="375"/>
      <c r="H284" s="397"/>
      <c r="I284" s="377"/>
      <c r="J284" s="378"/>
      <c r="K284" s="379"/>
      <c r="L284" s="387"/>
      <c r="M284" s="380" t="str">
        <f t="array" ref="M284">IF(L284="","",(MAX(IF(AN$15:AN$144=B284,AO$15:AO$144))/60))</f>
        <v/>
      </c>
      <c r="N284" s="387"/>
      <c r="O284" s="387"/>
      <c r="P284" s="381" t="str">
        <f t="shared" si="17"/>
        <v/>
      </c>
      <c r="Q284" s="382" t="str">
        <f t="array" ref="Q284">IFERROR(INDEX($D$13:$D$1000,MATCH(0,COUNTIF($Q$12:Q283,$D$13:$D$1000&amp;"")+IF($D$13:$D$1000="",1,0),0)),"")</f>
        <v/>
      </c>
      <c r="R284" s="356" t="str">
        <f t="shared" si="18"/>
        <v/>
      </c>
      <c r="S284" s="383" t="str">
        <f t="shared" si="16"/>
        <v/>
      </c>
      <c r="T284" s="384" t="str">
        <f t="shared" si="19"/>
        <v/>
      </c>
      <c r="U284" s="349"/>
      <c r="V284" s="385"/>
      <c r="W284" s="385"/>
      <c r="X284" s="386"/>
    </row>
    <row r="285" spans="2:24">
      <c r="B285" s="395"/>
      <c r="C285" s="371"/>
      <c r="D285" s="372" t="str">
        <f>IFERROR(INDEX('[12]Equipment List'!$B$2:$B$2038,MATCH(E285,'[12]Equipment List'!$A$2:$A$2038,0)),"")</f>
        <v/>
      </c>
      <c r="E285" s="388"/>
      <c r="F285" s="374"/>
      <c r="G285" s="375"/>
      <c r="H285" s="397"/>
      <c r="I285" s="377"/>
      <c r="J285" s="378"/>
      <c r="K285" s="379"/>
      <c r="L285" s="387"/>
      <c r="M285" s="380" t="str">
        <f t="array" ref="M285">IF(L285="","",(MAX(IF(AN$15:AN$144=B285,AO$15:AO$144))/60))</f>
        <v/>
      </c>
      <c r="N285" s="387"/>
      <c r="O285" s="387"/>
      <c r="P285" s="381" t="str">
        <f t="shared" si="17"/>
        <v/>
      </c>
      <c r="Q285" s="382" t="str">
        <f t="array" ref="Q285">IFERROR(INDEX($D$13:$D$1000,MATCH(0,COUNTIF($Q$12:Q284,$D$13:$D$1000&amp;"")+IF($D$13:$D$1000="",1,0),0)),"")</f>
        <v/>
      </c>
      <c r="R285" s="356" t="str">
        <f t="shared" si="18"/>
        <v/>
      </c>
      <c r="S285" s="383" t="str">
        <f t="shared" si="16"/>
        <v/>
      </c>
      <c r="T285" s="384" t="str">
        <f t="shared" si="19"/>
        <v/>
      </c>
      <c r="U285" s="349"/>
      <c r="V285" s="385"/>
      <c r="W285" s="385"/>
      <c r="X285" s="386"/>
    </row>
    <row r="286" spans="2:24">
      <c r="B286" s="395"/>
      <c r="C286" s="371"/>
      <c r="D286" s="372" t="str">
        <f>IFERROR(INDEX('[12]Equipment List'!$B$2:$B$2038,MATCH(E286,'[12]Equipment List'!$A$2:$A$2038,0)),"")</f>
        <v/>
      </c>
      <c r="E286" s="388"/>
      <c r="F286" s="374"/>
      <c r="G286" s="375"/>
      <c r="H286" s="397"/>
      <c r="I286" s="377"/>
      <c r="J286" s="378"/>
      <c r="K286" s="379"/>
      <c r="L286" s="387"/>
      <c r="M286" s="380" t="str">
        <f t="array" ref="M286">IF(L286="","",(MAX(IF(AN$15:AN$144=B286,AO$15:AO$144))/60))</f>
        <v/>
      </c>
      <c r="N286" s="387"/>
      <c r="O286" s="387"/>
      <c r="P286" s="381" t="str">
        <f t="shared" si="17"/>
        <v/>
      </c>
      <c r="Q286" s="382" t="str">
        <f t="array" ref="Q286">IFERROR(INDEX($D$13:$D$1000,MATCH(0,COUNTIF($Q$12:Q285,$D$13:$D$1000&amp;"")+IF($D$13:$D$1000="",1,0),0)),"")</f>
        <v/>
      </c>
      <c r="R286" s="356" t="str">
        <f t="shared" si="18"/>
        <v/>
      </c>
      <c r="S286" s="383" t="str">
        <f t="shared" si="16"/>
        <v/>
      </c>
      <c r="T286" s="384" t="str">
        <f t="shared" si="19"/>
        <v/>
      </c>
      <c r="U286" s="349"/>
      <c r="V286" s="385"/>
      <c r="W286" s="385"/>
      <c r="X286" s="386"/>
    </row>
    <row r="287" spans="2:24">
      <c r="B287" s="395"/>
      <c r="C287" s="371"/>
      <c r="D287" s="372" t="str">
        <f>IFERROR(INDEX('[12]Equipment List'!$B$2:$B$2038,MATCH(E287,'[12]Equipment List'!$A$2:$A$2038,0)),"")</f>
        <v/>
      </c>
      <c r="E287" s="388"/>
      <c r="F287" s="374"/>
      <c r="G287" s="375"/>
      <c r="H287" s="397"/>
      <c r="I287" s="377"/>
      <c r="J287" s="378"/>
      <c r="K287" s="379"/>
      <c r="L287" s="387"/>
      <c r="M287" s="380" t="str">
        <f t="array" ref="M287">IF(L287="","",(MAX(IF(AN$15:AN$144=B287,AO$15:AO$144))/60))</f>
        <v/>
      </c>
      <c r="N287" s="387"/>
      <c r="O287" s="387"/>
      <c r="P287" s="381" t="str">
        <f t="shared" si="17"/>
        <v/>
      </c>
      <c r="Q287" s="382" t="str">
        <f t="array" ref="Q287">IFERROR(INDEX($D$13:$D$1000,MATCH(0,COUNTIF($Q$12:Q286,$D$13:$D$1000&amp;"")+IF($D$13:$D$1000="",1,0),0)),"")</f>
        <v/>
      </c>
      <c r="R287" s="356" t="str">
        <f t="shared" si="18"/>
        <v/>
      </c>
      <c r="S287" s="383" t="str">
        <f t="shared" si="16"/>
        <v/>
      </c>
      <c r="T287" s="384" t="str">
        <f t="shared" si="19"/>
        <v/>
      </c>
      <c r="U287" s="349"/>
      <c r="V287" s="385"/>
      <c r="W287" s="385"/>
      <c r="X287" s="386"/>
    </row>
    <row r="288" spans="2:24">
      <c r="B288" s="395"/>
      <c r="C288" s="371"/>
      <c r="D288" s="372" t="str">
        <f>IFERROR(INDEX('[12]Equipment List'!$B$2:$B$2038,MATCH(E288,'[12]Equipment List'!$A$2:$A$2038,0)),"")</f>
        <v/>
      </c>
      <c r="E288" s="388"/>
      <c r="F288" s="374"/>
      <c r="G288" s="375"/>
      <c r="H288" s="397"/>
      <c r="I288" s="377"/>
      <c r="J288" s="378"/>
      <c r="K288" s="379"/>
      <c r="L288" s="387"/>
      <c r="M288" s="380" t="str">
        <f t="array" ref="M288">IF(L288="","",(MAX(IF(AN$15:AN$144=B288,AO$15:AO$144))/60))</f>
        <v/>
      </c>
      <c r="N288" s="387"/>
      <c r="O288" s="387"/>
      <c r="P288" s="381" t="str">
        <f t="shared" si="17"/>
        <v/>
      </c>
      <c r="Q288" s="382" t="str">
        <f t="array" ref="Q288">IFERROR(INDEX($D$13:$D$1000,MATCH(0,COUNTIF($Q$12:Q287,$D$13:$D$1000&amp;"")+IF($D$13:$D$1000="",1,0),0)),"")</f>
        <v/>
      </c>
      <c r="R288" s="356" t="str">
        <f t="shared" si="18"/>
        <v/>
      </c>
      <c r="S288" s="383" t="str">
        <f t="shared" si="16"/>
        <v/>
      </c>
      <c r="T288" s="384" t="str">
        <f t="shared" si="19"/>
        <v/>
      </c>
      <c r="U288" s="349"/>
      <c r="V288" s="385"/>
      <c r="W288" s="385"/>
      <c r="X288" s="386"/>
    </row>
    <row r="289" spans="2:24">
      <c r="B289" s="395"/>
      <c r="C289" s="371"/>
      <c r="D289" s="372" t="str">
        <f>IFERROR(INDEX('[12]Equipment List'!$B$2:$B$2038,MATCH(E289,'[12]Equipment List'!$A$2:$A$2038,0)),"")</f>
        <v/>
      </c>
      <c r="E289" s="388"/>
      <c r="F289" s="374"/>
      <c r="G289" s="375"/>
      <c r="H289" s="397"/>
      <c r="I289" s="377"/>
      <c r="J289" s="378"/>
      <c r="K289" s="379"/>
      <c r="L289" s="387"/>
      <c r="M289" s="380" t="str">
        <f t="array" ref="M289">IF(L289="","",(MAX(IF(AN$15:AN$144=B289,AO$15:AO$144))/60))</f>
        <v/>
      </c>
      <c r="N289" s="387"/>
      <c r="O289" s="387"/>
      <c r="P289" s="381" t="str">
        <f t="shared" si="17"/>
        <v/>
      </c>
      <c r="Q289" s="382" t="str">
        <f t="array" ref="Q289">IFERROR(INDEX($D$13:$D$1000,MATCH(0,COUNTIF($Q$12:Q288,$D$13:$D$1000&amp;"")+IF($D$13:$D$1000="",1,0),0)),"")</f>
        <v/>
      </c>
      <c r="R289" s="356" t="str">
        <f t="shared" si="18"/>
        <v/>
      </c>
      <c r="S289" s="383" t="str">
        <f t="shared" si="16"/>
        <v/>
      </c>
      <c r="T289" s="384" t="str">
        <f t="shared" si="19"/>
        <v/>
      </c>
      <c r="U289" s="349"/>
      <c r="V289" s="385"/>
      <c r="W289" s="385"/>
      <c r="X289" s="386"/>
    </row>
    <row r="290" spans="2:24">
      <c r="B290" s="395"/>
      <c r="C290" s="371"/>
      <c r="D290" s="372" t="str">
        <f>IFERROR(INDEX('[12]Equipment List'!$B$2:$B$2038,MATCH(E290,'[12]Equipment List'!$A$2:$A$2038,0)),"")</f>
        <v/>
      </c>
      <c r="E290" s="388"/>
      <c r="F290" s="374"/>
      <c r="G290" s="375"/>
      <c r="H290" s="397"/>
      <c r="I290" s="377"/>
      <c r="J290" s="378"/>
      <c r="K290" s="379"/>
      <c r="L290" s="387"/>
      <c r="M290" s="380" t="str">
        <f t="array" ref="M290">IF(L290="","",(MAX(IF(AN$15:AN$144=B290,AO$15:AO$144))/60))</f>
        <v/>
      </c>
      <c r="N290" s="387"/>
      <c r="O290" s="387"/>
      <c r="P290" s="381" t="str">
        <f t="shared" si="17"/>
        <v/>
      </c>
      <c r="Q290" s="382" t="str">
        <f t="array" ref="Q290">IFERROR(INDEX($D$13:$D$1000,MATCH(0,COUNTIF($Q$12:Q289,$D$13:$D$1000&amp;"")+IF($D$13:$D$1000="",1,0),0)),"")</f>
        <v/>
      </c>
      <c r="R290" s="356" t="str">
        <f t="shared" si="18"/>
        <v/>
      </c>
      <c r="S290" s="383" t="str">
        <f t="shared" si="16"/>
        <v/>
      </c>
      <c r="T290" s="384" t="str">
        <f t="shared" si="19"/>
        <v/>
      </c>
      <c r="U290" s="349"/>
      <c r="V290" s="385"/>
      <c r="W290" s="385"/>
      <c r="X290" s="386"/>
    </row>
    <row r="291" spans="2:24">
      <c r="B291" s="395"/>
      <c r="C291" s="371"/>
      <c r="D291" s="372" t="str">
        <f>IFERROR(INDEX('[12]Equipment List'!$B$2:$B$2038,MATCH(E291,'[12]Equipment List'!$A$2:$A$2038,0)),"")</f>
        <v/>
      </c>
      <c r="E291" s="388"/>
      <c r="F291" s="374"/>
      <c r="G291" s="375"/>
      <c r="H291" s="397"/>
      <c r="I291" s="377"/>
      <c r="J291" s="378"/>
      <c r="K291" s="379"/>
      <c r="L291" s="387"/>
      <c r="M291" s="380" t="str">
        <f t="array" ref="M291">IF(L291="","",(MAX(IF(AN$15:AN$144=B291,AO$15:AO$144))/60))</f>
        <v/>
      </c>
      <c r="N291" s="387"/>
      <c r="O291" s="387"/>
      <c r="P291" s="381" t="str">
        <f t="shared" si="17"/>
        <v/>
      </c>
      <c r="Q291" s="382" t="str">
        <f t="array" ref="Q291">IFERROR(INDEX($D$13:$D$1000,MATCH(0,COUNTIF($Q$12:Q290,$D$13:$D$1000&amp;"")+IF($D$13:$D$1000="",1,0),0)),"")</f>
        <v/>
      </c>
      <c r="R291" s="356" t="str">
        <f t="shared" si="18"/>
        <v/>
      </c>
      <c r="S291" s="383" t="str">
        <f t="shared" si="16"/>
        <v/>
      </c>
      <c r="T291" s="384" t="str">
        <f t="shared" si="19"/>
        <v/>
      </c>
      <c r="U291" s="349"/>
      <c r="V291" s="385"/>
      <c r="W291" s="385"/>
      <c r="X291" s="386"/>
    </row>
    <row r="292" spans="2:24">
      <c r="B292" s="395"/>
      <c r="C292" s="371"/>
      <c r="D292" s="372" t="str">
        <f>IFERROR(INDEX('[12]Equipment List'!$B$2:$B$2038,MATCH(E292,'[12]Equipment List'!$A$2:$A$2038,0)),"")</f>
        <v/>
      </c>
      <c r="E292" s="388"/>
      <c r="F292" s="374"/>
      <c r="G292" s="375"/>
      <c r="H292" s="397"/>
      <c r="I292" s="377"/>
      <c r="J292" s="378"/>
      <c r="K292" s="379"/>
      <c r="L292" s="387"/>
      <c r="M292" s="380" t="str">
        <f t="array" ref="M292">IF(L292="","",(MAX(IF(AN$15:AN$144=B292,AO$15:AO$144))/60))</f>
        <v/>
      </c>
      <c r="N292" s="387"/>
      <c r="O292" s="387"/>
      <c r="P292" s="381" t="str">
        <f t="shared" si="17"/>
        <v/>
      </c>
      <c r="Q292" s="382" t="str">
        <f t="array" ref="Q292">IFERROR(INDEX($D$13:$D$1000,MATCH(0,COUNTIF($Q$12:Q291,$D$13:$D$1000&amp;"")+IF($D$13:$D$1000="",1,0),0)),"")</f>
        <v/>
      </c>
      <c r="R292" s="356" t="str">
        <f t="shared" si="18"/>
        <v/>
      </c>
      <c r="S292" s="383" t="str">
        <f t="shared" si="16"/>
        <v/>
      </c>
      <c r="T292" s="384" t="str">
        <f t="shared" si="19"/>
        <v/>
      </c>
      <c r="U292" s="349"/>
      <c r="V292" s="385"/>
      <c r="W292" s="385"/>
      <c r="X292" s="386"/>
    </row>
    <row r="293" spans="2:24">
      <c r="B293" s="395"/>
      <c r="C293" s="371"/>
      <c r="D293" s="372" t="str">
        <f>IFERROR(INDEX('[12]Equipment List'!$B$2:$B$2038,MATCH(E293,'[12]Equipment List'!$A$2:$A$2038,0)),"")</f>
        <v/>
      </c>
      <c r="E293" s="388"/>
      <c r="F293" s="374"/>
      <c r="G293" s="375"/>
      <c r="H293" s="397"/>
      <c r="I293" s="377"/>
      <c r="J293" s="378"/>
      <c r="K293" s="379"/>
      <c r="L293" s="387"/>
      <c r="M293" s="380" t="str">
        <f t="array" ref="M293">IF(L293="","",(MAX(IF(AN$15:AN$144=B293,AO$15:AO$144))/60))</f>
        <v/>
      </c>
      <c r="N293" s="387"/>
      <c r="O293" s="387"/>
      <c r="P293" s="381" t="str">
        <f t="shared" si="17"/>
        <v/>
      </c>
      <c r="Q293" s="382" t="str">
        <f t="array" ref="Q293">IFERROR(INDEX($D$13:$D$1000,MATCH(0,COUNTIF($Q$12:Q292,$D$13:$D$1000&amp;"")+IF($D$13:$D$1000="",1,0),0)),"")</f>
        <v/>
      </c>
      <c r="R293" s="356" t="str">
        <f t="shared" si="18"/>
        <v/>
      </c>
      <c r="S293" s="383" t="str">
        <f t="shared" si="16"/>
        <v/>
      </c>
      <c r="T293" s="384" t="str">
        <f t="shared" si="19"/>
        <v/>
      </c>
      <c r="U293" s="349"/>
      <c r="V293" s="385"/>
      <c r="W293" s="385"/>
      <c r="X293" s="386"/>
    </row>
    <row r="294" spans="2:24">
      <c r="B294" s="395"/>
      <c r="C294" s="371"/>
      <c r="D294" s="372" t="str">
        <f>IFERROR(INDEX('[12]Equipment List'!$B$2:$B$2038,MATCH(E294,'[12]Equipment List'!$A$2:$A$2038,0)),"")</f>
        <v/>
      </c>
      <c r="E294" s="388"/>
      <c r="F294" s="374"/>
      <c r="G294" s="375"/>
      <c r="H294" s="397"/>
      <c r="I294" s="377"/>
      <c r="J294" s="378"/>
      <c r="K294" s="379"/>
      <c r="L294" s="387"/>
      <c r="M294" s="380" t="str">
        <f t="array" ref="M294">IF(L294="","",(MAX(IF(AN$15:AN$144=B294,AO$15:AO$144))/60))</f>
        <v/>
      </c>
      <c r="N294" s="387"/>
      <c r="O294" s="387"/>
      <c r="P294" s="381" t="str">
        <f t="shared" si="17"/>
        <v/>
      </c>
      <c r="Q294" s="382" t="str">
        <f t="array" ref="Q294">IFERROR(INDEX($D$13:$D$1000,MATCH(0,COUNTIF($Q$12:Q293,$D$13:$D$1000&amp;"")+IF($D$13:$D$1000="",1,0),0)),"")</f>
        <v/>
      </c>
      <c r="R294" s="356" t="str">
        <f t="shared" si="18"/>
        <v/>
      </c>
      <c r="S294" s="383" t="str">
        <f t="shared" si="16"/>
        <v/>
      </c>
      <c r="T294" s="384" t="str">
        <f t="shared" si="19"/>
        <v/>
      </c>
      <c r="U294" s="349"/>
      <c r="V294" s="385"/>
      <c r="W294" s="385"/>
      <c r="X294" s="386"/>
    </row>
    <row r="295" spans="2:24">
      <c r="B295" s="395"/>
      <c r="C295" s="371"/>
      <c r="D295" s="372" t="str">
        <f>IFERROR(INDEX('[12]Equipment List'!$B$2:$B$2038,MATCH(E295,'[12]Equipment List'!$A$2:$A$2038,0)),"")</f>
        <v/>
      </c>
      <c r="E295" s="388"/>
      <c r="F295" s="374"/>
      <c r="G295" s="375"/>
      <c r="H295" s="397"/>
      <c r="I295" s="377"/>
      <c r="J295" s="378"/>
      <c r="K295" s="379"/>
      <c r="L295" s="387"/>
      <c r="M295" s="380" t="str">
        <f t="array" ref="M295">IF(L295="","",(MAX(IF(AN$15:AN$144=B295,AO$15:AO$144))/60))</f>
        <v/>
      </c>
      <c r="N295" s="387"/>
      <c r="O295" s="387"/>
      <c r="P295" s="381" t="str">
        <f t="shared" si="17"/>
        <v/>
      </c>
      <c r="Q295" s="382" t="str">
        <f t="array" ref="Q295">IFERROR(INDEX($D$13:$D$1000,MATCH(0,COUNTIF($Q$12:Q294,$D$13:$D$1000&amp;"")+IF($D$13:$D$1000="",1,0),0)),"")</f>
        <v/>
      </c>
      <c r="R295" s="356" t="str">
        <f t="shared" si="18"/>
        <v/>
      </c>
      <c r="S295" s="383" t="str">
        <f t="shared" si="16"/>
        <v/>
      </c>
      <c r="T295" s="384" t="str">
        <f t="shared" si="19"/>
        <v/>
      </c>
      <c r="U295" s="349"/>
      <c r="V295" s="385"/>
      <c r="W295" s="385"/>
      <c r="X295" s="386"/>
    </row>
    <row r="296" spans="2:24">
      <c r="B296" s="395"/>
      <c r="C296" s="371"/>
      <c r="D296" s="372" t="str">
        <f>IFERROR(INDEX('[12]Equipment List'!$B$2:$B$2038,MATCH(E296,'[12]Equipment List'!$A$2:$A$2038,0)),"")</f>
        <v/>
      </c>
      <c r="E296" s="388"/>
      <c r="F296" s="374"/>
      <c r="G296" s="375"/>
      <c r="H296" s="397"/>
      <c r="I296" s="377"/>
      <c r="J296" s="378"/>
      <c r="K296" s="379"/>
      <c r="L296" s="387"/>
      <c r="M296" s="380" t="str">
        <f t="array" ref="M296">IF(L296="","",(MAX(IF(AN$15:AN$144=B296,AO$15:AO$144))/60))</f>
        <v/>
      </c>
      <c r="N296" s="387"/>
      <c r="O296" s="387"/>
      <c r="P296" s="381" t="str">
        <f t="shared" si="17"/>
        <v/>
      </c>
      <c r="Q296" s="382" t="str">
        <f t="array" ref="Q296">IFERROR(INDEX($D$13:$D$1000,MATCH(0,COUNTIF($Q$12:Q295,$D$13:$D$1000&amp;"")+IF($D$13:$D$1000="",1,0),0)),"")</f>
        <v/>
      </c>
      <c r="R296" s="356" t="str">
        <f t="shared" si="18"/>
        <v/>
      </c>
      <c r="S296" s="383" t="str">
        <f t="shared" si="16"/>
        <v/>
      </c>
      <c r="T296" s="384" t="str">
        <f t="shared" si="19"/>
        <v/>
      </c>
      <c r="U296" s="349"/>
      <c r="V296" s="385"/>
      <c r="W296" s="385"/>
      <c r="X296" s="386"/>
    </row>
    <row r="297" spans="2:24">
      <c r="B297" s="395"/>
      <c r="C297" s="371"/>
      <c r="D297" s="372" t="str">
        <f>IFERROR(INDEX('[12]Equipment List'!$B$2:$B$2038,MATCH(E297,'[12]Equipment List'!$A$2:$A$2038,0)),"")</f>
        <v/>
      </c>
      <c r="E297" s="388"/>
      <c r="F297" s="374"/>
      <c r="G297" s="375"/>
      <c r="H297" s="397"/>
      <c r="I297" s="377"/>
      <c r="J297" s="378"/>
      <c r="K297" s="379"/>
      <c r="L297" s="387"/>
      <c r="M297" s="380" t="str">
        <f t="array" ref="M297">IF(L297="","",(MAX(IF(AN$15:AN$144=B297,AO$15:AO$144))/60))</f>
        <v/>
      </c>
      <c r="N297" s="387"/>
      <c r="O297" s="387"/>
      <c r="P297" s="381" t="str">
        <f t="shared" si="17"/>
        <v/>
      </c>
      <c r="Q297" s="382" t="str">
        <f t="array" ref="Q297">IFERROR(INDEX($D$13:$D$1000,MATCH(0,COUNTIF($Q$12:Q296,$D$13:$D$1000&amp;"")+IF($D$13:$D$1000="",1,0),0)),"")</f>
        <v/>
      </c>
      <c r="R297" s="356" t="str">
        <f t="shared" si="18"/>
        <v/>
      </c>
      <c r="S297" s="383" t="str">
        <f t="shared" si="16"/>
        <v/>
      </c>
      <c r="T297" s="384" t="str">
        <f t="shared" si="19"/>
        <v/>
      </c>
      <c r="U297" s="349"/>
      <c r="V297" s="385"/>
      <c r="W297" s="385"/>
      <c r="X297" s="386"/>
    </row>
    <row r="298" spans="2:24">
      <c r="B298" s="395"/>
      <c r="C298" s="371"/>
      <c r="D298" s="372" t="str">
        <f>IFERROR(INDEX('[12]Equipment List'!$B$2:$B$2038,MATCH(E298,'[12]Equipment List'!$A$2:$A$2038,0)),"")</f>
        <v/>
      </c>
      <c r="E298" s="388"/>
      <c r="F298" s="374"/>
      <c r="G298" s="375"/>
      <c r="H298" s="397"/>
      <c r="I298" s="377"/>
      <c r="J298" s="378"/>
      <c r="K298" s="379"/>
      <c r="L298" s="387"/>
      <c r="M298" s="380" t="str">
        <f t="array" ref="M298">IF(L298="","",(MAX(IF(AN$15:AN$144=B298,AO$15:AO$144))/60))</f>
        <v/>
      </c>
      <c r="N298" s="387"/>
      <c r="O298" s="387"/>
      <c r="P298" s="381" t="str">
        <f t="shared" si="17"/>
        <v/>
      </c>
      <c r="Q298" s="382" t="str">
        <f t="array" ref="Q298">IFERROR(INDEX($D$13:$D$1000,MATCH(0,COUNTIF($Q$12:Q297,$D$13:$D$1000&amp;"")+IF($D$13:$D$1000="",1,0),0)),"")</f>
        <v/>
      </c>
      <c r="R298" s="356" t="str">
        <f t="shared" si="18"/>
        <v/>
      </c>
      <c r="S298" s="383" t="str">
        <f t="shared" si="16"/>
        <v/>
      </c>
      <c r="T298" s="384" t="str">
        <f t="shared" si="19"/>
        <v/>
      </c>
      <c r="U298" s="349"/>
      <c r="V298" s="385"/>
      <c r="W298" s="385"/>
      <c r="X298" s="386"/>
    </row>
    <row r="299" spans="2:24">
      <c r="B299" s="395"/>
      <c r="C299" s="371"/>
      <c r="D299" s="372" t="str">
        <f>IFERROR(INDEX('[12]Equipment List'!$B$2:$B$2038,MATCH(E299,'[12]Equipment List'!$A$2:$A$2038,0)),"")</f>
        <v/>
      </c>
      <c r="E299" s="388"/>
      <c r="F299" s="374"/>
      <c r="G299" s="375"/>
      <c r="H299" s="397"/>
      <c r="I299" s="377"/>
      <c r="J299" s="378"/>
      <c r="K299" s="379"/>
      <c r="L299" s="387"/>
      <c r="M299" s="380" t="str">
        <f t="array" ref="M299">IF(L299="","",(MAX(IF(AN$15:AN$144=B299,AO$15:AO$144))/60))</f>
        <v/>
      </c>
      <c r="N299" s="387"/>
      <c r="O299" s="387"/>
      <c r="P299" s="381" t="str">
        <f t="shared" si="17"/>
        <v/>
      </c>
      <c r="Q299" s="382" t="str">
        <f t="array" ref="Q299">IFERROR(INDEX($D$13:$D$1000,MATCH(0,COUNTIF($Q$12:Q298,$D$13:$D$1000&amp;"")+IF($D$13:$D$1000="",1,0),0)),"")</f>
        <v/>
      </c>
      <c r="R299" s="356" t="str">
        <f t="shared" si="18"/>
        <v/>
      </c>
      <c r="S299" s="383" t="str">
        <f t="shared" ref="S299:S362" si="20">IF($Q299="","",SUMIF($D$13:$D$1000,$Q299,I$13:I$1000))</f>
        <v/>
      </c>
      <c r="T299" s="384" t="str">
        <f t="shared" si="19"/>
        <v/>
      </c>
      <c r="U299" s="349"/>
      <c r="V299" s="385"/>
      <c r="W299" s="385"/>
      <c r="X299" s="386"/>
    </row>
    <row r="300" spans="2:24">
      <c r="B300" s="395"/>
      <c r="C300" s="371"/>
      <c r="D300" s="372" t="str">
        <f>IFERROR(INDEX('[12]Equipment List'!$B$2:$B$2038,MATCH(E300,'[12]Equipment List'!$A$2:$A$2038,0)),"")</f>
        <v/>
      </c>
      <c r="E300" s="388"/>
      <c r="F300" s="374"/>
      <c r="G300" s="375"/>
      <c r="H300" s="397"/>
      <c r="I300" s="377"/>
      <c r="J300" s="378"/>
      <c r="K300" s="379"/>
      <c r="L300" s="387"/>
      <c r="M300" s="380" t="str">
        <f t="array" ref="M300">IF(L300="","",(MAX(IF(AN$15:AN$144=B300,AO$15:AO$144))/60))</f>
        <v/>
      </c>
      <c r="N300" s="387"/>
      <c r="O300" s="387"/>
      <c r="P300" s="381" t="str">
        <f t="shared" si="17"/>
        <v/>
      </c>
      <c r="Q300" s="382" t="str">
        <f t="array" ref="Q300">IFERROR(INDEX($D$13:$D$1000,MATCH(0,COUNTIF($Q$12:Q299,$D$13:$D$1000&amp;"")+IF($D$13:$D$1000="",1,0),0)),"")</f>
        <v/>
      </c>
      <c r="R300" s="356" t="str">
        <f t="shared" si="18"/>
        <v/>
      </c>
      <c r="S300" s="383" t="str">
        <f t="shared" si="20"/>
        <v/>
      </c>
      <c r="T300" s="384" t="str">
        <f t="shared" si="19"/>
        <v/>
      </c>
      <c r="U300" s="349"/>
      <c r="V300" s="385"/>
      <c r="W300" s="385"/>
      <c r="X300" s="386"/>
    </row>
    <row r="301" spans="2:24">
      <c r="B301" s="395"/>
      <c r="C301" s="371"/>
      <c r="D301" s="372" t="str">
        <f>IFERROR(INDEX('[12]Equipment List'!$B$2:$B$2038,MATCH(E301,'[12]Equipment List'!$A$2:$A$2038,0)),"")</f>
        <v/>
      </c>
      <c r="E301" s="388"/>
      <c r="F301" s="374"/>
      <c r="G301" s="375"/>
      <c r="H301" s="397"/>
      <c r="I301" s="377"/>
      <c r="J301" s="378"/>
      <c r="K301" s="379"/>
      <c r="L301" s="387"/>
      <c r="M301" s="380" t="str">
        <f t="array" ref="M301">IF(L301="","",(MAX(IF(AN$15:AN$144=B301,AO$15:AO$144))/60))</f>
        <v/>
      </c>
      <c r="N301" s="387"/>
      <c r="O301" s="387"/>
      <c r="P301" s="381" t="str">
        <f t="shared" si="17"/>
        <v/>
      </c>
      <c r="Q301" s="382" t="str">
        <f t="array" ref="Q301">IFERROR(INDEX($D$13:$D$1000,MATCH(0,COUNTIF($Q$12:Q300,$D$13:$D$1000&amp;"")+IF($D$13:$D$1000="",1,0),0)),"")</f>
        <v/>
      </c>
      <c r="R301" s="356" t="str">
        <f t="shared" si="18"/>
        <v/>
      </c>
      <c r="S301" s="383" t="str">
        <f t="shared" si="20"/>
        <v/>
      </c>
      <c r="T301" s="384" t="str">
        <f t="shared" si="19"/>
        <v/>
      </c>
      <c r="U301" s="349"/>
      <c r="V301" s="385"/>
      <c r="W301" s="385"/>
      <c r="X301" s="386"/>
    </row>
    <row r="302" spans="2:24">
      <c r="B302" s="395"/>
      <c r="C302" s="371"/>
      <c r="D302" s="372" t="str">
        <f>IFERROR(INDEX('[12]Equipment List'!$B$2:$B$2038,MATCH(E302,'[12]Equipment List'!$A$2:$A$2038,0)),"")</f>
        <v/>
      </c>
      <c r="E302" s="388"/>
      <c r="F302" s="374"/>
      <c r="G302" s="375"/>
      <c r="H302" s="397"/>
      <c r="I302" s="377"/>
      <c r="J302" s="378"/>
      <c r="K302" s="379"/>
      <c r="L302" s="387"/>
      <c r="M302" s="380" t="str">
        <f t="array" ref="M302">IF(L302="","",(MAX(IF(AN$15:AN$144=B302,AO$15:AO$144))/60))</f>
        <v/>
      </c>
      <c r="N302" s="387"/>
      <c r="O302" s="387"/>
      <c r="P302" s="381" t="str">
        <f t="shared" si="17"/>
        <v/>
      </c>
      <c r="Q302" s="382" t="str">
        <f t="array" ref="Q302">IFERROR(INDEX($D$13:$D$1000,MATCH(0,COUNTIF($Q$12:Q301,$D$13:$D$1000&amp;"")+IF($D$13:$D$1000="",1,0),0)),"")</f>
        <v/>
      </c>
      <c r="R302" s="356" t="str">
        <f t="shared" si="18"/>
        <v/>
      </c>
      <c r="S302" s="383" t="str">
        <f t="shared" si="20"/>
        <v/>
      </c>
      <c r="T302" s="384" t="str">
        <f t="shared" si="19"/>
        <v/>
      </c>
      <c r="U302" s="349"/>
      <c r="V302" s="385"/>
      <c r="W302" s="385"/>
      <c r="X302" s="386"/>
    </row>
    <row r="303" spans="2:24">
      <c r="B303" s="395"/>
      <c r="C303" s="371"/>
      <c r="D303" s="372" t="str">
        <f>IFERROR(INDEX('[12]Equipment List'!$B$2:$B$2038,MATCH(E303,'[12]Equipment List'!$A$2:$A$2038,0)),"")</f>
        <v/>
      </c>
      <c r="E303" s="388"/>
      <c r="F303" s="374"/>
      <c r="G303" s="375"/>
      <c r="H303" s="397"/>
      <c r="I303" s="377"/>
      <c r="J303" s="378"/>
      <c r="K303" s="379"/>
      <c r="L303" s="387"/>
      <c r="M303" s="380" t="str">
        <f t="array" ref="M303">IF(L303="","",(MAX(IF(AN$15:AN$144=B303,AO$15:AO$144))/60))</f>
        <v/>
      </c>
      <c r="N303" s="387"/>
      <c r="O303" s="387"/>
      <c r="P303" s="381" t="str">
        <f t="shared" si="17"/>
        <v/>
      </c>
      <c r="Q303" s="382" t="str">
        <f t="array" ref="Q303">IFERROR(INDEX($D$13:$D$1000,MATCH(0,COUNTIF($Q$12:Q302,$D$13:$D$1000&amp;"")+IF($D$13:$D$1000="",1,0),0)),"")</f>
        <v/>
      </c>
      <c r="R303" s="356" t="str">
        <f t="shared" si="18"/>
        <v/>
      </c>
      <c r="S303" s="383" t="str">
        <f t="shared" si="20"/>
        <v/>
      </c>
      <c r="T303" s="384" t="str">
        <f t="shared" si="19"/>
        <v/>
      </c>
      <c r="U303" s="349"/>
      <c r="V303" s="385"/>
      <c r="W303" s="385"/>
      <c r="X303" s="386"/>
    </row>
    <row r="304" spans="2:24">
      <c r="B304" s="395"/>
      <c r="C304" s="371"/>
      <c r="D304" s="372" t="str">
        <f>IFERROR(INDEX('[12]Equipment List'!$B$2:$B$2038,MATCH(E304,'[12]Equipment List'!$A$2:$A$2038,0)),"")</f>
        <v/>
      </c>
      <c r="E304" s="388"/>
      <c r="F304" s="374"/>
      <c r="G304" s="375"/>
      <c r="H304" s="397"/>
      <c r="I304" s="377"/>
      <c r="J304" s="378"/>
      <c r="K304" s="379"/>
      <c r="L304" s="387"/>
      <c r="M304" s="380" t="str">
        <f t="array" ref="M304">IF(L304="","",(MAX(IF(AN$15:AN$144=B304,AO$15:AO$144))/60))</f>
        <v/>
      </c>
      <c r="N304" s="387"/>
      <c r="O304" s="387"/>
      <c r="P304" s="381" t="str">
        <f t="shared" si="17"/>
        <v/>
      </c>
      <c r="Q304" s="382" t="str">
        <f t="array" ref="Q304">IFERROR(INDEX($D$13:$D$1000,MATCH(0,COUNTIF($Q$12:Q303,$D$13:$D$1000&amp;"")+IF($D$13:$D$1000="",1,0),0)),"")</f>
        <v/>
      </c>
      <c r="R304" s="356" t="str">
        <f t="shared" si="18"/>
        <v/>
      </c>
      <c r="S304" s="383" t="str">
        <f t="shared" si="20"/>
        <v/>
      </c>
      <c r="T304" s="384" t="str">
        <f t="shared" si="19"/>
        <v/>
      </c>
      <c r="U304" s="349"/>
      <c r="V304" s="385"/>
      <c r="W304" s="385"/>
      <c r="X304" s="386"/>
    </row>
    <row r="305" spans="2:24">
      <c r="B305" s="395"/>
      <c r="C305" s="371"/>
      <c r="D305" s="372" t="str">
        <f>IFERROR(INDEX('[12]Equipment List'!$B$2:$B$2038,MATCH(E305,'[12]Equipment List'!$A$2:$A$2038,0)),"")</f>
        <v/>
      </c>
      <c r="E305" s="388"/>
      <c r="F305" s="374"/>
      <c r="G305" s="375"/>
      <c r="H305" s="397"/>
      <c r="I305" s="377"/>
      <c r="J305" s="378"/>
      <c r="K305" s="379"/>
      <c r="L305" s="387"/>
      <c r="M305" s="380" t="str">
        <f t="array" ref="M305">IF(L305="","",(MAX(IF(AN$15:AN$144=B305,AO$15:AO$144))/60))</f>
        <v/>
      </c>
      <c r="N305" s="387"/>
      <c r="O305" s="387"/>
      <c r="P305" s="381" t="str">
        <f t="shared" si="17"/>
        <v/>
      </c>
      <c r="Q305" s="382" t="str">
        <f t="array" ref="Q305">IFERROR(INDEX($D$13:$D$1000,MATCH(0,COUNTIF($Q$12:Q304,$D$13:$D$1000&amp;"")+IF($D$13:$D$1000="",1,0),0)),"")</f>
        <v/>
      </c>
      <c r="R305" s="356" t="str">
        <f t="shared" si="18"/>
        <v/>
      </c>
      <c r="S305" s="383" t="str">
        <f t="shared" si="20"/>
        <v/>
      </c>
      <c r="T305" s="384" t="str">
        <f t="shared" si="19"/>
        <v/>
      </c>
      <c r="U305" s="349"/>
      <c r="V305" s="385"/>
      <c r="W305" s="385"/>
      <c r="X305" s="386"/>
    </row>
    <row r="306" spans="2:24">
      <c r="B306" s="395"/>
      <c r="C306" s="371"/>
      <c r="D306" s="372" t="str">
        <f>IFERROR(INDEX('[12]Equipment List'!$B$2:$B$2038,MATCH(E306,'[12]Equipment List'!$A$2:$A$2038,0)),"")</f>
        <v/>
      </c>
      <c r="E306" s="388"/>
      <c r="F306" s="374"/>
      <c r="G306" s="375"/>
      <c r="H306" s="397"/>
      <c r="I306" s="377"/>
      <c r="J306" s="378"/>
      <c r="K306" s="379"/>
      <c r="L306" s="387"/>
      <c r="M306" s="380" t="str">
        <f t="array" ref="M306">IF(L306="","",(MAX(IF(AN$15:AN$144=B306,AO$15:AO$144))/60))</f>
        <v/>
      </c>
      <c r="N306" s="387"/>
      <c r="O306" s="387"/>
      <c r="P306" s="381" t="str">
        <f t="shared" si="17"/>
        <v/>
      </c>
      <c r="Q306" s="382" t="str">
        <f t="array" ref="Q306">IFERROR(INDEX($D$13:$D$1000,MATCH(0,COUNTIF($Q$12:Q305,$D$13:$D$1000&amp;"")+IF($D$13:$D$1000="",1,0),0)),"")</f>
        <v/>
      </c>
      <c r="R306" s="356" t="str">
        <f t="shared" si="18"/>
        <v/>
      </c>
      <c r="S306" s="383" t="str">
        <f t="shared" si="20"/>
        <v/>
      </c>
      <c r="T306" s="384" t="str">
        <f t="shared" si="19"/>
        <v/>
      </c>
      <c r="U306" s="349"/>
      <c r="V306" s="385"/>
      <c r="W306" s="385"/>
      <c r="X306" s="386"/>
    </row>
    <row r="307" spans="2:24">
      <c r="B307" s="395"/>
      <c r="C307" s="371"/>
      <c r="D307" s="372" t="str">
        <f>IFERROR(INDEX('[12]Equipment List'!$B$2:$B$2038,MATCH(E307,'[12]Equipment List'!$A$2:$A$2038,0)),"")</f>
        <v/>
      </c>
      <c r="E307" s="388"/>
      <c r="F307" s="374"/>
      <c r="G307" s="375"/>
      <c r="H307" s="397"/>
      <c r="I307" s="377"/>
      <c r="J307" s="378"/>
      <c r="K307" s="379"/>
      <c r="L307" s="387"/>
      <c r="M307" s="380" t="str">
        <f t="array" ref="M307">IF(L307="","",(MAX(IF(AN$15:AN$144=B307,AO$15:AO$144))/60))</f>
        <v/>
      </c>
      <c r="N307" s="387"/>
      <c r="O307" s="387"/>
      <c r="P307" s="381" t="str">
        <f t="shared" si="17"/>
        <v/>
      </c>
      <c r="Q307" s="382" t="str">
        <f t="array" ref="Q307">IFERROR(INDEX($D$13:$D$1000,MATCH(0,COUNTIF($Q$12:Q306,$D$13:$D$1000&amp;"")+IF($D$13:$D$1000="",1,0),0)),"")</f>
        <v/>
      </c>
      <c r="R307" s="356" t="str">
        <f t="shared" si="18"/>
        <v/>
      </c>
      <c r="S307" s="383" t="str">
        <f t="shared" si="20"/>
        <v/>
      </c>
      <c r="T307" s="384" t="str">
        <f t="shared" si="19"/>
        <v/>
      </c>
      <c r="U307" s="349"/>
      <c r="V307" s="385"/>
      <c r="W307" s="385"/>
      <c r="X307" s="386"/>
    </row>
    <row r="308" spans="2:24">
      <c r="B308" s="395"/>
      <c r="C308" s="371"/>
      <c r="D308" s="372" t="str">
        <f>IFERROR(INDEX('[12]Equipment List'!$B$2:$B$2038,MATCH(E308,'[12]Equipment List'!$A$2:$A$2038,0)),"")</f>
        <v/>
      </c>
      <c r="E308" s="388"/>
      <c r="F308" s="374"/>
      <c r="G308" s="375"/>
      <c r="H308" s="397"/>
      <c r="I308" s="377"/>
      <c r="J308" s="378"/>
      <c r="K308" s="379"/>
      <c r="L308" s="387"/>
      <c r="M308" s="380" t="str">
        <f t="array" ref="M308">IF(L308="","",(MAX(IF(AN$15:AN$144=B308,AO$15:AO$144))/60))</f>
        <v/>
      </c>
      <c r="N308" s="387"/>
      <c r="O308" s="387"/>
      <c r="P308" s="381" t="str">
        <f t="shared" si="17"/>
        <v/>
      </c>
      <c r="Q308" s="382" t="str">
        <f t="array" ref="Q308">IFERROR(INDEX($D$13:$D$1000,MATCH(0,COUNTIF($Q$12:Q307,$D$13:$D$1000&amp;"")+IF($D$13:$D$1000="",1,0),0)),"")</f>
        <v/>
      </c>
      <c r="R308" s="356" t="str">
        <f t="shared" si="18"/>
        <v/>
      </c>
      <c r="S308" s="383" t="str">
        <f t="shared" si="20"/>
        <v/>
      </c>
      <c r="T308" s="384" t="str">
        <f t="shared" si="19"/>
        <v/>
      </c>
      <c r="U308" s="349"/>
      <c r="V308" s="385"/>
      <c r="W308" s="385"/>
      <c r="X308" s="386"/>
    </row>
    <row r="309" spans="2:24">
      <c r="B309" s="395"/>
      <c r="C309" s="371"/>
      <c r="D309" s="372" t="str">
        <f>IFERROR(INDEX('[12]Equipment List'!$B$2:$B$2038,MATCH(E309,'[12]Equipment List'!$A$2:$A$2038,0)),"")</f>
        <v/>
      </c>
      <c r="E309" s="388"/>
      <c r="F309" s="374"/>
      <c r="G309" s="375"/>
      <c r="H309" s="397"/>
      <c r="I309" s="377"/>
      <c r="J309" s="378"/>
      <c r="K309" s="379"/>
      <c r="L309" s="387"/>
      <c r="M309" s="380" t="str">
        <f t="array" ref="M309">IF(L309="","",(MAX(IF(AN$15:AN$144=B309,AO$15:AO$144))/60))</f>
        <v/>
      </c>
      <c r="N309" s="387"/>
      <c r="O309" s="387"/>
      <c r="P309" s="381" t="str">
        <f t="shared" si="17"/>
        <v/>
      </c>
      <c r="Q309" s="382" t="str">
        <f t="array" ref="Q309">IFERROR(INDEX($D$13:$D$1000,MATCH(0,COUNTIF($Q$12:Q308,$D$13:$D$1000&amp;"")+IF($D$13:$D$1000="",1,0),0)),"")</f>
        <v/>
      </c>
      <c r="R309" s="356" t="str">
        <f t="shared" si="18"/>
        <v/>
      </c>
      <c r="S309" s="383" t="str">
        <f t="shared" si="20"/>
        <v/>
      </c>
      <c r="T309" s="384" t="str">
        <f t="shared" si="19"/>
        <v/>
      </c>
      <c r="U309" s="349"/>
      <c r="V309" s="385"/>
      <c r="W309" s="385"/>
      <c r="X309" s="386"/>
    </row>
    <row r="310" spans="2:24">
      <c r="B310" s="395"/>
      <c r="C310" s="371"/>
      <c r="D310" s="372" t="str">
        <f>IFERROR(INDEX('[12]Equipment List'!$B$2:$B$2038,MATCH(E310,'[12]Equipment List'!$A$2:$A$2038,0)),"")</f>
        <v/>
      </c>
      <c r="E310" s="388"/>
      <c r="F310" s="374"/>
      <c r="G310" s="375"/>
      <c r="H310" s="397"/>
      <c r="I310" s="377"/>
      <c r="J310" s="378"/>
      <c r="K310" s="379"/>
      <c r="L310" s="387"/>
      <c r="M310" s="380" t="str">
        <f t="array" ref="M310">IF(L310="","",(MAX(IF(AN$15:AN$144=B310,AO$15:AO$144))/60))</f>
        <v/>
      </c>
      <c r="N310" s="387"/>
      <c r="O310" s="387"/>
      <c r="P310" s="381" t="str">
        <f t="shared" si="17"/>
        <v/>
      </c>
      <c r="Q310" s="382" t="str">
        <f t="array" ref="Q310">IFERROR(INDEX($D$13:$D$1000,MATCH(0,COUNTIF($Q$12:Q309,$D$13:$D$1000&amp;"")+IF($D$13:$D$1000="",1,0),0)),"")</f>
        <v/>
      </c>
      <c r="R310" s="356" t="str">
        <f t="shared" si="18"/>
        <v/>
      </c>
      <c r="S310" s="383" t="str">
        <f t="shared" si="20"/>
        <v/>
      </c>
      <c r="T310" s="384" t="str">
        <f t="shared" si="19"/>
        <v/>
      </c>
      <c r="U310" s="349"/>
      <c r="V310" s="385"/>
      <c r="W310" s="385"/>
      <c r="X310" s="386"/>
    </row>
    <row r="311" spans="2:24">
      <c r="B311" s="395"/>
      <c r="C311" s="371"/>
      <c r="D311" s="372" t="str">
        <f>IFERROR(INDEX('[12]Equipment List'!$B$2:$B$2038,MATCH(E311,'[12]Equipment List'!$A$2:$A$2038,0)),"")</f>
        <v/>
      </c>
      <c r="E311" s="388"/>
      <c r="F311" s="374"/>
      <c r="G311" s="375"/>
      <c r="H311" s="397"/>
      <c r="I311" s="377"/>
      <c r="J311" s="378"/>
      <c r="K311" s="379"/>
      <c r="L311" s="387"/>
      <c r="M311" s="380" t="str">
        <f t="array" ref="M311">IF(L311="","",(MAX(IF(AN$15:AN$144=B311,AO$15:AO$144))/60))</f>
        <v/>
      </c>
      <c r="N311" s="387"/>
      <c r="O311" s="387"/>
      <c r="P311" s="381" t="str">
        <f t="shared" si="17"/>
        <v/>
      </c>
      <c r="Q311" s="382" t="str">
        <f t="array" ref="Q311">IFERROR(INDEX($D$13:$D$1000,MATCH(0,COUNTIF($Q$12:Q310,$D$13:$D$1000&amp;"")+IF($D$13:$D$1000="",1,0),0)),"")</f>
        <v/>
      </c>
      <c r="R311" s="356" t="str">
        <f t="shared" si="18"/>
        <v/>
      </c>
      <c r="S311" s="383" t="str">
        <f t="shared" si="20"/>
        <v/>
      </c>
      <c r="T311" s="384" t="str">
        <f t="shared" si="19"/>
        <v/>
      </c>
      <c r="U311" s="349"/>
      <c r="V311" s="385"/>
      <c r="W311" s="385"/>
      <c r="X311" s="386"/>
    </row>
    <row r="312" spans="2:24">
      <c r="B312" s="395"/>
      <c r="C312" s="371"/>
      <c r="D312" s="372" t="str">
        <f>IFERROR(INDEX('[12]Equipment List'!$B$2:$B$2038,MATCH(E312,'[12]Equipment List'!$A$2:$A$2038,0)),"")</f>
        <v/>
      </c>
      <c r="E312" s="388"/>
      <c r="F312" s="374"/>
      <c r="G312" s="375"/>
      <c r="H312" s="397"/>
      <c r="I312" s="377"/>
      <c r="J312" s="378"/>
      <c r="K312" s="379"/>
      <c r="L312" s="387"/>
      <c r="M312" s="380" t="str">
        <f t="array" ref="M312">IF(L312="","",(MAX(IF(AN$15:AN$144=B312,AO$15:AO$144))/60))</f>
        <v/>
      </c>
      <c r="N312" s="387"/>
      <c r="O312" s="387"/>
      <c r="P312" s="381" t="str">
        <f t="shared" si="17"/>
        <v/>
      </c>
      <c r="Q312" s="382" t="str">
        <f t="array" ref="Q312">IFERROR(INDEX($D$13:$D$1000,MATCH(0,COUNTIF($Q$12:Q311,$D$13:$D$1000&amp;"")+IF($D$13:$D$1000="",1,0),0)),"")</f>
        <v/>
      </c>
      <c r="R312" s="356" t="str">
        <f t="shared" si="18"/>
        <v/>
      </c>
      <c r="S312" s="383" t="str">
        <f t="shared" si="20"/>
        <v/>
      </c>
      <c r="T312" s="384" t="str">
        <f t="shared" si="19"/>
        <v/>
      </c>
      <c r="U312" s="349"/>
      <c r="V312" s="385"/>
      <c r="W312" s="385"/>
      <c r="X312" s="386"/>
    </row>
    <row r="313" spans="2:24">
      <c r="B313" s="395"/>
      <c r="C313" s="371"/>
      <c r="D313" s="372" t="str">
        <f>IFERROR(INDEX('[12]Equipment List'!$B$2:$B$2038,MATCH(E313,'[12]Equipment List'!$A$2:$A$2038,0)),"")</f>
        <v/>
      </c>
      <c r="E313" s="388"/>
      <c r="F313" s="374"/>
      <c r="G313" s="375"/>
      <c r="H313" s="397"/>
      <c r="I313" s="377"/>
      <c r="J313" s="378"/>
      <c r="K313" s="379"/>
      <c r="L313" s="387"/>
      <c r="M313" s="380" t="str">
        <f t="array" ref="M313">IF(L313="","",(MAX(IF(AN$15:AN$144=B313,AO$15:AO$144))/60))</f>
        <v/>
      </c>
      <c r="N313" s="387"/>
      <c r="O313" s="387"/>
      <c r="P313" s="381" t="str">
        <f t="shared" si="17"/>
        <v/>
      </c>
      <c r="Q313" s="382" t="str">
        <f t="array" ref="Q313">IFERROR(INDEX($D$13:$D$1000,MATCH(0,COUNTIF($Q$12:Q312,$D$13:$D$1000&amp;"")+IF($D$13:$D$1000="",1,0),0)),"")</f>
        <v/>
      </c>
      <c r="R313" s="356" t="str">
        <f t="shared" si="18"/>
        <v/>
      </c>
      <c r="S313" s="383" t="str">
        <f t="shared" si="20"/>
        <v/>
      </c>
      <c r="T313" s="384" t="str">
        <f t="shared" si="19"/>
        <v/>
      </c>
      <c r="U313" s="349"/>
      <c r="V313" s="385"/>
      <c r="W313" s="385"/>
      <c r="X313" s="386"/>
    </row>
    <row r="314" spans="2:24">
      <c r="B314" s="395"/>
      <c r="C314" s="371"/>
      <c r="D314" s="372" t="str">
        <f>IFERROR(INDEX('[12]Equipment List'!$B$2:$B$2038,MATCH(E314,'[12]Equipment List'!$A$2:$A$2038,0)),"")</f>
        <v/>
      </c>
      <c r="E314" s="388"/>
      <c r="F314" s="374"/>
      <c r="G314" s="375"/>
      <c r="H314" s="397"/>
      <c r="I314" s="377"/>
      <c r="J314" s="378"/>
      <c r="K314" s="379"/>
      <c r="L314" s="387"/>
      <c r="M314" s="380" t="str">
        <f t="array" ref="M314">IF(L314="","",(MAX(IF(AN$15:AN$144=B314,AO$15:AO$144))/60))</f>
        <v/>
      </c>
      <c r="N314" s="387"/>
      <c r="O314" s="387"/>
      <c r="P314" s="381" t="str">
        <f t="shared" si="17"/>
        <v/>
      </c>
      <c r="Q314" s="382" t="str">
        <f t="array" ref="Q314">IFERROR(INDEX($D$13:$D$1000,MATCH(0,COUNTIF($Q$12:Q313,$D$13:$D$1000&amp;"")+IF($D$13:$D$1000="",1,0),0)),"")</f>
        <v/>
      </c>
      <c r="R314" s="356" t="str">
        <f t="shared" si="18"/>
        <v/>
      </c>
      <c r="S314" s="383" t="str">
        <f t="shared" si="20"/>
        <v/>
      </c>
      <c r="T314" s="384" t="str">
        <f t="shared" si="19"/>
        <v/>
      </c>
      <c r="U314" s="349"/>
      <c r="V314" s="385"/>
      <c r="W314" s="385"/>
      <c r="X314" s="386"/>
    </row>
    <row r="315" spans="2:24">
      <c r="B315" s="395"/>
      <c r="C315" s="371"/>
      <c r="D315" s="372" t="str">
        <f>IFERROR(INDEX('[12]Equipment List'!$B$2:$B$2038,MATCH(E315,'[12]Equipment List'!$A$2:$A$2038,0)),"")</f>
        <v/>
      </c>
      <c r="E315" s="388"/>
      <c r="F315" s="374"/>
      <c r="G315" s="375"/>
      <c r="H315" s="397"/>
      <c r="I315" s="377"/>
      <c r="J315" s="378"/>
      <c r="K315" s="379"/>
      <c r="L315" s="387"/>
      <c r="M315" s="380" t="str">
        <f t="array" ref="M315">IF(L315="","",(MAX(IF(AN$15:AN$144=B315,AO$15:AO$144))/60))</f>
        <v/>
      </c>
      <c r="N315" s="387"/>
      <c r="O315" s="387"/>
      <c r="P315" s="381" t="str">
        <f t="shared" si="17"/>
        <v/>
      </c>
      <c r="Q315" s="382" t="str">
        <f t="array" ref="Q315">IFERROR(INDEX($D$13:$D$1000,MATCH(0,COUNTIF($Q$12:Q314,$D$13:$D$1000&amp;"")+IF($D$13:$D$1000="",1,0),0)),"")</f>
        <v/>
      </c>
      <c r="R315" s="356" t="str">
        <f t="shared" si="18"/>
        <v/>
      </c>
      <c r="S315" s="383" t="str">
        <f t="shared" si="20"/>
        <v/>
      </c>
      <c r="T315" s="384" t="str">
        <f t="shared" si="19"/>
        <v/>
      </c>
      <c r="U315" s="349"/>
      <c r="V315" s="385"/>
      <c r="W315" s="385"/>
      <c r="X315" s="386"/>
    </row>
    <row r="316" spans="2:24">
      <c r="B316" s="395"/>
      <c r="C316" s="371"/>
      <c r="D316" s="372" t="str">
        <f>IFERROR(INDEX('[12]Equipment List'!$B$2:$B$2038,MATCH(E316,'[12]Equipment List'!$A$2:$A$2038,0)),"")</f>
        <v/>
      </c>
      <c r="E316" s="388"/>
      <c r="F316" s="374"/>
      <c r="G316" s="375"/>
      <c r="H316" s="397"/>
      <c r="I316" s="377"/>
      <c r="J316" s="378"/>
      <c r="K316" s="379"/>
      <c r="L316" s="387"/>
      <c r="M316" s="380" t="str">
        <f t="array" ref="M316">IF(L316="","",(MAX(IF(AN$15:AN$144=B316,AO$15:AO$144))/60))</f>
        <v/>
      </c>
      <c r="N316" s="387"/>
      <c r="O316" s="387"/>
      <c r="P316" s="381" t="str">
        <f t="shared" si="17"/>
        <v/>
      </c>
      <c r="Q316" s="382" t="str">
        <f t="array" ref="Q316">IFERROR(INDEX($D$13:$D$1000,MATCH(0,COUNTIF($Q$12:Q315,$D$13:$D$1000&amp;"")+IF($D$13:$D$1000="",1,0),0)),"")</f>
        <v/>
      </c>
      <c r="R316" s="356" t="str">
        <f t="shared" si="18"/>
        <v/>
      </c>
      <c r="S316" s="383" t="str">
        <f t="shared" si="20"/>
        <v/>
      </c>
      <c r="T316" s="384" t="str">
        <f t="shared" si="19"/>
        <v/>
      </c>
      <c r="U316" s="349"/>
      <c r="V316" s="385"/>
      <c r="W316" s="385"/>
      <c r="X316" s="386"/>
    </row>
    <row r="317" spans="2:24">
      <c r="B317" s="395"/>
      <c r="C317" s="371"/>
      <c r="D317" s="372" t="str">
        <f>IFERROR(INDEX('[12]Equipment List'!$B$2:$B$2038,MATCH(E317,'[12]Equipment List'!$A$2:$A$2038,0)),"")</f>
        <v/>
      </c>
      <c r="E317" s="388"/>
      <c r="F317" s="374"/>
      <c r="G317" s="375"/>
      <c r="H317" s="397"/>
      <c r="I317" s="377"/>
      <c r="J317" s="378"/>
      <c r="K317" s="379"/>
      <c r="L317" s="387"/>
      <c r="M317" s="380" t="str">
        <f t="array" ref="M317">IF(L317="","",(MAX(IF(AN$15:AN$144=B317,AO$15:AO$144))/60))</f>
        <v/>
      </c>
      <c r="N317" s="387"/>
      <c r="O317" s="387"/>
      <c r="P317" s="381" t="str">
        <f t="shared" si="17"/>
        <v/>
      </c>
      <c r="Q317" s="382" t="str">
        <f t="array" ref="Q317">IFERROR(INDEX($D$13:$D$1000,MATCH(0,COUNTIF($Q$12:Q316,$D$13:$D$1000&amp;"")+IF($D$13:$D$1000="",1,0),0)),"")</f>
        <v/>
      </c>
      <c r="R317" s="356" t="str">
        <f t="shared" si="18"/>
        <v/>
      </c>
      <c r="S317" s="383" t="str">
        <f t="shared" si="20"/>
        <v/>
      </c>
      <c r="T317" s="384" t="str">
        <f t="shared" si="19"/>
        <v/>
      </c>
      <c r="U317" s="349"/>
      <c r="V317" s="385"/>
      <c r="W317" s="385"/>
      <c r="X317" s="386"/>
    </row>
    <row r="318" spans="2:24">
      <c r="B318" s="395"/>
      <c r="C318" s="371"/>
      <c r="D318" s="372" t="str">
        <f>IFERROR(INDEX('[12]Equipment List'!$B$2:$B$2038,MATCH(E318,'[12]Equipment List'!$A$2:$A$2038,0)),"")</f>
        <v/>
      </c>
      <c r="E318" s="388"/>
      <c r="F318" s="374"/>
      <c r="G318" s="375"/>
      <c r="H318" s="397"/>
      <c r="I318" s="377"/>
      <c r="J318" s="378"/>
      <c r="K318" s="379"/>
      <c r="L318" s="387"/>
      <c r="M318" s="380" t="str">
        <f t="array" ref="M318">IF(L318="","",(MAX(IF(AN$15:AN$144=B318,AO$15:AO$144))/60))</f>
        <v/>
      </c>
      <c r="N318" s="387"/>
      <c r="O318" s="387"/>
      <c r="P318" s="381" t="str">
        <f t="shared" si="17"/>
        <v/>
      </c>
      <c r="Q318" s="382" t="str">
        <f t="array" ref="Q318">IFERROR(INDEX($D$13:$D$1000,MATCH(0,COUNTIF($Q$12:Q317,$D$13:$D$1000&amp;"")+IF($D$13:$D$1000="",1,0),0)),"")</f>
        <v/>
      </c>
      <c r="R318" s="356" t="str">
        <f t="shared" si="18"/>
        <v/>
      </c>
      <c r="S318" s="383" t="str">
        <f t="shared" si="20"/>
        <v/>
      </c>
      <c r="T318" s="384" t="str">
        <f t="shared" si="19"/>
        <v/>
      </c>
      <c r="U318" s="349"/>
      <c r="V318" s="385"/>
      <c r="W318" s="385"/>
      <c r="X318" s="386"/>
    </row>
    <row r="319" spans="2:24">
      <c r="B319" s="395"/>
      <c r="C319" s="371"/>
      <c r="D319" s="372" t="str">
        <f>IFERROR(INDEX('[12]Equipment List'!$B$2:$B$2038,MATCH(E319,'[12]Equipment List'!$A$2:$A$2038,0)),"")</f>
        <v/>
      </c>
      <c r="E319" s="388"/>
      <c r="F319" s="374"/>
      <c r="G319" s="375"/>
      <c r="H319" s="397"/>
      <c r="I319" s="377"/>
      <c r="J319" s="378"/>
      <c r="K319" s="379"/>
      <c r="L319" s="387"/>
      <c r="M319" s="380" t="str">
        <f t="array" ref="M319">IF(L319="","",(MAX(IF(AN$15:AN$144=B319,AO$15:AO$144))/60))</f>
        <v/>
      </c>
      <c r="N319" s="387"/>
      <c r="O319" s="387"/>
      <c r="P319" s="381" t="str">
        <f t="shared" si="17"/>
        <v/>
      </c>
      <c r="Q319" s="382" t="str">
        <f t="array" ref="Q319">IFERROR(INDEX($D$13:$D$1000,MATCH(0,COUNTIF($Q$12:Q318,$D$13:$D$1000&amp;"")+IF($D$13:$D$1000="",1,0),0)),"")</f>
        <v/>
      </c>
      <c r="R319" s="356" t="str">
        <f t="shared" si="18"/>
        <v/>
      </c>
      <c r="S319" s="383" t="str">
        <f t="shared" si="20"/>
        <v/>
      </c>
      <c r="T319" s="384" t="str">
        <f t="shared" si="19"/>
        <v/>
      </c>
      <c r="U319" s="349"/>
      <c r="V319" s="385"/>
      <c r="W319" s="385"/>
      <c r="X319" s="386"/>
    </row>
    <row r="320" spans="2:24">
      <c r="B320" s="395"/>
      <c r="C320" s="371"/>
      <c r="D320" s="372" t="str">
        <f>IFERROR(INDEX('[12]Equipment List'!$B$2:$B$2038,MATCH(E320,'[12]Equipment List'!$A$2:$A$2038,0)),"")</f>
        <v/>
      </c>
      <c r="E320" s="388"/>
      <c r="F320" s="374"/>
      <c r="G320" s="375"/>
      <c r="H320" s="397"/>
      <c r="I320" s="377"/>
      <c r="J320" s="378"/>
      <c r="K320" s="379"/>
      <c r="L320" s="387"/>
      <c r="M320" s="380" t="str">
        <f t="array" ref="M320">IF(L320="","",(MAX(IF(AN$15:AN$144=B320,AO$15:AO$144))/60))</f>
        <v/>
      </c>
      <c r="N320" s="387"/>
      <c r="O320" s="387"/>
      <c r="P320" s="381" t="str">
        <f t="shared" si="17"/>
        <v/>
      </c>
      <c r="Q320" s="382" t="str">
        <f t="array" ref="Q320">IFERROR(INDEX($D$13:$D$1000,MATCH(0,COUNTIF($Q$12:Q319,$D$13:$D$1000&amp;"")+IF($D$13:$D$1000="",1,0),0)),"")</f>
        <v/>
      </c>
      <c r="R320" s="356" t="str">
        <f t="shared" si="18"/>
        <v/>
      </c>
      <c r="S320" s="383" t="str">
        <f t="shared" si="20"/>
        <v/>
      </c>
      <c r="T320" s="384" t="str">
        <f t="shared" si="19"/>
        <v/>
      </c>
      <c r="U320" s="349"/>
      <c r="V320" s="385"/>
      <c r="W320" s="385"/>
      <c r="X320" s="386"/>
    </row>
    <row r="321" spans="2:24">
      <c r="B321" s="395"/>
      <c r="C321" s="371"/>
      <c r="D321" s="372" t="str">
        <f>IFERROR(INDEX('[12]Equipment List'!$B$2:$B$2038,MATCH(E321,'[12]Equipment List'!$A$2:$A$2038,0)),"")</f>
        <v/>
      </c>
      <c r="E321" s="388"/>
      <c r="F321" s="374"/>
      <c r="G321" s="375"/>
      <c r="H321" s="397"/>
      <c r="I321" s="377"/>
      <c r="J321" s="378"/>
      <c r="K321" s="379"/>
      <c r="L321" s="387"/>
      <c r="M321" s="380" t="str">
        <f t="array" ref="M321">IF(L321="","",(MAX(IF(AN$15:AN$144=B321,AO$15:AO$144))/60))</f>
        <v/>
      </c>
      <c r="N321" s="387"/>
      <c r="O321" s="387"/>
      <c r="P321" s="381" t="str">
        <f t="shared" si="17"/>
        <v/>
      </c>
      <c r="Q321" s="382" t="str">
        <f t="array" ref="Q321">IFERROR(INDEX($D$13:$D$1000,MATCH(0,COUNTIF($Q$12:Q320,$D$13:$D$1000&amp;"")+IF($D$13:$D$1000="",1,0),0)),"")</f>
        <v/>
      </c>
      <c r="R321" s="356" t="str">
        <f t="shared" si="18"/>
        <v/>
      </c>
      <c r="S321" s="383" t="str">
        <f t="shared" si="20"/>
        <v/>
      </c>
      <c r="T321" s="384" t="str">
        <f t="shared" si="19"/>
        <v/>
      </c>
      <c r="U321" s="349"/>
      <c r="V321" s="385"/>
      <c r="W321" s="385"/>
      <c r="X321" s="386"/>
    </row>
    <row r="322" spans="2:24">
      <c r="B322" s="395"/>
      <c r="C322" s="371"/>
      <c r="D322" s="372" t="str">
        <f>IFERROR(INDEX('[12]Equipment List'!$B$2:$B$2038,MATCH(E322,'[12]Equipment List'!$A$2:$A$2038,0)),"")</f>
        <v/>
      </c>
      <c r="E322" s="388"/>
      <c r="F322" s="374"/>
      <c r="G322" s="375"/>
      <c r="H322" s="397"/>
      <c r="I322" s="377"/>
      <c r="J322" s="378"/>
      <c r="K322" s="379"/>
      <c r="L322" s="387"/>
      <c r="M322" s="380" t="str">
        <f t="array" ref="M322">IF(L322="","",(MAX(IF(AN$15:AN$144=B322,AO$15:AO$144))/60))</f>
        <v/>
      </c>
      <c r="N322" s="387"/>
      <c r="O322" s="387"/>
      <c r="P322" s="381" t="str">
        <f t="shared" si="17"/>
        <v/>
      </c>
      <c r="Q322" s="382" t="str">
        <f t="array" ref="Q322">IFERROR(INDEX($D$13:$D$1000,MATCH(0,COUNTIF($Q$12:Q321,$D$13:$D$1000&amp;"")+IF($D$13:$D$1000="",1,0),0)),"")</f>
        <v/>
      </c>
      <c r="R322" s="356" t="str">
        <f t="shared" si="18"/>
        <v/>
      </c>
      <c r="S322" s="383" t="str">
        <f t="shared" si="20"/>
        <v/>
      </c>
      <c r="T322" s="384" t="str">
        <f t="shared" si="19"/>
        <v/>
      </c>
      <c r="U322" s="349"/>
      <c r="V322" s="385"/>
      <c r="W322" s="385"/>
      <c r="X322" s="386"/>
    </row>
    <row r="323" spans="2:24">
      <c r="B323" s="395"/>
      <c r="C323" s="371"/>
      <c r="D323" s="372" t="str">
        <f>IFERROR(INDEX('[12]Equipment List'!$B$2:$B$2038,MATCH(E323,'[12]Equipment List'!$A$2:$A$2038,0)),"")</f>
        <v/>
      </c>
      <c r="E323" s="388"/>
      <c r="F323" s="374"/>
      <c r="G323" s="375"/>
      <c r="H323" s="397"/>
      <c r="I323" s="377"/>
      <c r="J323" s="378"/>
      <c r="K323" s="379"/>
      <c r="L323" s="387"/>
      <c r="M323" s="380" t="str">
        <f t="array" ref="M323">IF(L323="","",(MAX(IF(AN$15:AN$144=B323,AO$15:AO$144))/60))</f>
        <v/>
      </c>
      <c r="N323" s="387"/>
      <c r="O323" s="387"/>
      <c r="P323" s="381" t="str">
        <f t="shared" si="17"/>
        <v/>
      </c>
      <c r="Q323" s="382" t="str">
        <f t="array" ref="Q323">IFERROR(INDEX($D$13:$D$1000,MATCH(0,COUNTIF($Q$12:Q322,$D$13:$D$1000&amp;"")+IF($D$13:$D$1000="",1,0),0)),"")</f>
        <v/>
      </c>
      <c r="R323" s="356" t="str">
        <f t="shared" si="18"/>
        <v/>
      </c>
      <c r="S323" s="383" t="str">
        <f t="shared" si="20"/>
        <v/>
      </c>
      <c r="T323" s="384" t="str">
        <f t="shared" si="19"/>
        <v/>
      </c>
      <c r="U323" s="349"/>
      <c r="V323" s="385"/>
      <c r="W323" s="385"/>
      <c r="X323" s="386"/>
    </row>
    <row r="324" spans="2:24">
      <c r="B324" s="395"/>
      <c r="C324" s="371"/>
      <c r="D324" s="372" t="str">
        <f>IFERROR(INDEX('[12]Equipment List'!$B$2:$B$2038,MATCH(E324,'[12]Equipment List'!$A$2:$A$2038,0)),"")</f>
        <v/>
      </c>
      <c r="E324" s="388"/>
      <c r="F324" s="374"/>
      <c r="G324" s="375"/>
      <c r="H324" s="397"/>
      <c r="I324" s="377"/>
      <c r="J324" s="378"/>
      <c r="K324" s="379"/>
      <c r="L324" s="387"/>
      <c r="M324" s="380" t="str">
        <f t="array" ref="M324">IF(L324="","",(MAX(IF(AN$15:AN$144=B324,AO$15:AO$144))/60))</f>
        <v/>
      </c>
      <c r="N324" s="387"/>
      <c r="O324" s="387"/>
      <c r="P324" s="381" t="str">
        <f t="shared" si="17"/>
        <v/>
      </c>
      <c r="Q324" s="382" t="str">
        <f t="array" ref="Q324">IFERROR(INDEX($D$13:$D$1000,MATCH(0,COUNTIF($Q$12:Q323,$D$13:$D$1000&amp;"")+IF($D$13:$D$1000="",1,0),0)),"")</f>
        <v/>
      </c>
      <c r="R324" s="356" t="str">
        <f t="shared" si="18"/>
        <v/>
      </c>
      <c r="S324" s="383" t="str">
        <f t="shared" si="20"/>
        <v/>
      </c>
      <c r="T324" s="384" t="str">
        <f t="shared" si="19"/>
        <v/>
      </c>
      <c r="U324" s="349"/>
      <c r="V324" s="385"/>
      <c r="W324" s="385"/>
      <c r="X324" s="386"/>
    </row>
    <row r="325" spans="2:24">
      <c r="B325" s="395"/>
      <c r="C325" s="371"/>
      <c r="D325" s="372" t="str">
        <f>IFERROR(INDEX('[12]Equipment List'!$B$2:$B$2038,MATCH(E325,'[12]Equipment List'!$A$2:$A$2038,0)),"")</f>
        <v/>
      </c>
      <c r="E325" s="388"/>
      <c r="F325" s="374"/>
      <c r="G325" s="375"/>
      <c r="H325" s="397"/>
      <c r="I325" s="377"/>
      <c r="J325" s="378"/>
      <c r="K325" s="379"/>
      <c r="L325" s="387"/>
      <c r="M325" s="380" t="str">
        <f t="array" ref="M325">IF(L325="","",(MAX(IF(AN$15:AN$144=B325,AO$15:AO$144))/60))</f>
        <v/>
      </c>
      <c r="N325" s="387"/>
      <c r="O325" s="387"/>
      <c r="P325" s="381" t="str">
        <f t="shared" si="17"/>
        <v/>
      </c>
      <c r="Q325" s="382" t="str">
        <f t="array" ref="Q325">IFERROR(INDEX($D$13:$D$1000,MATCH(0,COUNTIF($Q$12:Q324,$D$13:$D$1000&amp;"")+IF($D$13:$D$1000="",1,0),0)),"")</f>
        <v/>
      </c>
      <c r="R325" s="356" t="str">
        <f t="shared" si="18"/>
        <v/>
      </c>
      <c r="S325" s="383" t="str">
        <f t="shared" si="20"/>
        <v/>
      </c>
      <c r="T325" s="384" t="str">
        <f t="shared" si="19"/>
        <v/>
      </c>
      <c r="U325" s="349"/>
      <c r="V325" s="385"/>
      <c r="W325" s="385"/>
      <c r="X325" s="386"/>
    </row>
    <row r="326" spans="2:24">
      <c r="B326" s="395"/>
      <c r="C326" s="371"/>
      <c r="D326" s="372" t="str">
        <f>IFERROR(INDEX('[12]Equipment List'!$B$2:$B$2038,MATCH(E326,'[12]Equipment List'!$A$2:$A$2038,0)),"")</f>
        <v/>
      </c>
      <c r="E326" s="388"/>
      <c r="F326" s="374"/>
      <c r="G326" s="375"/>
      <c r="H326" s="397"/>
      <c r="I326" s="377"/>
      <c r="J326" s="378"/>
      <c r="K326" s="379"/>
      <c r="L326" s="387"/>
      <c r="M326" s="380" t="str">
        <f t="array" ref="M326">IF(L326="","",(MAX(IF(AN$15:AN$144=B326,AO$15:AO$144))/60))</f>
        <v/>
      </c>
      <c r="N326" s="387"/>
      <c r="O326" s="387"/>
      <c r="P326" s="381" t="str">
        <f t="shared" si="17"/>
        <v/>
      </c>
      <c r="Q326" s="382" t="str">
        <f t="array" ref="Q326">IFERROR(INDEX($D$13:$D$1000,MATCH(0,COUNTIF($Q$12:Q325,$D$13:$D$1000&amp;"")+IF($D$13:$D$1000="",1,0),0)),"")</f>
        <v/>
      </c>
      <c r="R326" s="356" t="str">
        <f t="shared" si="18"/>
        <v/>
      </c>
      <c r="S326" s="383" t="str">
        <f t="shared" si="20"/>
        <v/>
      </c>
      <c r="T326" s="384" t="str">
        <f t="shared" si="19"/>
        <v/>
      </c>
      <c r="U326" s="349"/>
      <c r="V326" s="385"/>
      <c r="W326" s="385"/>
      <c r="X326" s="386"/>
    </row>
    <row r="327" spans="2:24">
      <c r="B327" s="395"/>
      <c r="C327" s="371"/>
      <c r="D327" s="372" t="str">
        <f>IFERROR(INDEX('[12]Equipment List'!$B$2:$B$2038,MATCH(E327,'[12]Equipment List'!$A$2:$A$2038,0)),"")</f>
        <v/>
      </c>
      <c r="E327" s="388"/>
      <c r="F327" s="374"/>
      <c r="G327" s="375"/>
      <c r="H327" s="397"/>
      <c r="I327" s="377"/>
      <c r="J327" s="378"/>
      <c r="K327" s="379"/>
      <c r="L327" s="387"/>
      <c r="M327" s="380" t="str">
        <f t="array" ref="M327">IF(L327="","",(MAX(IF(AN$15:AN$144=B327,AO$15:AO$144))/60))</f>
        <v/>
      </c>
      <c r="N327" s="387"/>
      <c r="O327" s="387"/>
      <c r="P327" s="381" t="str">
        <f t="shared" si="17"/>
        <v/>
      </c>
      <c r="Q327" s="382" t="str">
        <f t="array" ref="Q327">IFERROR(INDEX($D$13:$D$1000,MATCH(0,COUNTIF($Q$12:Q326,$D$13:$D$1000&amp;"")+IF($D$13:$D$1000="",1,0),0)),"")</f>
        <v/>
      </c>
      <c r="R327" s="356" t="str">
        <f t="shared" si="18"/>
        <v/>
      </c>
      <c r="S327" s="383" t="str">
        <f t="shared" si="20"/>
        <v/>
      </c>
      <c r="T327" s="384" t="str">
        <f t="shared" si="19"/>
        <v/>
      </c>
      <c r="U327" s="349"/>
      <c r="V327" s="385"/>
      <c r="W327" s="385"/>
      <c r="X327" s="386"/>
    </row>
    <row r="328" spans="2:24">
      <c r="B328" s="395"/>
      <c r="C328" s="371"/>
      <c r="D328" s="372" t="str">
        <f>IFERROR(INDEX('[12]Equipment List'!$B$2:$B$2038,MATCH(E328,'[12]Equipment List'!$A$2:$A$2038,0)),"")</f>
        <v/>
      </c>
      <c r="E328" s="388"/>
      <c r="F328" s="374"/>
      <c r="G328" s="375"/>
      <c r="H328" s="397"/>
      <c r="I328" s="377"/>
      <c r="J328" s="378"/>
      <c r="K328" s="379"/>
      <c r="L328" s="387"/>
      <c r="M328" s="380" t="str">
        <f t="array" ref="M328">IF(L328="","",(MAX(IF(AN$15:AN$144=B328,AO$15:AO$144))/60))</f>
        <v/>
      </c>
      <c r="N328" s="387"/>
      <c r="O328" s="387"/>
      <c r="P328" s="381" t="str">
        <f t="shared" si="17"/>
        <v/>
      </c>
      <c r="Q328" s="382" t="str">
        <f t="array" ref="Q328">IFERROR(INDEX($D$13:$D$1000,MATCH(0,COUNTIF($Q$12:Q327,$D$13:$D$1000&amp;"")+IF($D$13:$D$1000="",1,0),0)),"")</f>
        <v/>
      </c>
      <c r="R328" s="356" t="str">
        <f t="shared" si="18"/>
        <v/>
      </c>
      <c r="S328" s="383" t="str">
        <f t="shared" si="20"/>
        <v/>
      </c>
      <c r="T328" s="384" t="str">
        <f t="shared" si="19"/>
        <v/>
      </c>
      <c r="U328" s="349"/>
      <c r="V328" s="385"/>
      <c r="W328" s="385"/>
      <c r="X328" s="386"/>
    </row>
    <row r="329" spans="2:24">
      <c r="B329" s="395"/>
      <c r="C329" s="371"/>
      <c r="D329" s="372" t="str">
        <f>IFERROR(INDEX('[12]Equipment List'!$B$2:$B$2038,MATCH(E329,'[12]Equipment List'!$A$2:$A$2038,0)),"")</f>
        <v/>
      </c>
      <c r="E329" s="388"/>
      <c r="F329" s="374"/>
      <c r="G329" s="375"/>
      <c r="H329" s="397"/>
      <c r="I329" s="377"/>
      <c r="J329" s="378"/>
      <c r="K329" s="379"/>
      <c r="L329" s="387"/>
      <c r="M329" s="380" t="str">
        <f t="array" ref="M329">IF(L329="","",(MAX(IF(AN$15:AN$144=B329,AO$15:AO$144))/60))</f>
        <v/>
      </c>
      <c r="N329" s="387"/>
      <c r="O329" s="387"/>
      <c r="P329" s="381" t="str">
        <f t="shared" si="17"/>
        <v/>
      </c>
      <c r="Q329" s="382" t="str">
        <f t="array" ref="Q329">IFERROR(INDEX($D$13:$D$1000,MATCH(0,COUNTIF($Q$12:Q328,$D$13:$D$1000&amp;"")+IF($D$13:$D$1000="",1,0),0)),"")</f>
        <v/>
      </c>
      <c r="R329" s="356" t="str">
        <f t="shared" si="18"/>
        <v/>
      </c>
      <c r="S329" s="383" t="str">
        <f t="shared" si="20"/>
        <v/>
      </c>
      <c r="T329" s="384" t="str">
        <f t="shared" si="19"/>
        <v/>
      </c>
      <c r="U329" s="349"/>
      <c r="V329" s="385"/>
      <c r="W329" s="385"/>
      <c r="X329" s="386"/>
    </row>
    <row r="330" spans="2:24">
      <c r="B330" s="395"/>
      <c r="C330" s="371"/>
      <c r="D330" s="372" t="str">
        <f>IFERROR(INDEX('[12]Equipment List'!$B$2:$B$2038,MATCH(E330,'[12]Equipment List'!$A$2:$A$2038,0)),"")</f>
        <v/>
      </c>
      <c r="E330" s="388"/>
      <c r="F330" s="374"/>
      <c r="G330" s="375"/>
      <c r="H330" s="397"/>
      <c r="I330" s="377"/>
      <c r="J330" s="378"/>
      <c r="K330" s="379"/>
      <c r="L330" s="387"/>
      <c r="M330" s="380" t="str">
        <f t="array" ref="M330">IF(L330="","",(MAX(IF(AN$15:AN$144=B330,AO$15:AO$144))/60))</f>
        <v/>
      </c>
      <c r="N330" s="387"/>
      <c r="O330" s="387"/>
      <c r="P330" s="381" t="str">
        <f t="shared" si="17"/>
        <v/>
      </c>
      <c r="Q330" s="382" t="str">
        <f t="array" ref="Q330">IFERROR(INDEX($D$13:$D$1000,MATCH(0,COUNTIF($Q$12:Q329,$D$13:$D$1000&amp;"")+IF($D$13:$D$1000="",1,0),0)),"")</f>
        <v/>
      </c>
      <c r="R330" s="356" t="str">
        <f t="shared" si="18"/>
        <v/>
      </c>
      <c r="S330" s="383" t="str">
        <f t="shared" si="20"/>
        <v/>
      </c>
      <c r="T330" s="384" t="str">
        <f t="shared" si="19"/>
        <v/>
      </c>
      <c r="U330" s="349"/>
      <c r="V330" s="385"/>
      <c r="W330" s="385"/>
      <c r="X330" s="386"/>
    </row>
    <row r="331" spans="2:24">
      <c r="B331" s="395"/>
      <c r="C331" s="371"/>
      <c r="D331" s="372" t="str">
        <f>IFERROR(INDEX('[12]Equipment List'!$B$2:$B$2038,MATCH(E331,'[12]Equipment List'!$A$2:$A$2038,0)),"")</f>
        <v/>
      </c>
      <c r="E331" s="388"/>
      <c r="F331" s="374"/>
      <c r="G331" s="375"/>
      <c r="H331" s="397"/>
      <c r="I331" s="377"/>
      <c r="J331" s="378"/>
      <c r="K331" s="379"/>
      <c r="L331" s="387"/>
      <c r="M331" s="380" t="str">
        <f t="array" ref="M331">IF(L331="","",(MAX(IF(AN$15:AN$144=B331,AO$15:AO$144))/60))</f>
        <v/>
      </c>
      <c r="N331" s="387"/>
      <c r="O331" s="387"/>
      <c r="P331" s="381" t="str">
        <f t="shared" si="17"/>
        <v/>
      </c>
      <c r="Q331" s="382" t="str">
        <f t="array" ref="Q331">IFERROR(INDEX($D$13:$D$1000,MATCH(0,COUNTIF($Q$12:Q330,$D$13:$D$1000&amp;"")+IF($D$13:$D$1000="",1,0),0)),"")</f>
        <v/>
      </c>
      <c r="R331" s="356" t="str">
        <f t="shared" si="18"/>
        <v/>
      </c>
      <c r="S331" s="383" t="str">
        <f t="shared" si="20"/>
        <v/>
      </c>
      <c r="T331" s="384" t="str">
        <f t="shared" si="19"/>
        <v/>
      </c>
      <c r="U331" s="349"/>
      <c r="V331" s="385"/>
      <c r="W331" s="385"/>
      <c r="X331" s="386"/>
    </row>
    <row r="332" spans="2:24">
      <c r="B332" s="395"/>
      <c r="C332" s="371"/>
      <c r="D332" s="372" t="str">
        <f>IFERROR(INDEX('[12]Equipment List'!$B$2:$B$2038,MATCH(E332,'[12]Equipment List'!$A$2:$A$2038,0)),"")</f>
        <v/>
      </c>
      <c r="E332" s="388"/>
      <c r="F332" s="374"/>
      <c r="G332" s="375"/>
      <c r="H332" s="397"/>
      <c r="I332" s="377"/>
      <c r="J332" s="378"/>
      <c r="K332" s="379"/>
      <c r="L332" s="387"/>
      <c r="M332" s="380" t="str">
        <f t="array" ref="M332">IF(L332="","",(MAX(IF(AN$15:AN$144=B332,AO$15:AO$144))/60))</f>
        <v/>
      </c>
      <c r="N332" s="387"/>
      <c r="O332" s="387"/>
      <c r="P332" s="381" t="str">
        <f t="shared" ref="P332:P395" si="21">IFERROR((((K332/5/250/$F$8)+(N332*$F$9))/$S$4)*(M332/60),"")</f>
        <v/>
      </c>
      <c r="Q332" s="382" t="str">
        <f t="array" ref="Q332">IFERROR(INDEX($D$13:$D$1000,MATCH(0,COUNTIF($Q$12:Q331,$D$13:$D$1000&amp;"")+IF($D$13:$D$1000="",1,0),0)),"")</f>
        <v/>
      </c>
      <c r="R332" s="356" t="str">
        <f t="shared" si="18"/>
        <v/>
      </c>
      <c r="S332" s="383" t="str">
        <f t="shared" si="20"/>
        <v/>
      </c>
      <c r="T332" s="384" t="str">
        <f t="shared" si="19"/>
        <v/>
      </c>
      <c r="U332" s="349"/>
      <c r="V332" s="385"/>
      <c r="W332" s="385"/>
      <c r="X332" s="386"/>
    </row>
    <row r="333" spans="2:24">
      <c r="B333" s="395"/>
      <c r="C333" s="371"/>
      <c r="D333" s="372" t="str">
        <f>IFERROR(INDEX('[12]Equipment List'!$B$2:$B$2038,MATCH(E333,'[12]Equipment List'!$A$2:$A$2038,0)),"")</f>
        <v/>
      </c>
      <c r="E333" s="388"/>
      <c r="F333" s="374"/>
      <c r="G333" s="375"/>
      <c r="H333" s="397"/>
      <c r="I333" s="377"/>
      <c r="J333" s="378"/>
      <c r="K333" s="379"/>
      <c r="L333" s="387"/>
      <c r="M333" s="380" t="str">
        <f t="array" ref="M333">IF(L333="","",(MAX(IF(AN$15:AN$144=B333,AO$15:AO$144))/60))</f>
        <v/>
      </c>
      <c r="N333" s="387"/>
      <c r="O333" s="387"/>
      <c r="P333" s="381" t="str">
        <f t="shared" si="21"/>
        <v/>
      </c>
      <c r="Q333" s="382" t="str">
        <f t="array" ref="Q333">IFERROR(INDEX($D$13:$D$1000,MATCH(0,COUNTIF($Q$12:Q332,$D$13:$D$1000&amp;"")+IF($D$13:$D$1000="",1,0),0)),"")</f>
        <v/>
      </c>
      <c r="R333" s="356" t="str">
        <f t="shared" ref="R333:R396" si="22">IF(Q333="","",COUNTIF($D$13:$D$1000,$Q333))</f>
        <v/>
      </c>
      <c r="S333" s="383" t="str">
        <f t="shared" si="20"/>
        <v/>
      </c>
      <c r="T333" s="384" t="str">
        <f t="shared" ref="T333:T396" si="23">IF($Q333="","",SUMIF($D$13:$D$1000,$Q333,N$13:N$1000))</f>
        <v/>
      </c>
      <c r="U333" s="349"/>
      <c r="V333" s="385"/>
      <c r="W333" s="385"/>
      <c r="X333" s="386"/>
    </row>
    <row r="334" spans="2:24">
      <c r="B334" s="395"/>
      <c r="C334" s="371"/>
      <c r="D334" s="372" t="str">
        <f>IFERROR(INDEX('[12]Equipment List'!$B$2:$B$2038,MATCH(E334,'[12]Equipment List'!$A$2:$A$2038,0)),"")</f>
        <v/>
      </c>
      <c r="E334" s="388"/>
      <c r="F334" s="374"/>
      <c r="G334" s="375"/>
      <c r="H334" s="397"/>
      <c r="I334" s="377"/>
      <c r="J334" s="378"/>
      <c r="K334" s="379"/>
      <c r="L334" s="387"/>
      <c r="M334" s="380" t="str">
        <f t="array" ref="M334">IF(L334="","",(MAX(IF(AN$15:AN$144=B334,AO$15:AO$144))/60))</f>
        <v/>
      </c>
      <c r="N334" s="387"/>
      <c r="O334" s="387"/>
      <c r="P334" s="381" t="str">
        <f t="shared" si="21"/>
        <v/>
      </c>
      <c r="Q334" s="382" t="str">
        <f t="array" ref="Q334">IFERROR(INDEX($D$13:$D$1000,MATCH(0,COUNTIF($Q$12:Q333,$D$13:$D$1000&amp;"")+IF($D$13:$D$1000="",1,0),0)),"")</f>
        <v/>
      </c>
      <c r="R334" s="356" t="str">
        <f t="shared" si="22"/>
        <v/>
      </c>
      <c r="S334" s="383" t="str">
        <f t="shared" si="20"/>
        <v/>
      </c>
      <c r="T334" s="384" t="str">
        <f t="shared" si="23"/>
        <v/>
      </c>
      <c r="U334" s="349"/>
      <c r="V334" s="385"/>
      <c r="W334" s="385"/>
      <c r="X334" s="386"/>
    </row>
    <row r="335" spans="2:24">
      <c r="B335" s="395"/>
      <c r="C335" s="371"/>
      <c r="D335" s="372" t="str">
        <f>IFERROR(INDEX('[12]Equipment List'!$B$2:$B$2038,MATCH(E335,'[12]Equipment List'!$A$2:$A$2038,0)),"")</f>
        <v/>
      </c>
      <c r="E335" s="388"/>
      <c r="F335" s="374"/>
      <c r="G335" s="375"/>
      <c r="H335" s="397"/>
      <c r="I335" s="377"/>
      <c r="J335" s="378"/>
      <c r="K335" s="379"/>
      <c r="L335" s="387"/>
      <c r="M335" s="380" t="str">
        <f t="array" ref="M335">IF(L335="","",(MAX(IF(AN$15:AN$144=B335,AO$15:AO$144))/60))</f>
        <v/>
      </c>
      <c r="N335" s="387"/>
      <c r="O335" s="387"/>
      <c r="P335" s="381" t="str">
        <f t="shared" si="21"/>
        <v/>
      </c>
      <c r="Q335" s="382" t="str">
        <f t="array" ref="Q335">IFERROR(INDEX($D$13:$D$1000,MATCH(0,COUNTIF($Q$12:Q334,$D$13:$D$1000&amp;"")+IF($D$13:$D$1000="",1,0),0)),"")</f>
        <v/>
      </c>
      <c r="R335" s="356" t="str">
        <f t="shared" si="22"/>
        <v/>
      </c>
      <c r="S335" s="383" t="str">
        <f t="shared" si="20"/>
        <v/>
      </c>
      <c r="T335" s="384" t="str">
        <f t="shared" si="23"/>
        <v/>
      </c>
      <c r="U335" s="349"/>
      <c r="V335" s="385"/>
      <c r="W335" s="385"/>
      <c r="X335" s="386"/>
    </row>
    <row r="336" spans="2:24">
      <c r="B336" s="395"/>
      <c r="C336" s="371"/>
      <c r="D336" s="372" t="str">
        <f>IFERROR(INDEX('[12]Equipment List'!$B$2:$B$2038,MATCH(E336,'[12]Equipment List'!$A$2:$A$2038,0)),"")</f>
        <v/>
      </c>
      <c r="E336" s="388"/>
      <c r="F336" s="374"/>
      <c r="G336" s="375"/>
      <c r="H336" s="397"/>
      <c r="I336" s="377"/>
      <c r="J336" s="378"/>
      <c r="K336" s="379"/>
      <c r="L336" s="387"/>
      <c r="M336" s="380" t="str">
        <f t="array" ref="M336">IF(L336="","",(MAX(IF(AN$15:AN$144=B336,AO$15:AO$144))/60))</f>
        <v/>
      </c>
      <c r="N336" s="387"/>
      <c r="O336" s="387"/>
      <c r="P336" s="381" t="str">
        <f t="shared" si="21"/>
        <v/>
      </c>
      <c r="Q336" s="382" t="str">
        <f t="array" ref="Q336">IFERROR(INDEX($D$13:$D$1000,MATCH(0,COUNTIF($Q$12:Q335,$D$13:$D$1000&amp;"")+IF($D$13:$D$1000="",1,0),0)),"")</f>
        <v/>
      </c>
      <c r="R336" s="356" t="str">
        <f t="shared" si="22"/>
        <v/>
      </c>
      <c r="S336" s="383" t="str">
        <f t="shared" si="20"/>
        <v/>
      </c>
      <c r="T336" s="384" t="str">
        <f t="shared" si="23"/>
        <v/>
      </c>
      <c r="U336" s="349"/>
      <c r="V336" s="385"/>
      <c r="W336" s="385"/>
      <c r="X336" s="386"/>
    </row>
    <row r="337" spans="2:24">
      <c r="B337" s="395"/>
      <c r="C337" s="371"/>
      <c r="D337" s="372" t="str">
        <f>IFERROR(INDEX('[12]Equipment List'!$B$2:$B$2038,MATCH(E337,'[12]Equipment List'!$A$2:$A$2038,0)),"")</f>
        <v/>
      </c>
      <c r="E337" s="388"/>
      <c r="F337" s="374"/>
      <c r="G337" s="375"/>
      <c r="H337" s="397"/>
      <c r="I337" s="377"/>
      <c r="J337" s="378"/>
      <c r="K337" s="379"/>
      <c r="L337" s="387"/>
      <c r="M337" s="380" t="str">
        <f t="array" ref="M337">IF(L337="","",(MAX(IF(AN$15:AN$144=B337,AO$15:AO$144))/60))</f>
        <v/>
      </c>
      <c r="N337" s="387"/>
      <c r="O337" s="387"/>
      <c r="P337" s="381" t="str">
        <f t="shared" si="21"/>
        <v/>
      </c>
      <c r="Q337" s="382" t="str">
        <f t="array" ref="Q337">IFERROR(INDEX($D$13:$D$1000,MATCH(0,COUNTIF($Q$12:Q336,$D$13:$D$1000&amp;"")+IF($D$13:$D$1000="",1,0),0)),"")</f>
        <v/>
      </c>
      <c r="R337" s="356" t="str">
        <f t="shared" si="22"/>
        <v/>
      </c>
      <c r="S337" s="383" t="str">
        <f t="shared" si="20"/>
        <v/>
      </c>
      <c r="T337" s="384" t="str">
        <f t="shared" si="23"/>
        <v/>
      </c>
      <c r="U337" s="349"/>
      <c r="V337" s="385"/>
      <c r="W337" s="385"/>
      <c r="X337" s="386"/>
    </row>
    <row r="338" spans="2:24">
      <c r="B338" s="395"/>
      <c r="C338" s="371"/>
      <c r="D338" s="372" t="str">
        <f>IFERROR(INDEX('[12]Equipment List'!$B$2:$B$2038,MATCH(E338,'[12]Equipment List'!$A$2:$A$2038,0)),"")</f>
        <v/>
      </c>
      <c r="E338" s="388"/>
      <c r="F338" s="374"/>
      <c r="G338" s="375"/>
      <c r="H338" s="397"/>
      <c r="I338" s="377"/>
      <c r="J338" s="378"/>
      <c r="K338" s="379"/>
      <c r="L338" s="387"/>
      <c r="M338" s="380" t="str">
        <f t="array" ref="M338">IF(L338="","",(MAX(IF(AN$15:AN$144=B338,AO$15:AO$144))/60))</f>
        <v/>
      </c>
      <c r="N338" s="387"/>
      <c r="O338" s="387"/>
      <c r="P338" s="381" t="str">
        <f t="shared" si="21"/>
        <v/>
      </c>
      <c r="Q338" s="382" t="str">
        <f t="array" ref="Q338">IFERROR(INDEX($D$13:$D$1000,MATCH(0,COUNTIF($Q$12:Q337,$D$13:$D$1000&amp;"")+IF($D$13:$D$1000="",1,0),0)),"")</f>
        <v/>
      </c>
      <c r="R338" s="356" t="str">
        <f t="shared" si="22"/>
        <v/>
      </c>
      <c r="S338" s="383" t="str">
        <f t="shared" si="20"/>
        <v/>
      </c>
      <c r="T338" s="384" t="str">
        <f t="shared" si="23"/>
        <v/>
      </c>
      <c r="U338" s="349"/>
      <c r="V338" s="385"/>
      <c r="W338" s="385"/>
      <c r="X338" s="386"/>
    </row>
    <row r="339" spans="2:24">
      <c r="B339" s="395"/>
      <c r="C339" s="371"/>
      <c r="D339" s="372" t="str">
        <f>IFERROR(INDEX('[12]Equipment List'!$B$2:$B$2038,MATCH(E339,'[12]Equipment List'!$A$2:$A$2038,0)),"")</f>
        <v/>
      </c>
      <c r="E339" s="388"/>
      <c r="F339" s="374"/>
      <c r="G339" s="375"/>
      <c r="H339" s="397"/>
      <c r="I339" s="377"/>
      <c r="J339" s="378"/>
      <c r="K339" s="379"/>
      <c r="L339" s="387"/>
      <c r="M339" s="380" t="str">
        <f t="array" ref="M339">IF(L339="","",(MAX(IF(AN$15:AN$144=B339,AO$15:AO$144))/60))</f>
        <v/>
      </c>
      <c r="N339" s="387"/>
      <c r="O339" s="387"/>
      <c r="P339" s="381" t="str">
        <f t="shared" si="21"/>
        <v/>
      </c>
      <c r="Q339" s="382" t="str">
        <f t="array" ref="Q339">IFERROR(INDEX($D$13:$D$1000,MATCH(0,COUNTIF($Q$12:Q338,$D$13:$D$1000&amp;"")+IF($D$13:$D$1000="",1,0),0)),"")</f>
        <v/>
      </c>
      <c r="R339" s="356" t="str">
        <f t="shared" si="22"/>
        <v/>
      </c>
      <c r="S339" s="383" t="str">
        <f t="shared" si="20"/>
        <v/>
      </c>
      <c r="T339" s="384" t="str">
        <f t="shared" si="23"/>
        <v/>
      </c>
      <c r="U339" s="349"/>
      <c r="V339" s="385"/>
      <c r="W339" s="385"/>
      <c r="X339" s="386"/>
    </row>
    <row r="340" spans="2:24">
      <c r="B340" s="395"/>
      <c r="C340" s="371"/>
      <c r="D340" s="372" t="str">
        <f>IFERROR(INDEX('[12]Equipment List'!$B$2:$B$2038,MATCH(E340,'[12]Equipment List'!$A$2:$A$2038,0)),"")</f>
        <v/>
      </c>
      <c r="E340" s="388"/>
      <c r="F340" s="374"/>
      <c r="G340" s="375"/>
      <c r="H340" s="397"/>
      <c r="I340" s="377"/>
      <c r="J340" s="378"/>
      <c r="K340" s="379"/>
      <c r="L340" s="387"/>
      <c r="M340" s="380" t="str">
        <f t="array" ref="M340">IF(L340="","",(MAX(IF(AN$15:AN$144=B340,AO$15:AO$144))/60))</f>
        <v/>
      </c>
      <c r="N340" s="387"/>
      <c r="O340" s="387"/>
      <c r="P340" s="381" t="str">
        <f t="shared" si="21"/>
        <v/>
      </c>
      <c r="Q340" s="382" t="str">
        <f t="array" ref="Q340">IFERROR(INDEX($D$13:$D$1000,MATCH(0,COUNTIF($Q$12:Q339,$D$13:$D$1000&amp;"")+IF($D$13:$D$1000="",1,0),0)),"")</f>
        <v/>
      </c>
      <c r="R340" s="356" t="str">
        <f t="shared" si="22"/>
        <v/>
      </c>
      <c r="S340" s="383" t="str">
        <f t="shared" si="20"/>
        <v/>
      </c>
      <c r="T340" s="384" t="str">
        <f t="shared" si="23"/>
        <v/>
      </c>
      <c r="U340" s="349"/>
      <c r="V340" s="385"/>
      <c r="W340" s="385"/>
      <c r="X340" s="386"/>
    </row>
    <row r="341" spans="2:24">
      <c r="B341" s="395"/>
      <c r="C341" s="371"/>
      <c r="D341" s="372" t="str">
        <f>IFERROR(INDEX('[12]Equipment List'!$B$2:$B$2038,MATCH(E341,'[12]Equipment List'!$A$2:$A$2038,0)),"")</f>
        <v/>
      </c>
      <c r="E341" s="388"/>
      <c r="F341" s="374"/>
      <c r="G341" s="375"/>
      <c r="H341" s="397"/>
      <c r="I341" s="377"/>
      <c r="J341" s="378"/>
      <c r="K341" s="379"/>
      <c r="L341" s="387"/>
      <c r="M341" s="380" t="str">
        <f t="array" ref="M341">IF(L341="","",(MAX(IF(AN$15:AN$144=B341,AO$15:AO$144))/60))</f>
        <v/>
      </c>
      <c r="N341" s="387"/>
      <c r="O341" s="387"/>
      <c r="P341" s="381" t="str">
        <f t="shared" si="21"/>
        <v/>
      </c>
      <c r="Q341" s="382" t="str">
        <f t="array" ref="Q341">IFERROR(INDEX($D$13:$D$1000,MATCH(0,COUNTIF($Q$12:Q340,$D$13:$D$1000&amp;"")+IF($D$13:$D$1000="",1,0),0)),"")</f>
        <v/>
      </c>
      <c r="R341" s="356" t="str">
        <f t="shared" si="22"/>
        <v/>
      </c>
      <c r="S341" s="383" t="str">
        <f t="shared" si="20"/>
        <v/>
      </c>
      <c r="T341" s="384" t="str">
        <f t="shared" si="23"/>
        <v/>
      </c>
      <c r="U341" s="349"/>
      <c r="V341" s="385"/>
      <c r="W341" s="385"/>
      <c r="X341" s="386"/>
    </row>
    <row r="342" spans="2:24">
      <c r="B342" s="395"/>
      <c r="C342" s="371"/>
      <c r="D342" s="372" t="str">
        <f>IFERROR(INDEX('[12]Equipment List'!$B$2:$B$2038,MATCH(E342,'[12]Equipment List'!$A$2:$A$2038,0)),"")</f>
        <v/>
      </c>
      <c r="E342" s="388"/>
      <c r="F342" s="374"/>
      <c r="G342" s="375"/>
      <c r="H342" s="397"/>
      <c r="I342" s="377"/>
      <c r="J342" s="378"/>
      <c r="K342" s="379"/>
      <c r="L342" s="387"/>
      <c r="M342" s="380" t="str">
        <f t="array" ref="M342">IF(L342="","",(MAX(IF(AN$15:AN$144=B342,AO$15:AO$144))/60))</f>
        <v/>
      </c>
      <c r="N342" s="387"/>
      <c r="O342" s="387"/>
      <c r="P342" s="381" t="str">
        <f t="shared" si="21"/>
        <v/>
      </c>
      <c r="Q342" s="382" t="str">
        <f t="array" ref="Q342">IFERROR(INDEX($D$13:$D$1000,MATCH(0,COUNTIF($Q$12:Q341,$D$13:$D$1000&amp;"")+IF($D$13:$D$1000="",1,0),0)),"")</f>
        <v/>
      </c>
      <c r="R342" s="356" t="str">
        <f t="shared" si="22"/>
        <v/>
      </c>
      <c r="S342" s="383" t="str">
        <f t="shared" si="20"/>
        <v/>
      </c>
      <c r="T342" s="384" t="str">
        <f t="shared" si="23"/>
        <v/>
      </c>
      <c r="U342" s="349"/>
      <c r="V342" s="385"/>
      <c r="W342" s="385"/>
      <c r="X342" s="386"/>
    </row>
    <row r="343" spans="2:24">
      <c r="B343" s="395"/>
      <c r="C343" s="371"/>
      <c r="D343" s="372" t="str">
        <f>IFERROR(INDEX('[12]Equipment List'!$B$2:$B$2038,MATCH(E343,'[12]Equipment List'!$A$2:$A$2038,0)),"")</f>
        <v/>
      </c>
      <c r="E343" s="388"/>
      <c r="F343" s="374"/>
      <c r="G343" s="375"/>
      <c r="H343" s="397"/>
      <c r="I343" s="377"/>
      <c r="J343" s="378"/>
      <c r="K343" s="379"/>
      <c r="L343" s="387"/>
      <c r="M343" s="380" t="str">
        <f t="array" ref="M343">IF(L343="","",(MAX(IF(AN$15:AN$144=B343,AO$15:AO$144))/60))</f>
        <v/>
      </c>
      <c r="N343" s="387"/>
      <c r="O343" s="387"/>
      <c r="P343" s="381" t="str">
        <f t="shared" si="21"/>
        <v/>
      </c>
      <c r="Q343" s="382" t="str">
        <f t="array" ref="Q343">IFERROR(INDEX($D$13:$D$1000,MATCH(0,COUNTIF($Q$12:Q342,$D$13:$D$1000&amp;"")+IF($D$13:$D$1000="",1,0),0)),"")</f>
        <v/>
      </c>
      <c r="R343" s="356" t="str">
        <f t="shared" si="22"/>
        <v/>
      </c>
      <c r="S343" s="383" t="str">
        <f t="shared" si="20"/>
        <v/>
      </c>
      <c r="T343" s="384" t="str">
        <f t="shared" si="23"/>
        <v/>
      </c>
      <c r="U343" s="349"/>
      <c r="V343" s="385"/>
      <c r="W343" s="385"/>
      <c r="X343" s="386"/>
    </row>
    <row r="344" spans="2:24">
      <c r="B344" s="395"/>
      <c r="C344" s="371"/>
      <c r="D344" s="372" t="str">
        <f>IFERROR(INDEX('[12]Equipment List'!$B$2:$B$2038,MATCH(E344,'[12]Equipment List'!$A$2:$A$2038,0)),"")</f>
        <v/>
      </c>
      <c r="E344" s="388"/>
      <c r="F344" s="374"/>
      <c r="G344" s="375"/>
      <c r="H344" s="397"/>
      <c r="I344" s="377"/>
      <c r="J344" s="378"/>
      <c r="K344" s="379"/>
      <c r="L344" s="387"/>
      <c r="M344" s="380" t="str">
        <f t="array" ref="M344">IF(L344="","",(MAX(IF(AN$15:AN$144=B344,AO$15:AO$144))/60))</f>
        <v/>
      </c>
      <c r="N344" s="387"/>
      <c r="O344" s="387"/>
      <c r="P344" s="381" t="str">
        <f t="shared" si="21"/>
        <v/>
      </c>
      <c r="Q344" s="382" t="str">
        <f t="array" ref="Q344">IFERROR(INDEX($D$13:$D$1000,MATCH(0,COUNTIF($Q$12:Q343,$D$13:$D$1000&amp;"")+IF($D$13:$D$1000="",1,0),0)),"")</f>
        <v/>
      </c>
      <c r="R344" s="356" t="str">
        <f t="shared" si="22"/>
        <v/>
      </c>
      <c r="S344" s="383" t="str">
        <f t="shared" si="20"/>
        <v/>
      </c>
      <c r="T344" s="384" t="str">
        <f t="shared" si="23"/>
        <v/>
      </c>
      <c r="U344" s="349"/>
      <c r="V344" s="385"/>
      <c r="W344" s="385"/>
      <c r="X344" s="386"/>
    </row>
    <row r="345" spans="2:24">
      <c r="B345" s="395"/>
      <c r="C345" s="371"/>
      <c r="D345" s="372" t="str">
        <f>IFERROR(INDEX('[12]Equipment List'!$B$2:$B$2038,MATCH(E345,'[12]Equipment List'!$A$2:$A$2038,0)),"")</f>
        <v/>
      </c>
      <c r="E345" s="388"/>
      <c r="F345" s="374"/>
      <c r="G345" s="375"/>
      <c r="H345" s="397"/>
      <c r="I345" s="377"/>
      <c r="J345" s="378"/>
      <c r="K345" s="379"/>
      <c r="L345" s="387"/>
      <c r="M345" s="380" t="str">
        <f t="array" ref="M345">IF(L345="","",(MAX(IF(AN$15:AN$144=B345,AO$15:AO$144))/60))</f>
        <v/>
      </c>
      <c r="N345" s="387"/>
      <c r="O345" s="387"/>
      <c r="P345" s="381" t="str">
        <f t="shared" si="21"/>
        <v/>
      </c>
      <c r="Q345" s="382" t="str">
        <f t="array" ref="Q345">IFERROR(INDEX($D$13:$D$1000,MATCH(0,COUNTIF($Q$12:Q344,$D$13:$D$1000&amp;"")+IF($D$13:$D$1000="",1,0),0)),"")</f>
        <v/>
      </c>
      <c r="R345" s="356" t="str">
        <f t="shared" si="22"/>
        <v/>
      </c>
      <c r="S345" s="383" t="str">
        <f t="shared" si="20"/>
        <v/>
      </c>
      <c r="T345" s="384" t="str">
        <f t="shared" si="23"/>
        <v/>
      </c>
      <c r="U345" s="349"/>
      <c r="V345" s="385"/>
      <c r="W345" s="385"/>
      <c r="X345" s="386"/>
    </row>
    <row r="346" spans="2:24">
      <c r="B346" s="395"/>
      <c r="C346" s="371"/>
      <c r="D346" s="372" t="str">
        <f>IFERROR(INDEX('[12]Equipment List'!$B$2:$B$2038,MATCH(E346,'[12]Equipment List'!$A$2:$A$2038,0)),"")</f>
        <v/>
      </c>
      <c r="E346" s="388"/>
      <c r="F346" s="374"/>
      <c r="G346" s="375"/>
      <c r="H346" s="397"/>
      <c r="I346" s="377"/>
      <c r="J346" s="378"/>
      <c r="K346" s="379"/>
      <c r="L346" s="387"/>
      <c r="M346" s="380" t="str">
        <f t="array" ref="M346">IF(L346="","",(MAX(IF(AN$15:AN$144=B346,AO$15:AO$144))/60))</f>
        <v/>
      </c>
      <c r="N346" s="387"/>
      <c r="O346" s="387"/>
      <c r="P346" s="381" t="str">
        <f t="shared" si="21"/>
        <v/>
      </c>
      <c r="Q346" s="382" t="str">
        <f t="array" ref="Q346">IFERROR(INDEX($D$13:$D$1000,MATCH(0,COUNTIF($Q$12:Q345,$D$13:$D$1000&amp;"")+IF($D$13:$D$1000="",1,0),0)),"")</f>
        <v/>
      </c>
      <c r="R346" s="356" t="str">
        <f t="shared" si="22"/>
        <v/>
      </c>
      <c r="S346" s="383" t="str">
        <f t="shared" si="20"/>
        <v/>
      </c>
      <c r="T346" s="384" t="str">
        <f t="shared" si="23"/>
        <v/>
      </c>
      <c r="U346" s="349"/>
      <c r="V346" s="385"/>
      <c r="W346" s="385"/>
      <c r="X346" s="386"/>
    </row>
    <row r="347" spans="2:24">
      <c r="B347" s="395"/>
      <c r="C347" s="371"/>
      <c r="D347" s="372" t="str">
        <f>IFERROR(INDEX('[12]Equipment List'!$B$2:$B$2038,MATCH(E347,'[12]Equipment List'!$A$2:$A$2038,0)),"")</f>
        <v/>
      </c>
      <c r="E347" s="388"/>
      <c r="F347" s="374"/>
      <c r="G347" s="375"/>
      <c r="H347" s="397"/>
      <c r="I347" s="377"/>
      <c r="J347" s="378"/>
      <c r="K347" s="379"/>
      <c r="L347" s="387"/>
      <c r="M347" s="380" t="str">
        <f t="array" ref="M347">IF(L347="","",(MAX(IF(AN$15:AN$144=B347,AO$15:AO$144))/60))</f>
        <v/>
      </c>
      <c r="N347" s="387"/>
      <c r="O347" s="387"/>
      <c r="P347" s="381" t="str">
        <f t="shared" si="21"/>
        <v/>
      </c>
      <c r="Q347" s="382" t="str">
        <f t="array" ref="Q347">IFERROR(INDEX($D$13:$D$1000,MATCH(0,COUNTIF($Q$12:Q346,$D$13:$D$1000&amp;"")+IF($D$13:$D$1000="",1,0),0)),"")</f>
        <v/>
      </c>
      <c r="R347" s="356" t="str">
        <f t="shared" si="22"/>
        <v/>
      </c>
      <c r="S347" s="383" t="str">
        <f t="shared" si="20"/>
        <v/>
      </c>
      <c r="T347" s="384" t="str">
        <f t="shared" si="23"/>
        <v/>
      </c>
      <c r="U347" s="349"/>
      <c r="V347" s="385"/>
      <c r="W347" s="385"/>
      <c r="X347" s="386"/>
    </row>
    <row r="348" spans="2:24">
      <c r="B348" s="395"/>
      <c r="C348" s="371"/>
      <c r="D348" s="372" t="str">
        <f>IFERROR(INDEX('[12]Equipment List'!$B$2:$B$2038,MATCH(E348,'[12]Equipment List'!$A$2:$A$2038,0)),"")</f>
        <v/>
      </c>
      <c r="E348" s="388"/>
      <c r="F348" s="374"/>
      <c r="G348" s="375"/>
      <c r="H348" s="397"/>
      <c r="I348" s="377"/>
      <c r="J348" s="378"/>
      <c r="K348" s="379"/>
      <c r="L348" s="387"/>
      <c r="M348" s="380" t="str">
        <f t="array" ref="M348">IF(L348="","",(MAX(IF(AN$15:AN$144=B348,AO$15:AO$144))/60))</f>
        <v/>
      </c>
      <c r="N348" s="387"/>
      <c r="O348" s="387"/>
      <c r="P348" s="381" t="str">
        <f t="shared" si="21"/>
        <v/>
      </c>
      <c r="Q348" s="382" t="str">
        <f t="array" ref="Q348">IFERROR(INDEX($D$13:$D$1000,MATCH(0,COUNTIF($Q$12:Q347,$D$13:$D$1000&amp;"")+IF($D$13:$D$1000="",1,0),0)),"")</f>
        <v/>
      </c>
      <c r="R348" s="356" t="str">
        <f t="shared" si="22"/>
        <v/>
      </c>
      <c r="S348" s="383" t="str">
        <f t="shared" si="20"/>
        <v/>
      </c>
      <c r="T348" s="384" t="str">
        <f t="shared" si="23"/>
        <v/>
      </c>
      <c r="U348" s="349"/>
      <c r="V348" s="385"/>
      <c r="W348" s="385"/>
      <c r="X348" s="386"/>
    </row>
    <row r="349" spans="2:24">
      <c r="B349" s="395"/>
      <c r="C349" s="371"/>
      <c r="D349" s="372" t="str">
        <f>IFERROR(INDEX('[12]Equipment List'!$B$2:$B$2038,MATCH(E349,'[12]Equipment List'!$A$2:$A$2038,0)),"")</f>
        <v/>
      </c>
      <c r="E349" s="388"/>
      <c r="F349" s="374"/>
      <c r="G349" s="375"/>
      <c r="H349" s="397"/>
      <c r="I349" s="377"/>
      <c r="J349" s="378"/>
      <c r="K349" s="379"/>
      <c r="L349" s="387"/>
      <c r="M349" s="380" t="str">
        <f t="array" ref="M349">IF(L349="","",(MAX(IF(AN$15:AN$144=B349,AO$15:AO$144))/60))</f>
        <v/>
      </c>
      <c r="N349" s="387"/>
      <c r="O349" s="387"/>
      <c r="P349" s="381" t="str">
        <f t="shared" si="21"/>
        <v/>
      </c>
      <c r="Q349" s="382" t="str">
        <f t="array" ref="Q349">IFERROR(INDEX($D$13:$D$1000,MATCH(0,COUNTIF($Q$12:Q348,$D$13:$D$1000&amp;"")+IF($D$13:$D$1000="",1,0),0)),"")</f>
        <v/>
      </c>
      <c r="R349" s="356" t="str">
        <f t="shared" si="22"/>
        <v/>
      </c>
      <c r="S349" s="383" t="str">
        <f t="shared" si="20"/>
        <v/>
      </c>
      <c r="T349" s="384" t="str">
        <f t="shared" si="23"/>
        <v/>
      </c>
      <c r="U349" s="349"/>
      <c r="V349" s="385"/>
      <c r="W349" s="385"/>
      <c r="X349" s="386"/>
    </row>
    <row r="350" spans="2:24">
      <c r="B350" s="395"/>
      <c r="C350" s="371"/>
      <c r="D350" s="372" t="str">
        <f>IFERROR(INDEX('[12]Equipment List'!$B$2:$B$2038,MATCH(E350,'[12]Equipment List'!$A$2:$A$2038,0)),"")</f>
        <v/>
      </c>
      <c r="E350" s="388"/>
      <c r="F350" s="374"/>
      <c r="G350" s="375"/>
      <c r="H350" s="397"/>
      <c r="I350" s="377"/>
      <c r="J350" s="378"/>
      <c r="K350" s="379"/>
      <c r="L350" s="387"/>
      <c r="M350" s="380" t="str">
        <f t="array" ref="M350">IF(L350="","",(MAX(IF(AN$15:AN$144=B350,AO$15:AO$144))/60))</f>
        <v/>
      </c>
      <c r="N350" s="387"/>
      <c r="O350" s="387"/>
      <c r="P350" s="381" t="str">
        <f t="shared" si="21"/>
        <v/>
      </c>
      <c r="Q350" s="382" t="str">
        <f t="array" ref="Q350">IFERROR(INDEX($D$13:$D$1000,MATCH(0,COUNTIF($Q$12:Q349,$D$13:$D$1000&amp;"")+IF($D$13:$D$1000="",1,0),0)),"")</f>
        <v/>
      </c>
      <c r="R350" s="356" t="str">
        <f t="shared" si="22"/>
        <v/>
      </c>
      <c r="S350" s="383" t="str">
        <f t="shared" si="20"/>
        <v/>
      </c>
      <c r="T350" s="384" t="str">
        <f t="shared" si="23"/>
        <v/>
      </c>
      <c r="U350" s="349"/>
      <c r="V350" s="385"/>
      <c r="W350" s="385"/>
      <c r="X350" s="386"/>
    </row>
    <row r="351" spans="2:24">
      <c r="B351" s="395"/>
      <c r="C351" s="371"/>
      <c r="D351" s="372" t="str">
        <f>IFERROR(INDEX('[12]Equipment List'!$B$2:$B$2038,MATCH(E351,'[12]Equipment List'!$A$2:$A$2038,0)),"")</f>
        <v/>
      </c>
      <c r="E351" s="388"/>
      <c r="F351" s="374"/>
      <c r="G351" s="375"/>
      <c r="H351" s="397"/>
      <c r="I351" s="377"/>
      <c r="J351" s="378"/>
      <c r="K351" s="379"/>
      <c r="L351" s="387"/>
      <c r="M351" s="380" t="str">
        <f t="array" ref="M351">IF(L351="","",(MAX(IF(AN$15:AN$144=B351,AO$15:AO$144))/60))</f>
        <v/>
      </c>
      <c r="N351" s="387"/>
      <c r="O351" s="387"/>
      <c r="P351" s="381" t="str">
        <f t="shared" si="21"/>
        <v/>
      </c>
      <c r="Q351" s="382" t="str">
        <f t="array" ref="Q351">IFERROR(INDEX($D$13:$D$1000,MATCH(0,COUNTIF($Q$12:Q350,$D$13:$D$1000&amp;"")+IF($D$13:$D$1000="",1,0),0)),"")</f>
        <v/>
      </c>
      <c r="R351" s="356" t="str">
        <f t="shared" si="22"/>
        <v/>
      </c>
      <c r="S351" s="383" t="str">
        <f t="shared" si="20"/>
        <v/>
      </c>
      <c r="T351" s="384" t="str">
        <f t="shared" si="23"/>
        <v/>
      </c>
      <c r="U351" s="349"/>
      <c r="V351" s="385"/>
      <c r="W351" s="385"/>
      <c r="X351" s="386"/>
    </row>
    <row r="352" spans="2:24">
      <c r="B352" s="395"/>
      <c r="C352" s="371"/>
      <c r="D352" s="372" t="str">
        <f>IFERROR(INDEX('[12]Equipment List'!$B$2:$B$2038,MATCH(E352,'[12]Equipment List'!$A$2:$A$2038,0)),"")</f>
        <v/>
      </c>
      <c r="E352" s="388"/>
      <c r="F352" s="374"/>
      <c r="G352" s="375"/>
      <c r="H352" s="397"/>
      <c r="I352" s="377"/>
      <c r="J352" s="378"/>
      <c r="K352" s="379"/>
      <c r="L352" s="387"/>
      <c r="M352" s="380" t="str">
        <f t="array" ref="M352">IF(L352="","",(MAX(IF(AN$15:AN$144=B352,AO$15:AO$144))/60))</f>
        <v/>
      </c>
      <c r="N352" s="387"/>
      <c r="O352" s="387"/>
      <c r="P352" s="381" t="str">
        <f t="shared" si="21"/>
        <v/>
      </c>
      <c r="Q352" s="382" t="str">
        <f t="array" ref="Q352">IFERROR(INDEX($D$13:$D$1000,MATCH(0,COUNTIF($Q$12:Q351,$D$13:$D$1000&amp;"")+IF($D$13:$D$1000="",1,0),0)),"")</f>
        <v/>
      </c>
      <c r="R352" s="356" t="str">
        <f t="shared" si="22"/>
        <v/>
      </c>
      <c r="S352" s="383" t="str">
        <f t="shared" si="20"/>
        <v/>
      </c>
      <c r="T352" s="384" t="str">
        <f t="shared" si="23"/>
        <v/>
      </c>
      <c r="U352" s="349"/>
      <c r="V352" s="385"/>
      <c r="W352" s="385"/>
      <c r="X352" s="386"/>
    </row>
    <row r="353" spans="2:24">
      <c r="B353" s="395"/>
      <c r="C353" s="371"/>
      <c r="D353" s="372" t="str">
        <f>IFERROR(INDEX('[12]Equipment List'!$B$2:$B$2038,MATCH(E353,'[12]Equipment List'!$A$2:$A$2038,0)),"")</f>
        <v/>
      </c>
      <c r="E353" s="388"/>
      <c r="F353" s="374"/>
      <c r="G353" s="375"/>
      <c r="H353" s="397"/>
      <c r="I353" s="377"/>
      <c r="J353" s="378"/>
      <c r="K353" s="379"/>
      <c r="L353" s="387"/>
      <c r="M353" s="380" t="str">
        <f t="array" ref="M353">IF(L353="","",(MAX(IF(AN$15:AN$144=B353,AO$15:AO$144))/60))</f>
        <v/>
      </c>
      <c r="N353" s="387"/>
      <c r="O353" s="387"/>
      <c r="P353" s="381" t="str">
        <f t="shared" si="21"/>
        <v/>
      </c>
      <c r="Q353" s="382" t="str">
        <f t="array" ref="Q353">IFERROR(INDEX($D$13:$D$1000,MATCH(0,COUNTIF($Q$12:Q352,$D$13:$D$1000&amp;"")+IF($D$13:$D$1000="",1,0),0)),"")</f>
        <v/>
      </c>
      <c r="R353" s="356" t="str">
        <f t="shared" si="22"/>
        <v/>
      </c>
      <c r="S353" s="383" t="str">
        <f t="shared" si="20"/>
        <v/>
      </c>
      <c r="T353" s="384" t="str">
        <f t="shared" si="23"/>
        <v/>
      </c>
      <c r="U353" s="349"/>
      <c r="V353" s="385"/>
      <c r="W353" s="385"/>
      <c r="X353" s="386"/>
    </row>
    <row r="354" spans="2:24">
      <c r="B354" s="395"/>
      <c r="C354" s="371"/>
      <c r="D354" s="372" t="str">
        <f>IFERROR(INDEX('[12]Equipment List'!$B$2:$B$2038,MATCH(E354,'[12]Equipment List'!$A$2:$A$2038,0)),"")</f>
        <v/>
      </c>
      <c r="E354" s="388"/>
      <c r="F354" s="374"/>
      <c r="G354" s="375"/>
      <c r="H354" s="397"/>
      <c r="I354" s="377"/>
      <c r="J354" s="378"/>
      <c r="K354" s="379"/>
      <c r="L354" s="387"/>
      <c r="M354" s="380" t="str">
        <f t="array" ref="M354">IF(L354="","",(MAX(IF(AN$15:AN$144=B354,AO$15:AO$144))/60))</f>
        <v/>
      </c>
      <c r="N354" s="387"/>
      <c r="O354" s="387"/>
      <c r="P354" s="381" t="str">
        <f t="shared" si="21"/>
        <v/>
      </c>
      <c r="Q354" s="382" t="str">
        <f t="array" ref="Q354">IFERROR(INDEX($D$13:$D$1000,MATCH(0,COUNTIF($Q$12:Q353,$D$13:$D$1000&amp;"")+IF($D$13:$D$1000="",1,0),0)),"")</f>
        <v/>
      </c>
      <c r="R354" s="356" t="str">
        <f t="shared" si="22"/>
        <v/>
      </c>
      <c r="S354" s="383" t="str">
        <f t="shared" si="20"/>
        <v/>
      </c>
      <c r="T354" s="384" t="str">
        <f t="shared" si="23"/>
        <v/>
      </c>
      <c r="U354" s="349"/>
      <c r="V354" s="385"/>
      <c r="W354" s="385"/>
      <c r="X354" s="386"/>
    </row>
    <row r="355" spans="2:24">
      <c r="B355" s="395"/>
      <c r="C355" s="371"/>
      <c r="D355" s="372" t="str">
        <f>IFERROR(INDEX('[12]Equipment List'!$B$2:$B$2038,MATCH(E355,'[12]Equipment List'!$A$2:$A$2038,0)),"")</f>
        <v/>
      </c>
      <c r="E355" s="388"/>
      <c r="F355" s="374"/>
      <c r="G355" s="375"/>
      <c r="H355" s="397"/>
      <c r="I355" s="377"/>
      <c r="J355" s="378"/>
      <c r="K355" s="379"/>
      <c r="L355" s="387"/>
      <c r="M355" s="380" t="str">
        <f t="array" ref="M355">IF(L355="","",(MAX(IF(AN$15:AN$144=B355,AO$15:AO$144))/60))</f>
        <v/>
      </c>
      <c r="N355" s="387"/>
      <c r="O355" s="387"/>
      <c r="P355" s="381" t="str">
        <f t="shared" si="21"/>
        <v/>
      </c>
      <c r="Q355" s="382" t="str">
        <f t="array" ref="Q355">IFERROR(INDEX($D$13:$D$1000,MATCH(0,COUNTIF($Q$12:Q354,$D$13:$D$1000&amp;"")+IF($D$13:$D$1000="",1,0),0)),"")</f>
        <v/>
      </c>
      <c r="R355" s="356" t="str">
        <f t="shared" si="22"/>
        <v/>
      </c>
      <c r="S355" s="383" t="str">
        <f t="shared" si="20"/>
        <v/>
      </c>
      <c r="T355" s="384" t="str">
        <f t="shared" si="23"/>
        <v/>
      </c>
      <c r="U355" s="349"/>
      <c r="V355" s="385"/>
      <c r="W355" s="385"/>
      <c r="X355" s="386"/>
    </row>
    <row r="356" spans="2:24">
      <c r="B356" s="395"/>
      <c r="C356" s="371"/>
      <c r="D356" s="372" t="str">
        <f>IFERROR(INDEX('[12]Equipment List'!$B$2:$B$2038,MATCH(E356,'[12]Equipment List'!$A$2:$A$2038,0)),"")</f>
        <v/>
      </c>
      <c r="E356" s="388"/>
      <c r="F356" s="374"/>
      <c r="G356" s="375"/>
      <c r="H356" s="397"/>
      <c r="I356" s="377"/>
      <c r="J356" s="378"/>
      <c r="K356" s="379"/>
      <c r="L356" s="387"/>
      <c r="M356" s="380" t="str">
        <f t="array" ref="M356">IF(L356="","",(MAX(IF(AN$15:AN$144=B356,AO$15:AO$144))/60))</f>
        <v/>
      </c>
      <c r="N356" s="387"/>
      <c r="O356" s="387"/>
      <c r="P356" s="381" t="str">
        <f t="shared" si="21"/>
        <v/>
      </c>
      <c r="Q356" s="382" t="str">
        <f t="array" ref="Q356">IFERROR(INDEX($D$13:$D$1000,MATCH(0,COUNTIF($Q$12:Q355,$D$13:$D$1000&amp;"")+IF($D$13:$D$1000="",1,0),0)),"")</f>
        <v/>
      </c>
      <c r="R356" s="356" t="str">
        <f t="shared" si="22"/>
        <v/>
      </c>
      <c r="S356" s="383" t="str">
        <f t="shared" si="20"/>
        <v/>
      </c>
      <c r="T356" s="384" t="str">
        <f t="shared" si="23"/>
        <v/>
      </c>
      <c r="U356" s="349"/>
      <c r="V356" s="385"/>
      <c r="W356" s="385"/>
      <c r="X356" s="386"/>
    </row>
    <row r="357" spans="2:24">
      <c r="B357" s="395"/>
      <c r="C357" s="371"/>
      <c r="D357" s="372" t="str">
        <f>IFERROR(INDEX('[12]Equipment List'!$B$2:$B$2038,MATCH(E357,'[12]Equipment List'!$A$2:$A$2038,0)),"")</f>
        <v/>
      </c>
      <c r="E357" s="388"/>
      <c r="F357" s="374"/>
      <c r="G357" s="375"/>
      <c r="H357" s="397"/>
      <c r="I357" s="377"/>
      <c r="J357" s="378"/>
      <c r="K357" s="379"/>
      <c r="L357" s="387"/>
      <c r="M357" s="380" t="str">
        <f t="array" ref="M357">IF(L357="","",(MAX(IF(AN$15:AN$144=B357,AO$15:AO$144))/60))</f>
        <v/>
      </c>
      <c r="N357" s="387"/>
      <c r="O357" s="387"/>
      <c r="P357" s="381" t="str">
        <f t="shared" si="21"/>
        <v/>
      </c>
      <c r="Q357" s="382" t="str">
        <f t="array" ref="Q357">IFERROR(INDEX($D$13:$D$1000,MATCH(0,COUNTIF($Q$12:Q356,$D$13:$D$1000&amp;"")+IF($D$13:$D$1000="",1,0),0)),"")</f>
        <v/>
      </c>
      <c r="R357" s="356" t="str">
        <f t="shared" si="22"/>
        <v/>
      </c>
      <c r="S357" s="383" t="str">
        <f t="shared" si="20"/>
        <v/>
      </c>
      <c r="T357" s="384" t="str">
        <f t="shared" si="23"/>
        <v/>
      </c>
      <c r="U357" s="349"/>
      <c r="V357" s="385"/>
      <c r="W357" s="385"/>
      <c r="X357" s="386"/>
    </row>
    <row r="358" spans="2:24">
      <c r="B358" s="395"/>
      <c r="C358" s="371"/>
      <c r="D358" s="372" t="str">
        <f>IFERROR(INDEX('[12]Equipment List'!$B$2:$B$2038,MATCH(E358,'[12]Equipment List'!$A$2:$A$2038,0)),"")</f>
        <v/>
      </c>
      <c r="E358" s="388"/>
      <c r="F358" s="374"/>
      <c r="G358" s="375"/>
      <c r="H358" s="397"/>
      <c r="I358" s="377"/>
      <c r="J358" s="378"/>
      <c r="K358" s="379"/>
      <c r="L358" s="387"/>
      <c r="M358" s="380" t="str">
        <f t="array" ref="M358">IF(L358="","",(MAX(IF(AN$15:AN$144=B358,AO$15:AO$144))/60))</f>
        <v/>
      </c>
      <c r="N358" s="387"/>
      <c r="O358" s="387"/>
      <c r="P358" s="381" t="str">
        <f t="shared" si="21"/>
        <v/>
      </c>
      <c r="Q358" s="382" t="str">
        <f t="array" ref="Q358">IFERROR(INDEX($D$13:$D$1000,MATCH(0,COUNTIF($Q$12:Q357,$D$13:$D$1000&amp;"")+IF($D$13:$D$1000="",1,0),0)),"")</f>
        <v/>
      </c>
      <c r="R358" s="356" t="str">
        <f t="shared" si="22"/>
        <v/>
      </c>
      <c r="S358" s="383" t="str">
        <f t="shared" si="20"/>
        <v/>
      </c>
      <c r="T358" s="384" t="str">
        <f t="shared" si="23"/>
        <v/>
      </c>
      <c r="U358" s="349"/>
      <c r="V358" s="385"/>
      <c r="W358" s="385"/>
      <c r="X358" s="386"/>
    </row>
    <row r="359" spans="2:24">
      <c r="B359" s="395"/>
      <c r="C359" s="371"/>
      <c r="D359" s="372" t="str">
        <f>IFERROR(INDEX('[12]Equipment List'!$B$2:$B$2038,MATCH(E359,'[12]Equipment List'!$A$2:$A$2038,0)),"")</f>
        <v/>
      </c>
      <c r="E359" s="388"/>
      <c r="F359" s="374"/>
      <c r="G359" s="375"/>
      <c r="H359" s="397"/>
      <c r="I359" s="377"/>
      <c r="J359" s="378"/>
      <c r="K359" s="379"/>
      <c r="L359" s="387"/>
      <c r="M359" s="380" t="str">
        <f t="array" ref="M359">IF(L359="","",(MAX(IF(AN$15:AN$144=B359,AO$15:AO$144))/60))</f>
        <v/>
      </c>
      <c r="N359" s="387"/>
      <c r="O359" s="387"/>
      <c r="P359" s="381" t="str">
        <f t="shared" si="21"/>
        <v/>
      </c>
      <c r="Q359" s="382" t="str">
        <f t="array" ref="Q359">IFERROR(INDEX($D$13:$D$1000,MATCH(0,COUNTIF($Q$12:Q358,$D$13:$D$1000&amp;"")+IF($D$13:$D$1000="",1,0),0)),"")</f>
        <v/>
      </c>
      <c r="R359" s="356" t="str">
        <f t="shared" si="22"/>
        <v/>
      </c>
      <c r="S359" s="383" t="str">
        <f t="shared" si="20"/>
        <v/>
      </c>
      <c r="T359" s="384" t="str">
        <f t="shared" si="23"/>
        <v/>
      </c>
      <c r="U359" s="349"/>
      <c r="V359" s="385"/>
      <c r="W359" s="385"/>
      <c r="X359" s="386"/>
    </row>
    <row r="360" spans="2:24">
      <c r="B360" s="395"/>
      <c r="C360" s="371"/>
      <c r="D360" s="372" t="str">
        <f>IFERROR(INDEX('[12]Equipment List'!$B$2:$B$2038,MATCH(E360,'[12]Equipment List'!$A$2:$A$2038,0)),"")</f>
        <v/>
      </c>
      <c r="E360" s="388"/>
      <c r="F360" s="374"/>
      <c r="G360" s="375"/>
      <c r="H360" s="397"/>
      <c r="I360" s="377"/>
      <c r="J360" s="378"/>
      <c r="K360" s="379"/>
      <c r="L360" s="387"/>
      <c r="M360" s="380" t="str">
        <f t="array" ref="M360">IF(L360="","",(MAX(IF(AN$15:AN$144=B360,AO$15:AO$144))/60))</f>
        <v/>
      </c>
      <c r="N360" s="387"/>
      <c r="O360" s="387"/>
      <c r="P360" s="381" t="str">
        <f t="shared" si="21"/>
        <v/>
      </c>
      <c r="Q360" s="382" t="str">
        <f t="array" ref="Q360">IFERROR(INDEX($D$13:$D$1000,MATCH(0,COUNTIF($Q$12:Q359,$D$13:$D$1000&amp;"")+IF($D$13:$D$1000="",1,0),0)),"")</f>
        <v/>
      </c>
      <c r="R360" s="356" t="str">
        <f t="shared" si="22"/>
        <v/>
      </c>
      <c r="S360" s="383" t="str">
        <f t="shared" si="20"/>
        <v/>
      </c>
      <c r="T360" s="384" t="str">
        <f t="shared" si="23"/>
        <v/>
      </c>
      <c r="U360" s="349"/>
      <c r="V360" s="385"/>
      <c r="W360" s="385"/>
      <c r="X360" s="386"/>
    </row>
    <row r="361" spans="2:24">
      <c r="B361" s="395"/>
      <c r="C361" s="371"/>
      <c r="D361" s="372" t="str">
        <f>IFERROR(INDEX('[12]Equipment List'!$B$2:$B$2038,MATCH(E361,'[12]Equipment List'!$A$2:$A$2038,0)),"")</f>
        <v/>
      </c>
      <c r="E361" s="388"/>
      <c r="F361" s="374"/>
      <c r="G361" s="375"/>
      <c r="H361" s="397"/>
      <c r="I361" s="377"/>
      <c r="J361" s="378"/>
      <c r="K361" s="379"/>
      <c r="L361" s="387"/>
      <c r="M361" s="380" t="str">
        <f t="array" ref="M361">IF(L361="","",(MAX(IF(AN$15:AN$144=B361,AO$15:AO$144))/60))</f>
        <v/>
      </c>
      <c r="N361" s="387"/>
      <c r="O361" s="387"/>
      <c r="P361" s="381" t="str">
        <f t="shared" si="21"/>
        <v/>
      </c>
      <c r="Q361" s="382" t="str">
        <f t="array" ref="Q361">IFERROR(INDEX($D$13:$D$1000,MATCH(0,COUNTIF($Q$12:Q360,$D$13:$D$1000&amp;"")+IF($D$13:$D$1000="",1,0),0)),"")</f>
        <v/>
      </c>
      <c r="R361" s="356" t="str">
        <f t="shared" si="22"/>
        <v/>
      </c>
      <c r="S361" s="383" t="str">
        <f t="shared" si="20"/>
        <v/>
      </c>
      <c r="T361" s="384" t="str">
        <f t="shared" si="23"/>
        <v/>
      </c>
      <c r="U361" s="349"/>
      <c r="V361" s="385"/>
      <c r="W361" s="385"/>
      <c r="X361" s="386"/>
    </row>
    <row r="362" spans="2:24">
      <c r="B362" s="395"/>
      <c r="C362" s="371"/>
      <c r="D362" s="372" t="str">
        <f>IFERROR(INDEX('[12]Equipment List'!$B$2:$B$2038,MATCH(E362,'[12]Equipment List'!$A$2:$A$2038,0)),"")</f>
        <v/>
      </c>
      <c r="E362" s="388"/>
      <c r="F362" s="374"/>
      <c r="G362" s="375"/>
      <c r="H362" s="397"/>
      <c r="I362" s="377"/>
      <c r="J362" s="378"/>
      <c r="K362" s="379"/>
      <c r="L362" s="387"/>
      <c r="M362" s="380" t="str">
        <f t="array" ref="M362">IF(L362="","",(MAX(IF(AN$15:AN$144=B362,AO$15:AO$144))/60))</f>
        <v/>
      </c>
      <c r="N362" s="387"/>
      <c r="O362" s="387"/>
      <c r="P362" s="381" t="str">
        <f t="shared" si="21"/>
        <v/>
      </c>
      <c r="Q362" s="382" t="str">
        <f t="array" ref="Q362">IFERROR(INDEX($D$13:$D$1000,MATCH(0,COUNTIF($Q$12:Q361,$D$13:$D$1000&amp;"")+IF($D$13:$D$1000="",1,0),0)),"")</f>
        <v/>
      </c>
      <c r="R362" s="356" t="str">
        <f t="shared" si="22"/>
        <v/>
      </c>
      <c r="S362" s="383" t="str">
        <f t="shared" si="20"/>
        <v/>
      </c>
      <c r="T362" s="384" t="str">
        <f t="shared" si="23"/>
        <v/>
      </c>
      <c r="U362" s="349"/>
      <c r="V362" s="385"/>
      <c r="W362" s="385"/>
      <c r="X362" s="386"/>
    </row>
    <row r="363" spans="2:24">
      <c r="B363" s="395"/>
      <c r="C363" s="371"/>
      <c r="D363" s="372" t="str">
        <f>IFERROR(INDEX('[12]Equipment List'!$B$2:$B$2038,MATCH(E363,'[12]Equipment List'!$A$2:$A$2038,0)),"")</f>
        <v/>
      </c>
      <c r="E363" s="388"/>
      <c r="F363" s="374"/>
      <c r="G363" s="375"/>
      <c r="H363" s="397"/>
      <c r="I363" s="377"/>
      <c r="J363" s="378"/>
      <c r="K363" s="379"/>
      <c r="L363" s="387"/>
      <c r="M363" s="380" t="str">
        <f t="array" ref="M363">IF(L363="","",(MAX(IF(AN$15:AN$144=B363,AO$15:AO$144))/60))</f>
        <v/>
      </c>
      <c r="N363" s="387"/>
      <c r="O363" s="387"/>
      <c r="P363" s="381" t="str">
        <f t="shared" si="21"/>
        <v/>
      </c>
      <c r="Q363" s="382" t="str">
        <f t="array" ref="Q363">IFERROR(INDEX($D$13:$D$1000,MATCH(0,COUNTIF($Q$12:Q362,$D$13:$D$1000&amp;"")+IF($D$13:$D$1000="",1,0),0)),"")</f>
        <v/>
      </c>
      <c r="R363" s="356" t="str">
        <f t="shared" si="22"/>
        <v/>
      </c>
      <c r="S363" s="383" t="str">
        <f t="shared" ref="S363:S426" si="24">IF($Q363="","",SUMIF($D$13:$D$1000,$Q363,I$13:I$1000))</f>
        <v/>
      </c>
      <c r="T363" s="384" t="str">
        <f t="shared" si="23"/>
        <v/>
      </c>
      <c r="U363" s="349"/>
      <c r="V363" s="385"/>
      <c r="W363" s="385"/>
      <c r="X363" s="386"/>
    </row>
    <row r="364" spans="2:24">
      <c r="B364" s="395"/>
      <c r="C364" s="371"/>
      <c r="D364" s="372" t="str">
        <f>IFERROR(INDEX('[12]Equipment List'!$B$2:$B$2038,MATCH(E364,'[12]Equipment List'!$A$2:$A$2038,0)),"")</f>
        <v/>
      </c>
      <c r="E364" s="388"/>
      <c r="F364" s="374"/>
      <c r="G364" s="375"/>
      <c r="H364" s="397"/>
      <c r="I364" s="377"/>
      <c r="J364" s="378"/>
      <c r="K364" s="379"/>
      <c r="L364" s="387"/>
      <c r="M364" s="380" t="str">
        <f t="array" ref="M364">IF(L364="","",(MAX(IF(AN$15:AN$144=B364,AO$15:AO$144))/60))</f>
        <v/>
      </c>
      <c r="N364" s="387"/>
      <c r="O364" s="387"/>
      <c r="P364" s="381" t="str">
        <f t="shared" si="21"/>
        <v/>
      </c>
      <c r="Q364" s="382" t="str">
        <f t="array" ref="Q364">IFERROR(INDEX($D$13:$D$1000,MATCH(0,COUNTIF($Q$12:Q363,$D$13:$D$1000&amp;"")+IF($D$13:$D$1000="",1,0),0)),"")</f>
        <v/>
      </c>
      <c r="R364" s="356" t="str">
        <f t="shared" si="22"/>
        <v/>
      </c>
      <c r="S364" s="383" t="str">
        <f t="shared" si="24"/>
        <v/>
      </c>
      <c r="T364" s="384" t="str">
        <f t="shared" si="23"/>
        <v/>
      </c>
      <c r="U364" s="349"/>
      <c r="V364" s="385"/>
      <c r="W364" s="385"/>
      <c r="X364" s="386"/>
    </row>
    <row r="365" spans="2:24">
      <c r="B365" s="395"/>
      <c r="C365" s="371"/>
      <c r="D365" s="372" t="str">
        <f>IFERROR(INDEX('[12]Equipment List'!$B$2:$B$2038,MATCH(E365,'[12]Equipment List'!$A$2:$A$2038,0)),"")</f>
        <v/>
      </c>
      <c r="E365" s="388"/>
      <c r="F365" s="374"/>
      <c r="G365" s="375"/>
      <c r="H365" s="397"/>
      <c r="I365" s="377"/>
      <c r="J365" s="378"/>
      <c r="K365" s="379"/>
      <c r="L365" s="387"/>
      <c r="M365" s="380" t="str">
        <f t="array" ref="M365">IF(L365="","",(MAX(IF(AN$15:AN$144=B365,AO$15:AO$144))/60))</f>
        <v/>
      </c>
      <c r="N365" s="387"/>
      <c r="O365" s="387"/>
      <c r="P365" s="381" t="str">
        <f t="shared" si="21"/>
        <v/>
      </c>
      <c r="Q365" s="382" t="str">
        <f t="array" ref="Q365">IFERROR(INDEX($D$13:$D$1000,MATCH(0,COUNTIF($Q$12:Q364,$D$13:$D$1000&amp;"")+IF($D$13:$D$1000="",1,0),0)),"")</f>
        <v/>
      </c>
      <c r="R365" s="356" t="str">
        <f t="shared" si="22"/>
        <v/>
      </c>
      <c r="S365" s="383" t="str">
        <f t="shared" si="24"/>
        <v/>
      </c>
      <c r="T365" s="384" t="str">
        <f t="shared" si="23"/>
        <v/>
      </c>
      <c r="U365" s="349"/>
      <c r="V365" s="385"/>
      <c r="W365" s="385"/>
      <c r="X365" s="386"/>
    </row>
    <row r="366" spans="2:24">
      <c r="B366" s="395"/>
      <c r="C366" s="371"/>
      <c r="D366" s="372" t="str">
        <f>IFERROR(INDEX('[12]Equipment List'!$B$2:$B$2038,MATCH(E366,'[12]Equipment List'!$A$2:$A$2038,0)),"")</f>
        <v/>
      </c>
      <c r="E366" s="388"/>
      <c r="F366" s="374"/>
      <c r="G366" s="375"/>
      <c r="H366" s="397"/>
      <c r="I366" s="377"/>
      <c r="J366" s="378"/>
      <c r="K366" s="379"/>
      <c r="L366" s="387"/>
      <c r="M366" s="380" t="str">
        <f t="array" ref="M366">IF(L366="","",(MAX(IF(AN$15:AN$144=B366,AO$15:AO$144))/60))</f>
        <v/>
      </c>
      <c r="N366" s="387"/>
      <c r="O366" s="387"/>
      <c r="P366" s="381" t="str">
        <f t="shared" si="21"/>
        <v/>
      </c>
      <c r="Q366" s="382" t="str">
        <f t="array" ref="Q366">IFERROR(INDEX($D$13:$D$1000,MATCH(0,COUNTIF($Q$12:Q365,$D$13:$D$1000&amp;"")+IF($D$13:$D$1000="",1,0),0)),"")</f>
        <v/>
      </c>
      <c r="R366" s="356" t="str">
        <f t="shared" si="22"/>
        <v/>
      </c>
      <c r="S366" s="383" t="str">
        <f t="shared" si="24"/>
        <v/>
      </c>
      <c r="T366" s="384" t="str">
        <f t="shared" si="23"/>
        <v/>
      </c>
      <c r="U366" s="349"/>
      <c r="V366" s="385"/>
      <c r="W366" s="385"/>
      <c r="X366" s="386"/>
    </row>
    <row r="367" spans="2:24">
      <c r="B367" s="395"/>
      <c r="C367" s="371"/>
      <c r="D367" s="372" t="str">
        <f>IFERROR(INDEX('[12]Equipment List'!$B$2:$B$2038,MATCH(E367,'[12]Equipment List'!$A$2:$A$2038,0)),"")</f>
        <v/>
      </c>
      <c r="E367" s="388"/>
      <c r="F367" s="374"/>
      <c r="G367" s="375"/>
      <c r="H367" s="397"/>
      <c r="I367" s="377"/>
      <c r="J367" s="378"/>
      <c r="K367" s="379"/>
      <c r="L367" s="387"/>
      <c r="M367" s="380" t="str">
        <f t="array" ref="M367">IF(L367="","",(MAX(IF(AN$15:AN$144=B367,AO$15:AO$144))/60))</f>
        <v/>
      </c>
      <c r="N367" s="387"/>
      <c r="O367" s="387"/>
      <c r="P367" s="381" t="str">
        <f t="shared" si="21"/>
        <v/>
      </c>
      <c r="Q367" s="382" t="str">
        <f t="array" ref="Q367">IFERROR(INDEX($D$13:$D$1000,MATCH(0,COUNTIF($Q$12:Q366,$D$13:$D$1000&amp;"")+IF($D$13:$D$1000="",1,0),0)),"")</f>
        <v/>
      </c>
      <c r="R367" s="356" t="str">
        <f t="shared" si="22"/>
        <v/>
      </c>
      <c r="S367" s="383" t="str">
        <f t="shared" si="24"/>
        <v/>
      </c>
      <c r="T367" s="384" t="str">
        <f t="shared" si="23"/>
        <v/>
      </c>
      <c r="U367" s="349"/>
      <c r="V367" s="385"/>
      <c r="W367" s="385"/>
      <c r="X367" s="386"/>
    </row>
    <row r="368" spans="2:24">
      <c r="B368" s="395"/>
      <c r="C368" s="371"/>
      <c r="D368" s="372" t="str">
        <f>IFERROR(INDEX('[12]Equipment List'!$B$2:$B$2038,MATCH(E368,'[12]Equipment List'!$A$2:$A$2038,0)),"")</f>
        <v/>
      </c>
      <c r="E368" s="388"/>
      <c r="F368" s="374"/>
      <c r="G368" s="375"/>
      <c r="H368" s="397"/>
      <c r="I368" s="377"/>
      <c r="J368" s="378"/>
      <c r="K368" s="379"/>
      <c r="L368" s="387"/>
      <c r="M368" s="380" t="str">
        <f t="array" ref="M368">IF(L368="","",(MAX(IF(AN$15:AN$144=B368,AO$15:AO$144))/60))</f>
        <v/>
      </c>
      <c r="N368" s="387"/>
      <c r="O368" s="387"/>
      <c r="P368" s="381" t="str">
        <f t="shared" si="21"/>
        <v/>
      </c>
      <c r="Q368" s="382" t="str">
        <f t="array" ref="Q368">IFERROR(INDEX($D$13:$D$1000,MATCH(0,COUNTIF($Q$12:Q367,$D$13:$D$1000&amp;"")+IF($D$13:$D$1000="",1,0),0)),"")</f>
        <v/>
      </c>
      <c r="R368" s="356" t="str">
        <f t="shared" si="22"/>
        <v/>
      </c>
      <c r="S368" s="383" t="str">
        <f t="shared" si="24"/>
        <v/>
      </c>
      <c r="T368" s="384" t="str">
        <f t="shared" si="23"/>
        <v/>
      </c>
      <c r="U368" s="349"/>
      <c r="V368" s="385"/>
      <c r="W368" s="385"/>
      <c r="X368" s="386"/>
    </row>
    <row r="369" spans="2:24">
      <c r="B369" s="395"/>
      <c r="C369" s="371"/>
      <c r="D369" s="372" t="str">
        <f>IFERROR(INDEX('[12]Equipment List'!$B$2:$B$2038,MATCH(E369,'[12]Equipment List'!$A$2:$A$2038,0)),"")</f>
        <v/>
      </c>
      <c r="E369" s="388"/>
      <c r="F369" s="374"/>
      <c r="G369" s="375"/>
      <c r="H369" s="397"/>
      <c r="I369" s="377"/>
      <c r="J369" s="378"/>
      <c r="K369" s="379"/>
      <c r="L369" s="387"/>
      <c r="M369" s="380" t="str">
        <f t="array" ref="M369">IF(L369="","",(MAX(IF(AN$15:AN$144=B369,AO$15:AO$144))/60))</f>
        <v/>
      </c>
      <c r="N369" s="387"/>
      <c r="O369" s="387"/>
      <c r="P369" s="381" t="str">
        <f t="shared" si="21"/>
        <v/>
      </c>
      <c r="Q369" s="382" t="str">
        <f t="array" ref="Q369">IFERROR(INDEX($D$13:$D$1000,MATCH(0,COUNTIF($Q$12:Q368,$D$13:$D$1000&amp;"")+IF($D$13:$D$1000="",1,0),0)),"")</f>
        <v/>
      </c>
      <c r="R369" s="356" t="str">
        <f t="shared" si="22"/>
        <v/>
      </c>
      <c r="S369" s="383" t="str">
        <f t="shared" si="24"/>
        <v/>
      </c>
      <c r="T369" s="384" t="str">
        <f t="shared" si="23"/>
        <v/>
      </c>
      <c r="U369" s="349"/>
      <c r="V369" s="385"/>
      <c r="W369" s="385"/>
      <c r="X369" s="386"/>
    </row>
    <row r="370" spans="2:24">
      <c r="B370" s="395"/>
      <c r="C370" s="371"/>
      <c r="D370" s="372" t="str">
        <f>IFERROR(INDEX('[12]Equipment List'!$B$2:$B$2038,MATCH(E370,'[12]Equipment List'!$A$2:$A$2038,0)),"")</f>
        <v/>
      </c>
      <c r="E370" s="388"/>
      <c r="F370" s="374"/>
      <c r="G370" s="375"/>
      <c r="H370" s="397"/>
      <c r="I370" s="377"/>
      <c r="J370" s="378"/>
      <c r="K370" s="379"/>
      <c r="L370" s="387"/>
      <c r="M370" s="380" t="str">
        <f t="array" ref="M370">IF(L370="","",(MAX(IF(AN$15:AN$144=B370,AO$15:AO$144))/60))</f>
        <v/>
      </c>
      <c r="N370" s="387"/>
      <c r="O370" s="387"/>
      <c r="P370" s="381" t="str">
        <f t="shared" si="21"/>
        <v/>
      </c>
      <c r="Q370" s="382" t="str">
        <f t="array" ref="Q370">IFERROR(INDEX($D$13:$D$1000,MATCH(0,COUNTIF($Q$12:Q369,$D$13:$D$1000&amp;"")+IF($D$13:$D$1000="",1,0),0)),"")</f>
        <v/>
      </c>
      <c r="R370" s="356" t="str">
        <f t="shared" si="22"/>
        <v/>
      </c>
      <c r="S370" s="383" t="str">
        <f t="shared" si="24"/>
        <v/>
      </c>
      <c r="T370" s="384" t="str">
        <f t="shared" si="23"/>
        <v/>
      </c>
      <c r="U370" s="349"/>
      <c r="V370" s="385"/>
      <c r="W370" s="385"/>
      <c r="X370" s="386"/>
    </row>
    <row r="371" spans="2:24">
      <c r="B371" s="395"/>
      <c r="C371" s="371"/>
      <c r="D371" s="372" t="str">
        <f>IFERROR(INDEX('[12]Equipment List'!$B$2:$B$2038,MATCH(E371,'[12]Equipment List'!$A$2:$A$2038,0)),"")</f>
        <v/>
      </c>
      <c r="E371" s="388"/>
      <c r="F371" s="374"/>
      <c r="G371" s="375"/>
      <c r="H371" s="397"/>
      <c r="I371" s="377"/>
      <c r="J371" s="378"/>
      <c r="K371" s="379"/>
      <c r="L371" s="387"/>
      <c r="M371" s="380" t="str">
        <f t="array" ref="M371">IF(L371="","",(MAX(IF(AN$15:AN$144=B371,AO$15:AO$144))/60))</f>
        <v/>
      </c>
      <c r="N371" s="387"/>
      <c r="O371" s="387"/>
      <c r="P371" s="381" t="str">
        <f t="shared" si="21"/>
        <v/>
      </c>
      <c r="Q371" s="382" t="str">
        <f t="array" ref="Q371">IFERROR(INDEX($D$13:$D$1000,MATCH(0,COUNTIF($Q$12:Q370,$D$13:$D$1000&amp;"")+IF($D$13:$D$1000="",1,0),0)),"")</f>
        <v/>
      </c>
      <c r="R371" s="356" t="str">
        <f t="shared" si="22"/>
        <v/>
      </c>
      <c r="S371" s="383" t="str">
        <f t="shared" si="24"/>
        <v/>
      </c>
      <c r="T371" s="384" t="str">
        <f t="shared" si="23"/>
        <v/>
      </c>
      <c r="U371" s="349"/>
      <c r="V371" s="385"/>
      <c r="W371" s="385"/>
      <c r="X371" s="386"/>
    </row>
    <row r="372" spans="2:24">
      <c r="B372" s="395"/>
      <c r="C372" s="371"/>
      <c r="D372" s="372" t="str">
        <f>IFERROR(INDEX('[12]Equipment List'!$B$2:$B$2038,MATCH(E372,'[12]Equipment List'!$A$2:$A$2038,0)),"")</f>
        <v/>
      </c>
      <c r="E372" s="388"/>
      <c r="F372" s="374"/>
      <c r="G372" s="375"/>
      <c r="H372" s="397"/>
      <c r="I372" s="377"/>
      <c r="J372" s="378"/>
      <c r="K372" s="379"/>
      <c r="L372" s="387"/>
      <c r="M372" s="380" t="str">
        <f t="array" ref="M372">IF(L372="","",(MAX(IF(AN$15:AN$144=B372,AO$15:AO$144))/60))</f>
        <v/>
      </c>
      <c r="N372" s="387"/>
      <c r="O372" s="387"/>
      <c r="P372" s="381" t="str">
        <f t="shared" si="21"/>
        <v/>
      </c>
      <c r="Q372" s="382" t="str">
        <f t="array" ref="Q372">IFERROR(INDEX($D$13:$D$1000,MATCH(0,COUNTIF($Q$12:Q371,$D$13:$D$1000&amp;"")+IF($D$13:$D$1000="",1,0),0)),"")</f>
        <v/>
      </c>
      <c r="R372" s="356" t="str">
        <f t="shared" si="22"/>
        <v/>
      </c>
      <c r="S372" s="383" t="str">
        <f t="shared" si="24"/>
        <v/>
      </c>
      <c r="T372" s="384" t="str">
        <f t="shared" si="23"/>
        <v/>
      </c>
      <c r="U372" s="349"/>
      <c r="V372" s="385"/>
      <c r="W372" s="385"/>
      <c r="X372" s="386"/>
    </row>
    <row r="373" spans="2:24">
      <c r="B373" s="395"/>
      <c r="C373" s="371"/>
      <c r="D373" s="372" t="str">
        <f>IFERROR(INDEX('[12]Equipment List'!$B$2:$B$2038,MATCH(E373,'[12]Equipment List'!$A$2:$A$2038,0)),"")</f>
        <v/>
      </c>
      <c r="E373" s="388"/>
      <c r="F373" s="374"/>
      <c r="G373" s="375"/>
      <c r="H373" s="397"/>
      <c r="I373" s="377"/>
      <c r="J373" s="378"/>
      <c r="K373" s="379"/>
      <c r="L373" s="387"/>
      <c r="M373" s="380" t="str">
        <f t="array" ref="M373">IF(L373="","",(MAX(IF(AN$15:AN$144=B373,AO$15:AO$144))/60))</f>
        <v/>
      </c>
      <c r="N373" s="387"/>
      <c r="O373" s="387"/>
      <c r="P373" s="381" t="str">
        <f t="shared" si="21"/>
        <v/>
      </c>
      <c r="Q373" s="382" t="str">
        <f t="array" ref="Q373">IFERROR(INDEX($D$13:$D$1000,MATCH(0,COUNTIF($Q$12:Q372,$D$13:$D$1000&amp;"")+IF($D$13:$D$1000="",1,0),0)),"")</f>
        <v/>
      </c>
      <c r="R373" s="356" t="str">
        <f t="shared" si="22"/>
        <v/>
      </c>
      <c r="S373" s="383" t="str">
        <f t="shared" si="24"/>
        <v/>
      </c>
      <c r="T373" s="384" t="str">
        <f t="shared" si="23"/>
        <v/>
      </c>
      <c r="U373" s="349"/>
      <c r="V373" s="385"/>
      <c r="W373" s="385"/>
      <c r="X373" s="386"/>
    </row>
    <row r="374" spans="2:24">
      <c r="B374" s="395"/>
      <c r="C374" s="371"/>
      <c r="D374" s="372" t="str">
        <f>IFERROR(INDEX('[12]Equipment List'!$B$2:$B$2038,MATCH(E374,'[12]Equipment List'!$A$2:$A$2038,0)),"")</f>
        <v/>
      </c>
      <c r="E374" s="388"/>
      <c r="F374" s="374"/>
      <c r="G374" s="375"/>
      <c r="H374" s="397"/>
      <c r="I374" s="377"/>
      <c r="J374" s="378"/>
      <c r="K374" s="379"/>
      <c r="L374" s="387"/>
      <c r="M374" s="380" t="str">
        <f t="array" ref="M374">IF(L374="","",(MAX(IF(AN$15:AN$144=B374,AO$15:AO$144))/60))</f>
        <v/>
      </c>
      <c r="N374" s="387"/>
      <c r="O374" s="387"/>
      <c r="P374" s="381" t="str">
        <f t="shared" si="21"/>
        <v/>
      </c>
      <c r="Q374" s="382" t="str">
        <f t="array" ref="Q374">IFERROR(INDEX($D$13:$D$1000,MATCH(0,COUNTIF($Q$12:Q373,$D$13:$D$1000&amp;"")+IF($D$13:$D$1000="",1,0),0)),"")</f>
        <v/>
      </c>
      <c r="R374" s="356" t="str">
        <f t="shared" si="22"/>
        <v/>
      </c>
      <c r="S374" s="383" t="str">
        <f t="shared" si="24"/>
        <v/>
      </c>
      <c r="T374" s="384" t="str">
        <f t="shared" si="23"/>
        <v/>
      </c>
      <c r="U374" s="349"/>
      <c r="V374" s="385"/>
      <c r="W374" s="385"/>
      <c r="X374" s="386"/>
    </row>
    <row r="375" spans="2:24">
      <c r="B375" s="395"/>
      <c r="C375" s="371"/>
      <c r="D375" s="372" t="str">
        <f>IFERROR(INDEX('[12]Equipment List'!$B$2:$B$2038,MATCH(E375,'[12]Equipment List'!$A$2:$A$2038,0)),"")</f>
        <v/>
      </c>
      <c r="E375" s="388"/>
      <c r="F375" s="374"/>
      <c r="G375" s="375"/>
      <c r="H375" s="397"/>
      <c r="I375" s="377"/>
      <c r="J375" s="378"/>
      <c r="K375" s="379"/>
      <c r="L375" s="387"/>
      <c r="M375" s="380" t="str">
        <f t="array" ref="M375">IF(L375="","",(MAX(IF(AN$15:AN$144=B375,AO$15:AO$144))/60))</f>
        <v/>
      </c>
      <c r="N375" s="387"/>
      <c r="O375" s="387"/>
      <c r="P375" s="381" t="str">
        <f t="shared" si="21"/>
        <v/>
      </c>
      <c r="Q375" s="382" t="str">
        <f t="array" ref="Q375">IFERROR(INDEX($D$13:$D$1000,MATCH(0,COUNTIF($Q$12:Q374,$D$13:$D$1000&amp;"")+IF($D$13:$D$1000="",1,0),0)),"")</f>
        <v/>
      </c>
      <c r="R375" s="356" t="str">
        <f t="shared" si="22"/>
        <v/>
      </c>
      <c r="S375" s="383" t="str">
        <f t="shared" si="24"/>
        <v/>
      </c>
      <c r="T375" s="384" t="str">
        <f t="shared" si="23"/>
        <v/>
      </c>
      <c r="U375" s="349"/>
      <c r="V375" s="385"/>
      <c r="W375" s="385"/>
      <c r="X375" s="386"/>
    </row>
    <row r="376" spans="2:24">
      <c r="B376" s="395"/>
      <c r="C376" s="371"/>
      <c r="D376" s="372" t="str">
        <f>IFERROR(INDEX('[12]Equipment List'!$B$2:$B$2038,MATCH(E376,'[12]Equipment List'!$A$2:$A$2038,0)),"")</f>
        <v/>
      </c>
      <c r="E376" s="388"/>
      <c r="F376" s="374"/>
      <c r="G376" s="375"/>
      <c r="H376" s="397"/>
      <c r="I376" s="377"/>
      <c r="J376" s="378"/>
      <c r="K376" s="379"/>
      <c r="L376" s="387"/>
      <c r="M376" s="380" t="str">
        <f t="array" ref="M376">IF(L376="","",(MAX(IF(AN$15:AN$144=B376,AO$15:AO$144))/60))</f>
        <v/>
      </c>
      <c r="N376" s="387"/>
      <c r="O376" s="387"/>
      <c r="P376" s="381" t="str">
        <f t="shared" si="21"/>
        <v/>
      </c>
      <c r="Q376" s="382" t="str">
        <f t="array" ref="Q376">IFERROR(INDEX($D$13:$D$1000,MATCH(0,COUNTIF($Q$12:Q375,$D$13:$D$1000&amp;"")+IF($D$13:$D$1000="",1,0),0)),"")</f>
        <v/>
      </c>
      <c r="R376" s="356" t="str">
        <f t="shared" si="22"/>
        <v/>
      </c>
      <c r="S376" s="383" t="str">
        <f t="shared" si="24"/>
        <v/>
      </c>
      <c r="T376" s="384" t="str">
        <f t="shared" si="23"/>
        <v/>
      </c>
      <c r="U376" s="349"/>
      <c r="V376" s="385"/>
      <c r="W376" s="385"/>
      <c r="X376" s="386"/>
    </row>
    <row r="377" spans="2:24">
      <c r="B377" s="395"/>
      <c r="C377" s="371"/>
      <c r="D377" s="372" t="str">
        <f>IFERROR(INDEX('[12]Equipment List'!$B$2:$B$2038,MATCH(E377,'[12]Equipment List'!$A$2:$A$2038,0)),"")</f>
        <v/>
      </c>
      <c r="E377" s="388"/>
      <c r="F377" s="374"/>
      <c r="G377" s="375"/>
      <c r="H377" s="397"/>
      <c r="I377" s="377"/>
      <c r="J377" s="378"/>
      <c r="K377" s="379"/>
      <c r="L377" s="387"/>
      <c r="M377" s="380" t="str">
        <f t="array" ref="M377">IF(L377="","",(MAX(IF(AN$15:AN$144=B377,AO$15:AO$144))/60))</f>
        <v/>
      </c>
      <c r="N377" s="387"/>
      <c r="O377" s="387"/>
      <c r="P377" s="381" t="str">
        <f t="shared" si="21"/>
        <v/>
      </c>
      <c r="Q377" s="382" t="str">
        <f t="array" ref="Q377">IFERROR(INDEX($D$13:$D$1000,MATCH(0,COUNTIF($Q$12:Q376,$D$13:$D$1000&amp;"")+IF($D$13:$D$1000="",1,0),0)),"")</f>
        <v/>
      </c>
      <c r="R377" s="356" t="str">
        <f t="shared" si="22"/>
        <v/>
      </c>
      <c r="S377" s="383" t="str">
        <f t="shared" si="24"/>
        <v/>
      </c>
      <c r="T377" s="384" t="str">
        <f t="shared" si="23"/>
        <v/>
      </c>
      <c r="U377" s="349"/>
      <c r="V377" s="385"/>
      <c r="W377" s="385"/>
      <c r="X377" s="386"/>
    </row>
    <row r="378" spans="2:24">
      <c r="B378" s="395"/>
      <c r="C378" s="371"/>
      <c r="D378" s="372" t="str">
        <f>IFERROR(INDEX('[12]Equipment List'!$B$2:$B$2038,MATCH(E378,'[12]Equipment List'!$A$2:$A$2038,0)),"")</f>
        <v/>
      </c>
      <c r="E378" s="388"/>
      <c r="F378" s="374"/>
      <c r="G378" s="375"/>
      <c r="H378" s="397"/>
      <c r="I378" s="377"/>
      <c r="J378" s="378"/>
      <c r="K378" s="379"/>
      <c r="L378" s="387"/>
      <c r="M378" s="380" t="str">
        <f t="array" ref="M378">IF(L378="","",(MAX(IF(AN$15:AN$144=B378,AO$15:AO$144))/60))</f>
        <v/>
      </c>
      <c r="N378" s="387"/>
      <c r="O378" s="387"/>
      <c r="P378" s="381" t="str">
        <f t="shared" si="21"/>
        <v/>
      </c>
      <c r="Q378" s="382" t="str">
        <f t="array" ref="Q378">IFERROR(INDEX($D$13:$D$1000,MATCH(0,COUNTIF($Q$12:Q377,$D$13:$D$1000&amp;"")+IF($D$13:$D$1000="",1,0),0)),"")</f>
        <v/>
      </c>
      <c r="R378" s="356" t="str">
        <f t="shared" si="22"/>
        <v/>
      </c>
      <c r="S378" s="383" t="str">
        <f t="shared" si="24"/>
        <v/>
      </c>
      <c r="T378" s="384" t="str">
        <f t="shared" si="23"/>
        <v/>
      </c>
      <c r="U378" s="349"/>
      <c r="V378" s="385"/>
      <c r="W378" s="385"/>
      <c r="X378" s="386"/>
    </row>
    <row r="379" spans="2:24">
      <c r="B379" s="395"/>
      <c r="C379" s="371"/>
      <c r="D379" s="372" t="str">
        <f>IFERROR(INDEX('[12]Equipment List'!$B$2:$B$2038,MATCH(E379,'[12]Equipment List'!$A$2:$A$2038,0)),"")</f>
        <v/>
      </c>
      <c r="E379" s="388"/>
      <c r="F379" s="374"/>
      <c r="G379" s="375"/>
      <c r="H379" s="397"/>
      <c r="I379" s="377"/>
      <c r="J379" s="378"/>
      <c r="K379" s="379"/>
      <c r="L379" s="387"/>
      <c r="M379" s="380" t="str">
        <f t="array" ref="M379">IF(L379="","",(MAX(IF(AN$15:AN$144=B379,AO$15:AO$144))/60))</f>
        <v/>
      </c>
      <c r="N379" s="387"/>
      <c r="O379" s="387"/>
      <c r="P379" s="381" t="str">
        <f t="shared" si="21"/>
        <v/>
      </c>
      <c r="Q379" s="382" t="str">
        <f t="array" ref="Q379">IFERROR(INDEX($D$13:$D$1000,MATCH(0,COUNTIF($Q$12:Q378,$D$13:$D$1000&amp;"")+IF($D$13:$D$1000="",1,0),0)),"")</f>
        <v/>
      </c>
      <c r="R379" s="356" t="str">
        <f t="shared" si="22"/>
        <v/>
      </c>
      <c r="S379" s="383" t="str">
        <f t="shared" si="24"/>
        <v/>
      </c>
      <c r="T379" s="384" t="str">
        <f t="shared" si="23"/>
        <v/>
      </c>
      <c r="U379" s="349"/>
      <c r="V379" s="385"/>
      <c r="W379" s="385"/>
      <c r="X379" s="386"/>
    </row>
    <row r="380" spans="2:24">
      <c r="B380" s="395"/>
      <c r="C380" s="371"/>
      <c r="D380" s="372" t="str">
        <f>IFERROR(INDEX('[12]Equipment List'!$B$2:$B$2038,MATCH(E380,'[12]Equipment List'!$A$2:$A$2038,0)),"")</f>
        <v/>
      </c>
      <c r="E380" s="388"/>
      <c r="F380" s="374"/>
      <c r="G380" s="375"/>
      <c r="H380" s="397"/>
      <c r="I380" s="377"/>
      <c r="J380" s="378"/>
      <c r="K380" s="379"/>
      <c r="L380" s="387"/>
      <c r="M380" s="380" t="str">
        <f t="array" ref="M380">IF(L380="","",(MAX(IF(AN$15:AN$144=B380,AO$15:AO$144))/60))</f>
        <v/>
      </c>
      <c r="N380" s="387"/>
      <c r="O380" s="387"/>
      <c r="P380" s="381" t="str">
        <f t="shared" si="21"/>
        <v/>
      </c>
      <c r="Q380" s="382" t="str">
        <f t="array" ref="Q380">IFERROR(INDEX($D$13:$D$1000,MATCH(0,COUNTIF($Q$12:Q379,$D$13:$D$1000&amp;"")+IF($D$13:$D$1000="",1,0),0)),"")</f>
        <v/>
      </c>
      <c r="R380" s="356" t="str">
        <f t="shared" si="22"/>
        <v/>
      </c>
      <c r="S380" s="383" t="str">
        <f t="shared" si="24"/>
        <v/>
      </c>
      <c r="T380" s="384" t="str">
        <f t="shared" si="23"/>
        <v/>
      </c>
      <c r="U380" s="349"/>
      <c r="V380" s="385"/>
      <c r="W380" s="385"/>
      <c r="X380" s="386"/>
    </row>
    <row r="381" spans="2:24">
      <c r="B381" s="395"/>
      <c r="C381" s="371"/>
      <c r="D381" s="372" t="str">
        <f>IFERROR(INDEX('[12]Equipment List'!$B$2:$B$2038,MATCH(E381,'[12]Equipment List'!$A$2:$A$2038,0)),"")</f>
        <v/>
      </c>
      <c r="E381" s="388"/>
      <c r="F381" s="374"/>
      <c r="G381" s="375"/>
      <c r="H381" s="397"/>
      <c r="I381" s="377"/>
      <c r="J381" s="378"/>
      <c r="K381" s="379"/>
      <c r="L381" s="387"/>
      <c r="M381" s="380" t="str">
        <f t="array" ref="M381">IF(L381="","",(MAX(IF(AN$15:AN$144=B381,AO$15:AO$144))/60))</f>
        <v/>
      </c>
      <c r="N381" s="387"/>
      <c r="O381" s="387"/>
      <c r="P381" s="381" t="str">
        <f t="shared" si="21"/>
        <v/>
      </c>
      <c r="Q381" s="382" t="str">
        <f t="array" ref="Q381">IFERROR(INDEX($D$13:$D$1000,MATCH(0,COUNTIF($Q$12:Q380,$D$13:$D$1000&amp;"")+IF($D$13:$D$1000="",1,0),0)),"")</f>
        <v/>
      </c>
      <c r="R381" s="356" t="str">
        <f t="shared" si="22"/>
        <v/>
      </c>
      <c r="S381" s="383" t="str">
        <f t="shared" si="24"/>
        <v/>
      </c>
      <c r="T381" s="384" t="str">
        <f t="shared" si="23"/>
        <v/>
      </c>
      <c r="U381" s="349"/>
      <c r="V381" s="385"/>
      <c r="W381" s="385"/>
      <c r="X381" s="386"/>
    </row>
    <row r="382" spans="2:24">
      <c r="B382" s="395"/>
      <c r="C382" s="371"/>
      <c r="D382" s="372" t="str">
        <f>IFERROR(INDEX('[12]Equipment List'!$B$2:$B$2038,MATCH(E382,'[12]Equipment List'!$A$2:$A$2038,0)),"")</f>
        <v/>
      </c>
      <c r="E382" s="388"/>
      <c r="F382" s="374"/>
      <c r="G382" s="375"/>
      <c r="H382" s="397"/>
      <c r="I382" s="377"/>
      <c r="J382" s="378"/>
      <c r="K382" s="379"/>
      <c r="L382" s="387"/>
      <c r="M382" s="380" t="str">
        <f t="array" ref="M382">IF(L382="","",(MAX(IF(AN$15:AN$144=B382,AO$15:AO$144))/60))</f>
        <v/>
      </c>
      <c r="N382" s="387"/>
      <c r="O382" s="387"/>
      <c r="P382" s="381" t="str">
        <f t="shared" si="21"/>
        <v/>
      </c>
      <c r="Q382" s="382" t="str">
        <f t="array" ref="Q382">IFERROR(INDEX($D$13:$D$1000,MATCH(0,COUNTIF($Q$12:Q381,$D$13:$D$1000&amp;"")+IF($D$13:$D$1000="",1,0),0)),"")</f>
        <v/>
      </c>
      <c r="R382" s="356" t="str">
        <f t="shared" si="22"/>
        <v/>
      </c>
      <c r="S382" s="383" t="str">
        <f t="shared" si="24"/>
        <v/>
      </c>
      <c r="T382" s="384" t="str">
        <f t="shared" si="23"/>
        <v/>
      </c>
      <c r="U382" s="349"/>
      <c r="V382" s="385"/>
      <c r="W382" s="385"/>
      <c r="X382" s="386"/>
    </row>
    <row r="383" spans="2:24">
      <c r="B383" s="395"/>
      <c r="C383" s="371"/>
      <c r="D383" s="372" t="str">
        <f>IFERROR(INDEX('[12]Equipment List'!$B$2:$B$2038,MATCH(E383,'[12]Equipment List'!$A$2:$A$2038,0)),"")</f>
        <v/>
      </c>
      <c r="E383" s="388"/>
      <c r="F383" s="374"/>
      <c r="G383" s="375"/>
      <c r="H383" s="397"/>
      <c r="I383" s="377"/>
      <c r="J383" s="378"/>
      <c r="K383" s="379"/>
      <c r="L383" s="387"/>
      <c r="M383" s="380" t="str">
        <f t="array" ref="M383">IF(L383="","",(MAX(IF(AN$15:AN$144=B383,AO$15:AO$144))/60))</f>
        <v/>
      </c>
      <c r="N383" s="387"/>
      <c r="O383" s="387"/>
      <c r="P383" s="381" t="str">
        <f t="shared" si="21"/>
        <v/>
      </c>
      <c r="Q383" s="382" t="str">
        <f t="array" ref="Q383">IFERROR(INDEX($D$13:$D$1000,MATCH(0,COUNTIF($Q$12:Q382,$D$13:$D$1000&amp;"")+IF($D$13:$D$1000="",1,0),0)),"")</f>
        <v/>
      </c>
      <c r="R383" s="356" t="str">
        <f t="shared" si="22"/>
        <v/>
      </c>
      <c r="S383" s="383" t="str">
        <f t="shared" si="24"/>
        <v/>
      </c>
      <c r="T383" s="384" t="str">
        <f t="shared" si="23"/>
        <v/>
      </c>
      <c r="U383" s="349"/>
      <c r="V383" s="385"/>
      <c r="W383" s="385"/>
      <c r="X383" s="386"/>
    </row>
    <row r="384" spans="2:24">
      <c r="B384" s="395"/>
      <c r="C384" s="371"/>
      <c r="D384" s="372" t="str">
        <f>IFERROR(INDEX('[12]Equipment List'!$B$2:$B$2038,MATCH(E384,'[12]Equipment List'!$A$2:$A$2038,0)),"")</f>
        <v/>
      </c>
      <c r="E384" s="388"/>
      <c r="F384" s="374"/>
      <c r="G384" s="375"/>
      <c r="H384" s="397"/>
      <c r="I384" s="377"/>
      <c r="J384" s="378"/>
      <c r="K384" s="379"/>
      <c r="L384" s="387"/>
      <c r="M384" s="380" t="str">
        <f t="array" ref="M384">IF(L384="","",(MAX(IF(AN$15:AN$144=B384,AO$15:AO$144))/60))</f>
        <v/>
      </c>
      <c r="N384" s="387"/>
      <c r="O384" s="387"/>
      <c r="P384" s="381" t="str">
        <f t="shared" si="21"/>
        <v/>
      </c>
      <c r="Q384" s="382" t="str">
        <f t="array" ref="Q384">IFERROR(INDEX($D$13:$D$1000,MATCH(0,COUNTIF($Q$12:Q383,$D$13:$D$1000&amp;"")+IF($D$13:$D$1000="",1,0),0)),"")</f>
        <v/>
      </c>
      <c r="R384" s="356" t="str">
        <f t="shared" si="22"/>
        <v/>
      </c>
      <c r="S384" s="383" t="str">
        <f t="shared" si="24"/>
        <v/>
      </c>
      <c r="T384" s="384" t="str">
        <f t="shared" si="23"/>
        <v/>
      </c>
      <c r="U384" s="349"/>
      <c r="V384" s="385"/>
      <c r="W384" s="385"/>
      <c r="X384" s="386"/>
    </row>
    <row r="385" spans="2:24">
      <c r="B385" s="395"/>
      <c r="C385" s="371"/>
      <c r="D385" s="372" t="str">
        <f>IFERROR(INDEX('[12]Equipment List'!$B$2:$B$2038,MATCH(E385,'[12]Equipment List'!$A$2:$A$2038,0)),"")</f>
        <v/>
      </c>
      <c r="E385" s="388"/>
      <c r="F385" s="374"/>
      <c r="G385" s="375"/>
      <c r="H385" s="397"/>
      <c r="I385" s="377"/>
      <c r="J385" s="378"/>
      <c r="K385" s="379"/>
      <c r="L385" s="387"/>
      <c r="M385" s="380" t="str">
        <f t="array" ref="M385">IF(L385="","",(MAX(IF(AN$15:AN$144=B385,AO$15:AO$144))/60))</f>
        <v/>
      </c>
      <c r="N385" s="387"/>
      <c r="O385" s="387"/>
      <c r="P385" s="381" t="str">
        <f t="shared" si="21"/>
        <v/>
      </c>
      <c r="Q385" s="382" t="str">
        <f t="array" ref="Q385">IFERROR(INDEX($D$13:$D$1000,MATCH(0,COUNTIF($Q$12:Q384,$D$13:$D$1000&amp;"")+IF($D$13:$D$1000="",1,0),0)),"")</f>
        <v/>
      </c>
      <c r="R385" s="356" t="str">
        <f t="shared" si="22"/>
        <v/>
      </c>
      <c r="S385" s="383" t="str">
        <f t="shared" si="24"/>
        <v/>
      </c>
      <c r="T385" s="384" t="str">
        <f t="shared" si="23"/>
        <v/>
      </c>
      <c r="U385" s="349"/>
      <c r="V385" s="385"/>
      <c r="W385" s="385"/>
      <c r="X385" s="386"/>
    </row>
    <row r="386" spans="2:24">
      <c r="B386" s="395"/>
      <c r="C386" s="371"/>
      <c r="D386" s="372" t="str">
        <f>IFERROR(INDEX('[12]Equipment List'!$B$2:$B$2038,MATCH(E386,'[12]Equipment List'!$A$2:$A$2038,0)),"")</f>
        <v/>
      </c>
      <c r="E386" s="388"/>
      <c r="F386" s="374"/>
      <c r="G386" s="375"/>
      <c r="H386" s="397"/>
      <c r="I386" s="377"/>
      <c r="J386" s="378"/>
      <c r="K386" s="379"/>
      <c r="L386" s="387"/>
      <c r="M386" s="380" t="str">
        <f t="array" ref="M386">IF(L386="","",(MAX(IF(AN$15:AN$144=B386,AO$15:AO$144))/60))</f>
        <v/>
      </c>
      <c r="N386" s="387"/>
      <c r="O386" s="387"/>
      <c r="P386" s="381" t="str">
        <f t="shared" si="21"/>
        <v/>
      </c>
      <c r="Q386" s="382" t="str">
        <f t="array" ref="Q386">IFERROR(INDEX($D$13:$D$1000,MATCH(0,COUNTIF($Q$12:Q385,$D$13:$D$1000&amp;"")+IF($D$13:$D$1000="",1,0),0)),"")</f>
        <v/>
      </c>
      <c r="R386" s="356" t="str">
        <f t="shared" si="22"/>
        <v/>
      </c>
      <c r="S386" s="383" t="str">
        <f t="shared" si="24"/>
        <v/>
      </c>
      <c r="T386" s="384" t="str">
        <f t="shared" si="23"/>
        <v/>
      </c>
      <c r="U386" s="349"/>
      <c r="V386" s="385"/>
      <c r="W386" s="385"/>
      <c r="X386" s="386"/>
    </row>
    <row r="387" spans="2:24">
      <c r="B387" s="395"/>
      <c r="C387" s="371"/>
      <c r="D387" s="372" t="str">
        <f>IFERROR(INDEX('[12]Equipment List'!$B$2:$B$2038,MATCH(E387,'[12]Equipment List'!$A$2:$A$2038,0)),"")</f>
        <v/>
      </c>
      <c r="E387" s="388"/>
      <c r="F387" s="374"/>
      <c r="G387" s="375"/>
      <c r="H387" s="397"/>
      <c r="I387" s="377"/>
      <c r="J387" s="378"/>
      <c r="K387" s="379"/>
      <c r="L387" s="387"/>
      <c r="M387" s="380" t="str">
        <f t="array" ref="M387">IF(L387="","",(MAX(IF(AN$15:AN$144=B387,AO$15:AO$144))/60))</f>
        <v/>
      </c>
      <c r="N387" s="387"/>
      <c r="O387" s="387"/>
      <c r="P387" s="381" t="str">
        <f t="shared" si="21"/>
        <v/>
      </c>
      <c r="Q387" s="382" t="str">
        <f t="array" ref="Q387">IFERROR(INDEX($D$13:$D$1000,MATCH(0,COUNTIF($Q$12:Q386,$D$13:$D$1000&amp;"")+IF($D$13:$D$1000="",1,0),0)),"")</f>
        <v/>
      </c>
      <c r="R387" s="356" t="str">
        <f t="shared" si="22"/>
        <v/>
      </c>
      <c r="S387" s="383" t="str">
        <f t="shared" si="24"/>
        <v/>
      </c>
      <c r="T387" s="384" t="str">
        <f t="shared" si="23"/>
        <v/>
      </c>
      <c r="U387" s="349"/>
      <c r="V387" s="385"/>
      <c r="W387" s="385"/>
      <c r="X387" s="386"/>
    </row>
    <row r="388" spans="2:24">
      <c r="B388" s="395"/>
      <c r="C388" s="371"/>
      <c r="D388" s="372" t="str">
        <f>IFERROR(INDEX('[12]Equipment List'!$B$2:$B$2038,MATCH(E388,'[12]Equipment List'!$A$2:$A$2038,0)),"")</f>
        <v/>
      </c>
      <c r="E388" s="388"/>
      <c r="F388" s="374"/>
      <c r="G388" s="375"/>
      <c r="H388" s="397"/>
      <c r="I388" s="377"/>
      <c r="J388" s="378"/>
      <c r="K388" s="379"/>
      <c r="L388" s="387"/>
      <c r="M388" s="380" t="str">
        <f t="array" ref="M388">IF(L388="","",(MAX(IF(AN$15:AN$144=B388,AO$15:AO$144))/60))</f>
        <v/>
      </c>
      <c r="N388" s="387"/>
      <c r="O388" s="387"/>
      <c r="P388" s="381" t="str">
        <f t="shared" si="21"/>
        <v/>
      </c>
      <c r="Q388" s="382" t="str">
        <f t="array" ref="Q388">IFERROR(INDEX($D$13:$D$1000,MATCH(0,COUNTIF($Q$12:Q387,$D$13:$D$1000&amp;"")+IF($D$13:$D$1000="",1,0),0)),"")</f>
        <v/>
      </c>
      <c r="R388" s="356" t="str">
        <f t="shared" si="22"/>
        <v/>
      </c>
      <c r="S388" s="383" t="str">
        <f t="shared" si="24"/>
        <v/>
      </c>
      <c r="T388" s="384" t="str">
        <f t="shared" si="23"/>
        <v/>
      </c>
      <c r="U388" s="349"/>
      <c r="V388" s="385"/>
      <c r="W388" s="385"/>
      <c r="X388" s="386"/>
    </row>
    <row r="389" spans="2:24">
      <c r="B389" s="395"/>
      <c r="C389" s="371"/>
      <c r="D389" s="372" t="str">
        <f>IFERROR(INDEX('[12]Equipment List'!$B$2:$B$2038,MATCH(E389,'[12]Equipment List'!$A$2:$A$2038,0)),"")</f>
        <v/>
      </c>
      <c r="E389" s="388"/>
      <c r="F389" s="374"/>
      <c r="G389" s="375"/>
      <c r="H389" s="397"/>
      <c r="I389" s="377"/>
      <c r="J389" s="378"/>
      <c r="K389" s="379"/>
      <c r="L389" s="387"/>
      <c r="M389" s="380" t="str">
        <f t="array" ref="M389">IF(L389="","",(MAX(IF(AN$15:AN$144=B389,AO$15:AO$144))/60))</f>
        <v/>
      </c>
      <c r="N389" s="387"/>
      <c r="O389" s="387"/>
      <c r="P389" s="381" t="str">
        <f t="shared" si="21"/>
        <v/>
      </c>
      <c r="Q389" s="382" t="str">
        <f t="array" ref="Q389">IFERROR(INDEX($D$13:$D$1000,MATCH(0,COUNTIF($Q$12:Q388,$D$13:$D$1000&amp;"")+IF($D$13:$D$1000="",1,0),0)),"")</f>
        <v/>
      </c>
      <c r="R389" s="356" t="str">
        <f t="shared" si="22"/>
        <v/>
      </c>
      <c r="S389" s="383" t="str">
        <f t="shared" si="24"/>
        <v/>
      </c>
      <c r="T389" s="384" t="str">
        <f t="shared" si="23"/>
        <v/>
      </c>
      <c r="U389" s="349"/>
      <c r="V389" s="385"/>
      <c r="W389" s="385"/>
      <c r="X389" s="386"/>
    </row>
    <row r="390" spans="2:24">
      <c r="B390" s="395"/>
      <c r="C390" s="371"/>
      <c r="D390" s="372" t="str">
        <f>IFERROR(INDEX('[12]Equipment List'!$B$2:$B$2038,MATCH(E390,'[12]Equipment List'!$A$2:$A$2038,0)),"")</f>
        <v/>
      </c>
      <c r="E390" s="388"/>
      <c r="F390" s="374"/>
      <c r="G390" s="375"/>
      <c r="H390" s="397"/>
      <c r="I390" s="377"/>
      <c r="J390" s="378"/>
      <c r="K390" s="379"/>
      <c r="L390" s="387"/>
      <c r="M390" s="380" t="str">
        <f t="array" ref="M390">IF(L390="","",(MAX(IF(AN$15:AN$144=B390,AO$15:AO$144))/60))</f>
        <v/>
      </c>
      <c r="N390" s="387"/>
      <c r="O390" s="387"/>
      <c r="P390" s="381" t="str">
        <f t="shared" si="21"/>
        <v/>
      </c>
      <c r="Q390" s="382" t="str">
        <f t="array" ref="Q390">IFERROR(INDEX($D$13:$D$1000,MATCH(0,COUNTIF($Q$12:Q389,$D$13:$D$1000&amp;"")+IF($D$13:$D$1000="",1,0),0)),"")</f>
        <v/>
      </c>
      <c r="R390" s="356" t="str">
        <f t="shared" si="22"/>
        <v/>
      </c>
      <c r="S390" s="383" t="str">
        <f t="shared" si="24"/>
        <v/>
      </c>
      <c r="T390" s="384" t="str">
        <f t="shared" si="23"/>
        <v/>
      </c>
      <c r="U390" s="349"/>
      <c r="V390" s="385"/>
      <c r="W390" s="385"/>
      <c r="X390" s="386"/>
    </row>
    <row r="391" spans="2:24">
      <c r="B391" s="395"/>
      <c r="C391" s="371"/>
      <c r="D391" s="372" t="str">
        <f>IFERROR(INDEX('[12]Equipment List'!$B$2:$B$2038,MATCH(E391,'[12]Equipment List'!$A$2:$A$2038,0)),"")</f>
        <v/>
      </c>
      <c r="E391" s="388"/>
      <c r="F391" s="374"/>
      <c r="G391" s="375"/>
      <c r="H391" s="397"/>
      <c r="I391" s="377"/>
      <c r="J391" s="378"/>
      <c r="K391" s="379"/>
      <c r="L391" s="387"/>
      <c r="M391" s="380" t="str">
        <f t="array" ref="M391">IF(L391="","",(MAX(IF(AN$15:AN$144=B391,AO$15:AO$144))/60))</f>
        <v/>
      </c>
      <c r="N391" s="387"/>
      <c r="O391" s="387"/>
      <c r="P391" s="381" t="str">
        <f t="shared" si="21"/>
        <v/>
      </c>
      <c r="Q391" s="382" t="str">
        <f t="array" ref="Q391">IFERROR(INDEX($D$13:$D$1000,MATCH(0,COUNTIF($Q$12:Q390,$D$13:$D$1000&amp;"")+IF($D$13:$D$1000="",1,0),0)),"")</f>
        <v/>
      </c>
      <c r="R391" s="356" t="str">
        <f t="shared" si="22"/>
        <v/>
      </c>
      <c r="S391" s="383" t="str">
        <f t="shared" si="24"/>
        <v/>
      </c>
      <c r="T391" s="384" t="str">
        <f t="shared" si="23"/>
        <v/>
      </c>
      <c r="U391" s="349"/>
      <c r="V391" s="385"/>
      <c r="W391" s="385"/>
      <c r="X391" s="386"/>
    </row>
    <row r="392" spans="2:24">
      <c r="B392" s="395"/>
      <c r="C392" s="371"/>
      <c r="D392" s="372" t="str">
        <f>IFERROR(INDEX('[12]Equipment List'!$B$2:$B$2038,MATCH(E392,'[12]Equipment List'!$A$2:$A$2038,0)),"")</f>
        <v/>
      </c>
      <c r="E392" s="388"/>
      <c r="F392" s="374"/>
      <c r="G392" s="375"/>
      <c r="H392" s="397"/>
      <c r="I392" s="377"/>
      <c r="J392" s="378"/>
      <c r="K392" s="379"/>
      <c r="L392" s="387"/>
      <c r="M392" s="380" t="str">
        <f t="array" ref="M392">IF(L392="","",(MAX(IF(AN$15:AN$144=B392,AO$15:AO$144))/60))</f>
        <v/>
      </c>
      <c r="N392" s="387"/>
      <c r="O392" s="387"/>
      <c r="P392" s="381" t="str">
        <f t="shared" si="21"/>
        <v/>
      </c>
      <c r="Q392" s="382" t="str">
        <f t="array" ref="Q392">IFERROR(INDEX($D$13:$D$1000,MATCH(0,COUNTIF($Q$12:Q391,$D$13:$D$1000&amp;"")+IF($D$13:$D$1000="",1,0),0)),"")</f>
        <v/>
      </c>
      <c r="R392" s="356" t="str">
        <f t="shared" si="22"/>
        <v/>
      </c>
      <c r="S392" s="383" t="str">
        <f t="shared" si="24"/>
        <v/>
      </c>
      <c r="T392" s="384" t="str">
        <f t="shared" si="23"/>
        <v/>
      </c>
      <c r="U392" s="349"/>
      <c r="V392" s="385"/>
      <c r="W392" s="385"/>
      <c r="X392" s="386"/>
    </row>
    <row r="393" spans="2:24">
      <c r="B393" s="395"/>
      <c r="C393" s="371"/>
      <c r="D393" s="372" t="str">
        <f>IFERROR(INDEX('[12]Equipment List'!$B$2:$B$2038,MATCH(E393,'[12]Equipment List'!$A$2:$A$2038,0)),"")</f>
        <v/>
      </c>
      <c r="E393" s="388"/>
      <c r="F393" s="374"/>
      <c r="G393" s="375"/>
      <c r="H393" s="397"/>
      <c r="I393" s="377"/>
      <c r="J393" s="378"/>
      <c r="K393" s="379"/>
      <c r="L393" s="387"/>
      <c r="M393" s="380" t="str">
        <f t="array" ref="M393">IF(L393="","",(MAX(IF(AN$15:AN$144=B393,AO$15:AO$144))/60))</f>
        <v/>
      </c>
      <c r="N393" s="387"/>
      <c r="O393" s="387"/>
      <c r="P393" s="381" t="str">
        <f t="shared" si="21"/>
        <v/>
      </c>
      <c r="Q393" s="382" t="str">
        <f t="array" ref="Q393">IFERROR(INDEX($D$13:$D$1000,MATCH(0,COUNTIF($Q$12:Q392,$D$13:$D$1000&amp;"")+IF($D$13:$D$1000="",1,0),0)),"")</f>
        <v/>
      </c>
      <c r="R393" s="356" t="str">
        <f t="shared" si="22"/>
        <v/>
      </c>
      <c r="S393" s="383" t="str">
        <f t="shared" si="24"/>
        <v/>
      </c>
      <c r="T393" s="384" t="str">
        <f t="shared" si="23"/>
        <v/>
      </c>
      <c r="U393" s="349"/>
      <c r="V393" s="385"/>
      <c r="W393" s="385"/>
      <c r="X393" s="386"/>
    </row>
    <row r="394" spans="2:24">
      <c r="B394" s="395"/>
      <c r="C394" s="371"/>
      <c r="D394" s="372" t="str">
        <f>IFERROR(INDEX('[12]Equipment List'!$B$2:$B$2038,MATCH(E394,'[12]Equipment List'!$A$2:$A$2038,0)),"")</f>
        <v/>
      </c>
      <c r="E394" s="388"/>
      <c r="F394" s="374"/>
      <c r="G394" s="375"/>
      <c r="H394" s="397"/>
      <c r="I394" s="377"/>
      <c r="J394" s="378"/>
      <c r="K394" s="379"/>
      <c r="L394" s="387"/>
      <c r="M394" s="380" t="str">
        <f t="array" ref="M394">IF(L394="","",(MAX(IF(AN$15:AN$144=B394,AO$15:AO$144))/60))</f>
        <v/>
      </c>
      <c r="N394" s="387"/>
      <c r="O394" s="387"/>
      <c r="P394" s="381" t="str">
        <f t="shared" si="21"/>
        <v/>
      </c>
      <c r="Q394" s="382" t="str">
        <f t="array" ref="Q394">IFERROR(INDEX($D$13:$D$1000,MATCH(0,COUNTIF($Q$12:Q393,$D$13:$D$1000&amp;"")+IF($D$13:$D$1000="",1,0),0)),"")</f>
        <v/>
      </c>
      <c r="R394" s="356" t="str">
        <f t="shared" si="22"/>
        <v/>
      </c>
      <c r="S394" s="383" t="str">
        <f t="shared" si="24"/>
        <v/>
      </c>
      <c r="T394" s="384" t="str">
        <f t="shared" si="23"/>
        <v/>
      </c>
      <c r="U394" s="349"/>
      <c r="V394" s="385"/>
      <c r="W394" s="385"/>
      <c r="X394" s="386"/>
    </row>
    <row r="395" spans="2:24">
      <c r="B395" s="395"/>
      <c r="C395" s="371"/>
      <c r="D395" s="372" t="str">
        <f>IFERROR(INDEX('[12]Equipment List'!$B$2:$B$2038,MATCH(E395,'[12]Equipment List'!$A$2:$A$2038,0)),"")</f>
        <v/>
      </c>
      <c r="E395" s="388"/>
      <c r="F395" s="374"/>
      <c r="G395" s="375"/>
      <c r="H395" s="397"/>
      <c r="I395" s="377"/>
      <c r="J395" s="378"/>
      <c r="K395" s="379"/>
      <c r="L395" s="387"/>
      <c r="M395" s="380" t="str">
        <f t="array" ref="M395">IF(L395="","",(MAX(IF(AN$15:AN$144=B395,AO$15:AO$144))/60))</f>
        <v/>
      </c>
      <c r="N395" s="387"/>
      <c r="O395" s="387"/>
      <c r="P395" s="381" t="str">
        <f t="shared" si="21"/>
        <v/>
      </c>
      <c r="Q395" s="382" t="str">
        <f t="array" ref="Q395">IFERROR(INDEX($D$13:$D$1000,MATCH(0,COUNTIF($Q$12:Q394,$D$13:$D$1000&amp;"")+IF($D$13:$D$1000="",1,0),0)),"")</f>
        <v/>
      </c>
      <c r="R395" s="356" t="str">
        <f t="shared" si="22"/>
        <v/>
      </c>
      <c r="S395" s="383" t="str">
        <f t="shared" si="24"/>
        <v/>
      </c>
      <c r="T395" s="384" t="str">
        <f t="shared" si="23"/>
        <v/>
      </c>
      <c r="U395" s="349"/>
      <c r="V395" s="385"/>
      <c r="W395" s="385"/>
      <c r="X395" s="386"/>
    </row>
    <row r="396" spans="2:24">
      <c r="B396" s="395"/>
      <c r="C396" s="371"/>
      <c r="D396" s="372" t="str">
        <f>IFERROR(INDEX('[12]Equipment List'!$B$2:$B$2038,MATCH(E396,'[12]Equipment List'!$A$2:$A$2038,0)),"")</f>
        <v/>
      </c>
      <c r="E396" s="388"/>
      <c r="F396" s="374"/>
      <c r="G396" s="375"/>
      <c r="H396" s="397"/>
      <c r="I396" s="377"/>
      <c r="J396" s="378"/>
      <c r="K396" s="379"/>
      <c r="L396" s="387"/>
      <c r="M396" s="380" t="str">
        <f t="array" ref="M396">IF(L396="","",(MAX(IF(AN$15:AN$144=B396,AO$15:AO$144))/60))</f>
        <v/>
      </c>
      <c r="N396" s="387"/>
      <c r="O396" s="387"/>
      <c r="P396" s="381" t="str">
        <f t="shared" ref="P396:P459" si="25">IFERROR((((K396/5/250/$F$8)+(N396*$F$9))/$S$4)*(M396/60),"")</f>
        <v/>
      </c>
      <c r="Q396" s="382" t="str">
        <f t="array" ref="Q396">IFERROR(INDEX($D$13:$D$1000,MATCH(0,COUNTIF($Q$12:Q395,$D$13:$D$1000&amp;"")+IF($D$13:$D$1000="",1,0),0)),"")</f>
        <v/>
      </c>
      <c r="R396" s="356" t="str">
        <f t="shared" si="22"/>
        <v/>
      </c>
      <c r="S396" s="383" t="str">
        <f t="shared" si="24"/>
        <v/>
      </c>
      <c r="T396" s="384" t="str">
        <f t="shared" si="23"/>
        <v/>
      </c>
      <c r="U396" s="349"/>
      <c r="V396" s="385"/>
      <c r="W396" s="385"/>
      <c r="X396" s="386"/>
    </row>
    <row r="397" spans="2:24">
      <c r="B397" s="395"/>
      <c r="C397" s="371"/>
      <c r="D397" s="372" t="str">
        <f>IFERROR(INDEX('[12]Equipment List'!$B$2:$B$2038,MATCH(E397,'[12]Equipment List'!$A$2:$A$2038,0)),"")</f>
        <v/>
      </c>
      <c r="E397" s="388"/>
      <c r="F397" s="374"/>
      <c r="G397" s="375"/>
      <c r="H397" s="397"/>
      <c r="I397" s="377"/>
      <c r="J397" s="378"/>
      <c r="K397" s="379"/>
      <c r="L397" s="387"/>
      <c r="M397" s="380" t="str">
        <f t="array" ref="M397">IF(L397="","",(MAX(IF(AN$15:AN$144=B397,AO$15:AO$144))/60))</f>
        <v/>
      </c>
      <c r="N397" s="387"/>
      <c r="O397" s="387"/>
      <c r="P397" s="381" t="str">
        <f t="shared" si="25"/>
        <v/>
      </c>
      <c r="Q397" s="382" t="str">
        <f t="array" ref="Q397">IFERROR(INDEX($D$13:$D$1000,MATCH(0,COUNTIF($Q$12:Q396,$D$13:$D$1000&amp;"")+IF($D$13:$D$1000="",1,0),0)),"")</f>
        <v/>
      </c>
      <c r="R397" s="356" t="str">
        <f t="shared" ref="R397:R460" si="26">IF(Q397="","",COUNTIF($D$13:$D$1000,$Q397))</f>
        <v/>
      </c>
      <c r="S397" s="383" t="str">
        <f t="shared" si="24"/>
        <v/>
      </c>
      <c r="T397" s="384" t="str">
        <f t="shared" ref="T397:T460" si="27">IF($Q397="","",SUMIF($D$13:$D$1000,$Q397,N$13:N$1000))</f>
        <v/>
      </c>
      <c r="U397" s="349"/>
      <c r="V397" s="385"/>
      <c r="W397" s="385"/>
      <c r="X397" s="386"/>
    </row>
    <row r="398" spans="2:24">
      <c r="B398" s="395"/>
      <c r="C398" s="371"/>
      <c r="D398" s="372" t="str">
        <f>IFERROR(INDEX('[12]Equipment List'!$B$2:$B$2038,MATCH(E398,'[12]Equipment List'!$A$2:$A$2038,0)),"")</f>
        <v/>
      </c>
      <c r="E398" s="388"/>
      <c r="F398" s="374"/>
      <c r="G398" s="375"/>
      <c r="H398" s="397"/>
      <c r="I398" s="377"/>
      <c r="J398" s="378"/>
      <c r="K398" s="379"/>
      <c r="L398" s="387"/>
      <c r="M398" s="380" t="str">
        <f t="array" ref="M398">IF(L398="","",(MAX(IF(AN$15:AN$144=B398,AO$15:AO$144))/60))</f>
        <v/>
      </c>
      <c r="N398" s="387"/>
      <c r="O398" s="387"/>
      <c r="P398" s="381" t="str">
        <f t="shared" si="25"/>
        <v/>
      </c>
      <c r="Q398" s="382" t="str">
        <f t="array" ref="Q398">IFERROR(INDEX($D$13:$D$1000,MATCH(0,COUNTIF($Q$12:Q397,$D$13:$D$1000&amp;"")+IF($D$13:$D$1000="",1,0),0)),"")</f>
        <v/>
      </c>
      <c r="R398" s="356" t="str">
        <f t="shared" si="26"/>
        <v/>
      </c>
      <c r="S398" s="383" t="str">
        <f t="shared" si="24"/>
        <v/>
      </c>
      <c r="T398" s="384" t="str">
        <f t="shared" si="27"/>
        <v/>
      </c>
      <c r="U398" s="349"/>
      <c r="V398" s="385"/>
      <c r="W398" s="385"/>
      <c r="X398" s="386"/>
    </row>
    <row r="399" spans="2:24">
      <c r="B399" s="395"/>
      <c r="C399" s="371"/>
      <c r="D399" s="372" t="str">
        <f>IFERROR(INDEX('[12]Equipment List'!$B$2:$B$2038,MATCH(E399,'[12]Equipment List'!$A$2:$A$2038,0)),"")</f>
        <v/>
      </c>
      <c r="E399" s="388"/>
      <c r="F399" s="374"/>
      <c r="G399" s="375"/>
      <c r="H399" s="397"/>
      <c r="I399" s="377"/>
      <c r="J399" s="378"/>
      <c r="K399" s="379"/>
      <c r="L399" s="387"/>
      <c r="M399" s="380" t="str">
        <f t="array" ref="M399">IF(L399="","",(MAX(IF(AN$15:AN$144=B399,AO$15:AO$144))/60))</f>
        <v/>
      </c>
      <c r="N399" s="387"/>
      <c r="O399" s="387"/>
      <c r="P399" s="381" t="str">
        <f t="shared" si="25"/>
        <v/>
      </c>
      <c r="Q399" s="382" t="str">
        <f t="array" ref="Q399">IFERROR(INDEX($D$13:$D$1000,MATCH(0,COUNTIF($Q$12:Q398,$D$13:$D$1000&amp;"")+IF($D$13:$D$1000="",1,0),0)),"")</f>
        <v/>
      </c>
      <c r="R399" s="356" t="str">
        <f t="shared" si="26"/>
        <v/>
      </c>
      <c r="S399" s="383" t="str">
        <f t="shared" si="24"/>
        <v/>
      </c>
      <c r="T399" s="384" t="str">
        <f t="shared" si="27"/>
        <v/>
      </c>
      <c r="U399" s="349"/>
      <c r="V399" s="385"/>
      <c r="W399" s="385"/>
      <c r="X399" s="386"/>
    </row>
    <row r="400" spans="2:24">
      <c r="B400" s="395"/>
      <c r="C400" s="371"/>
      <c r="D400" s="372" t="str">
        <f>IFERROR(INDEX('[12]Equipment List'!$B$2:$B$2038,MATCH(E400,'[12]Equipment List'!$A$2:$A$2038,0)),"")</f>
        <v/>
      </c>
      <c r="E400" s="388"/>
      <c r="F400" s="374"/>
      <c r="G400" s="375"/>
      <c r="H400" s="397"/>
      <c r="I400" s="377"/>
      <c r="J400" s="378"/>
      <c r="K400" s="379"/>
      <c r="L400" s="387"/>
      <c r="M400" s="380" t="str">
        <f t="array" ref="M400">IF(L400="","",(MAX(IF(AN$15:AN$144=B400,AO$15:AO$144))/60))</f>
        <v/>
      </c>
      <c r="N400" s="387"/>
      <c r="O400" s="387"/>
      <c r="P400" s="381" t="str">
        <f t="shared" si="25"/>
        <v/>
      </c>
      <c r="Q400" s="382" t="str">
        <f t="array" ref="Q400">IFERROR(INDEX($D$13:$D$1000,MATCH(0,COUNTIF($Q$12:Q399,$D$13:$D$1000&amp;"")+IF($D$13:$D$1000="",1,0),0)),"")</f>
        <v/>
      </c>
      <c r="R400" s="356" t="str">
        <f t="shared" si="26"/>
        <v/>
      </c>
      <c r="S400" s="383" t="str">
        <f t="shared" si="24"/>
        <v/>
      </c>
      <c r="T400" s="384" t="str">
        <f t="shared" si="27"/>
        <v/>
      </c>
      <c r="U400" s="349"/>
      <c r="V400" s="385"/>
      <c r="W400" s="385"/>
      <c r="X400" s="386"/>
    </row>
    <row r="401" spans="2:24">
      <c r="B401" s="395"/>
      <c r="C401" s="371"/>
      <c r="D401" s="372" t="str">
        <f>IFERROR(INDEX('[12]Equipment List'!$B$2:$B$2038,MATCH(E401,'[12]Equipment List'!$A$2:$A$2038,0)),"")</f>
        <v/>
      </c>
      <c r="E401" s="388"/>
      <c r="F401" s="374"/>
      <c r="G401" s="375"/>
      <c r="H401" s="397"/>
      <c r="I401" s="377"/>
      <c r="J401" s="378"/>
      <c r="K401" s="379"/>
      <c r="L401" s="387"/>
      <c r="M401" s="380" t="str">
        <f t="array" ref="M401">IF(L401="","",(MAX(IF(AN$15:AN$144=B401,AO$15:AO$144))/60))</f>
        <v/>
      </c>
      <c r="N401" s="387"/>
      <c r="O401" s="387"/>
      <c r="P401" s="381" t="str">
        <f t="shared" si="25"/>
        <v/>
      </c>
      <c r="Q401" s="382" t="str">
        <f t="array" ref="Q401">IFERROR(INDEX($D$13:$D$1000,MATCH(0,COUNTIF($Q$12:Q400,$D$13:$D$1000&amp;"")+IF($D$13:$D$1000="",1,0),0)),"")</f>
        <v/>
      </c>
      <c r="R401" s="356" t="str">
        <f t="shared" si="26"/>
        <v/>
      </c>
      <c r="S401" s="383" t="str">
        <f t="shared" si="24"/>
        <v/>
      </c>
      <c r="T401" s="384" t="str">
        <f t="shared" si="27"/>
        <v/>
      </c>
      <c r="U401" s="349"/>
      <c r="V401" s="385"/>
      <c r="W401" s="385"/>
      <c r="X401" s="386"/>
    </row>
    <row r="402" spans="2:24">
      <c r="B402" s="395"/>
      <c r="C402" s="371"/>
      <c r="D402" s="372" t="str">
        <f>IFERROR(INDEX('[12]Equipment List'!$B$2:$B$2038,MATCH(E402,'[12]Equipment List'!$A$2:$A$2038,0)),"")</f>
        <v/>
      </c>
      <c r="E402" s="388"/>
      <c r="F402" s="374"/>
      <c r="G402" s="375"/>
      <c r="H402" s="397"/>
      <c r="I402" s="377"/>
      <c r="J402" s="378"/>
      <c r="K402" s="379"/>
      <c r="L402" s="387"/>
      <c r="M402" s="380" t="str">
        <f t="array" ref="M402">IF(L402="","",(MAX(IF(AN$15:AN$144=B402,AO$15:AO$144))/60))</f>
        <v/>
      </c>
      <c r="N402" s="387"/>
      <c r="O402" s="387"/>
      <c r="P402" s="381" t="str">
        <f t="shared" si="25"/>
        <v/>
      </c>
      <c r="Q402" s="382" t="str">
        <f t="array" ref="Q402">IFERROR(INDEX($D$13:$D$1000,MATCH(0,COUNTIF($Q$12:Q401,$D$13:$D$1000&amp;"")+IF($D$13:$D$1000="",1,0),0)),"")</f>
        <v/>
      </c>
      <c r="R402" s="356" t="str">
        <f t="shared" si="26"/>
        <v/>
      </c>
      <c r="S402" s="383" t="str">
        <f t="shared" si="24"/>
        <v/>
      </c>
      <c r="T402" s="384" t="str">
        <f t="shared" si="27"/>
        <v/>
      </c>
      <c r="U402" s="349"/>
      <c r="V402" s="385"/>
      <c r="W402" s="385"/>
      <c r="X402" s="386"/>
    </row>
    <row r="403" spans="2:24">
      <c r="B403" s="395"/>
      <c r="C403" s="371"/>
      <c r="D403" s="372" t="str">
        <f>IFERROR(INDEX('[12]Equipment List'!$B$2:$B$2038,MATCH(E403,'[12]Equipment List'!$A$2:$A$2038,0)),"")</f>
        <v/>
      </c>
      <c r="E403" s="388"/>
      <c r="F403" s="374"/>
      <c r="G403" s="375"/>
      <c r="H403" s="397"/>
      <c r="I403" s="377"/>
      <c r="J403" s="378"/>
      <c r="K403" s="379"/>
      <c r="L403" s="387"/>
      <c r="M403" s="380" t="str">
        <f t="array" ref="M403">IF(L403="","",(MAX(IF(AN$15:AN$144=B403,AO$15:AO$144))/60))</f>
        <v/>
      </c>
      <c r="N403" s="387"/>
      <c r="O403" s="387"/>
      <c r="P403" s="381" t="str">
        <f t="shared" si="25"/>
        <v/>
      </c>
      <c r="Q403" s="382" t="str">
        <f t="array" ref="Q403">IFERROR(INDEX($D$13:$D$1000,MATCH(0,COUNTIF($Q$13:Q402,$D$13:$D$1000&amp;"")+IF($D$13:$D$1000="",1,0),0)),"")</f>
        <v/>
      </c>
      <c r="R403" s="356" t="str">
        <f t="shared" si="26"/>
        <v/>
      </c>
      <c r="S403" s="383" t="str">
        <f t="shared" si="24"/>
        <v/>
      </c>
      <c r="T403" s="384" t="str">
        <f t="shared" si="27"/>
        <v/>
      </c>
      <c r="U403" s="349"/>
      <c r="V403" s="385"/>
      <c r="W403" s="385"/>
      <c r="X403" s="386"/>
    </row>
    <row r="404" spans="2:24">
      <c r="B404" s="395"/>
      <c r="C404" s="371"/>
      <c r="D404" s="372" t="str">
        <f>IFERROR(INDEX('[12]Equipment List'!$B$2:$B$2038,MATCH(E404,'[12]Equipment List'!$A$2:$A$2038,0)),"")</f>
        <v/>
      </c>
      <c r="E404" s="388"/>
      <c r="F404" s="374"/>
      <c r="G404" s="375"/>
      <c r="H404" s="397"/>
      <c r="I404" s="377"/>
      <c r="J404" s="378"/>
      <c r="K404" s="379"/>
      <c r="L404" s="387"/>
      <c r="M404" s="380" t="str">
        <f t="array" ref="M404">IF(L404="","",(MAX(IF(AN$15:AN$144=B404,AO$15:AO$144))/60))</f>
        <v/>
      </c>
      <c r="N404" s="387"/>
      <c r="O404" s="387"/>
      <c r="P404" s="381" t="str">
        <f t="shared" si="25"/>
        <v/>
      </c>
      <c r="Q404" s="382" t="str">
        <f t="array" ref="Q404">IFERROR(INDEX($D$13:$D$1000,MATCH(0,COUNTIF($Q$13:Q403,$D$13:$D$1000&amp;"")+IF($D$13:$D$1000="",1,0),0)),"")</f>
        <v/>
      </c>
      <c r="R404" s="356" t="str">
        <f t="shared" si="26"/>
        <v/>
      </c>
      <c r="S404" s="383" t="str">
        <f t="shared" si="24"/>
        <v/>
      </c>
      <c r="T404" s="384" t="str">
        <f t="shared" si="27"/>
        <v/>
      </c>
      <c r="U404" s="349"/>
      <c r="V404" s="385"/>
      <c r="W404" s="385"/>
      <c r="X404" s="386"/>
    </row>
    <row r="405" spans="2:24">
      <c r="B405" s="395"/>
      <c r="C405" s="371"/>
      <c r="D405" s="372" t="str">
        <f>IFERROR(INDEX('[12]Equipment List'!$B$2:$B$2038,MATCH(E405,'[12]Equipment List'!$A$2:$A$2038,0)),"")</f>
        <v/>
      </c>
      <c r="E405" s="388"/>
      <c r="F405" s="374"/>
      <c r="G405" s="375"/>
      <c r="H405" s="397"/>
      <c r="I405" s="377"/>
      <c r="J405" s="378"/>
      <c r="K405" s="379"/>
      <c r="L405" s="387"/>
      <c r="M405" s="380" t="str">
        <f t="array" ref="M405">IF(L405="","",(MAX(IF(AN$15:AN$144=B405,AO$15:AO$144))/60))</f>
        <v/>
      </c>
      <c r="N405" s="387"/>
      <c r="O405" s="387"/>
      <c r="P405" s="381" t="str">
        <f t="shared" si="25"/>
        <v/>
      </c>
      <c r="Q405" s="382" t="str">
        <f t="array" ref="Q405">IFERROR(INDEX($D$13:$D$1000,MATCH(0,COUNTIF($Q$13:Q404,$D$13:$D$1000&amp;"")+IF($D$13:$D$1000="",1,0),0)),"")</f>
        <v/>
      </c>
      <c r="R405" s="356" t="str">
        <f t="shared" si="26"/>
        <v/>
      </c>
      <c r="S405" s="383" t="str">
        <f t="shared" si="24"/>
        <v/>
      </c>
      <c r="T405" s="384" t="str">
        <f t="shared" si="27"/>
        <v/>
      </c>
      <c r="U405" s="349"/>
      <c r="V405" s="385"/>
      <c r="W405" s="385"/>
      <c r="X405" s="386"/>
    </row>
    <row r="406" spans="2:24">
      <c r="B406" s="395"/>
      <c r="C406" s="371"/>
      <c r="D406" s="372" t="str">
        <f>IFERROR(INDEX('[12]Equipment List'!$B$2:$B$2038,MATCH(E406,'[12]Equipment List'!$A$2:$A$2038,0)),"")</f>
        <v/>
      </c>
      <c r="E406" s="388"/>
      <c r="F406" s="374"/>
      <c r="G406" s="375"/>
      <c r="H406" s="397"/>
      <c r="I406" s="377"/>
      <c r="J406" s="378"/>
      <c r="K406" s="379"/>
      <c r="L406" s="387"/>
      <c r="M406" s="380" t="str">
        <f t="array" ref="M406">IF(L406="","",(MAX(IF(AN$15:AN$144=B406,AO$15:AO$144))/60))</f>
        <v/>
      </c>
      <c r="N406" s="387"/>
      <c r="O406" s="387"/>
      <c r="P406" s="381" t="str">
        <f t="shared" si="25"/>
        <v/>
      </c>
      <c r="Q406" s="382" t="str">
        <f t="array" ref="Q406">IFERROR(INDEX($D$13:$D$1000,MATCH(0,COUNTIF($Q$13:Q405,$D$13:$D$1000&amp;"")+IF($D$13:$D$1000="",1,0),0)),"")</f>
        <v/>
      </c>
      <c r="R406" s="356" t="str">
        <f t="shared" si="26"/>
        <v/>
      </c>
      <c r="S406" s="383" t="str">
        <f t="shared" si="24"/>
        <v/>
      </c>
      <c r="T406" s="384" t="str">
        <f t="shared" si="27"/>
        <v/>
      </c>
      <c r="U406" s="349"/>
      <c r="V406" s="385"/>
      <c r="W406" s="385"/>
      <c r="X406" s="386"/>
    </row>
    <row r="407" spans="2:24">
      <c r="B407" s="395"/>
      <c r="C407" s="371"/>
      <c r="D407" s="372" t="str">
        <f>IFERROR(INDEX('[12]Equipment List'!$B$2:$B$2038,MATCH(E407,'[12]Equipment List'!$A$2:$A$2038,0)),"")</f>
        <v/>
      </c>
      <c r="E407" s="388"/>
      <c r="F407" s="374"/>
      <c r="G407" s="375"/>
      <c r="H407" s="397"/>
      <c r="I407" s="377"/>
      <c r="J407" s="378"/>
      <c r="K407" s="379"/>
      <c r="L407" s="387"/>
      <c r="M407" s="380" t="str">
        <f t="array" ref="M407">IF(L407="","",(MAX(IF(AN$15:AN$144=B407,AO$15:AO$144))/60))</f>
        <v/>
      </c>
      <c r="N407" s="387"/>
      <c r="O407" s="387"/>
      <c r="P407" s="381" t="str">
        <f t="shared" si="25"/>
        <v/>
      </c>
      <c r="Q407" s="382" t="str">
        <f t="array" ref="Q407">IFERROR(INDEX($D$13:$D$1000,MATCH(0,COUNTIF($Q$13:Q406,$D$13:$D$1000&amp;"")+IF($D$13:$D$1000="",1,0),0)),"")</f>
        <v/>
      </c>
      <c r="R407" s="356" t="str">
        <f t="shared" si="26"/>
        <v/>
      </c>
      <c r="S407" s="383" t="str">
        <f t="shared" si="24"/>
        <v/>
      </c>
      <c r="T407" s="384" t="str">
        <f t="shared" si="27"/>
        <v/>
      </c>
      <c r="U407" s="349"/>
      <c r="V407" s="385"/>
      <c r="W407" s="385"/>
      <c r="X407" s="386"/>
    </row>
    <row r="408" spans="2:24">
      <c r="B408" s="395"/>
      <c r="C408" s="371"/>
      <c r="D408" s="372" t="str">
        <f>IFERROR(INDEX('[12]Equipment List'!$B$2:$B$2038,MATCH(E408,'[12]Equipment List'!$A$2:$A$2038,0)),"")</f>
        <v/>
      </c>
      <c r="E408" s="388"/>
      <c r="F408" s="374"/>
      <c r="G408" s="375"/>
      <c r="H408" s="397"/>
      <c r="I408" s="377"/>
      <c r="J408" s="378"/>
      <c r="K408" s="379"/>
      <c r="L408" s="387"/>
      <c r="M408" s="380" t="str">
        <f t="array" ref="M408">IF(L408="","",(MAX(IF(AN$15:AN$144=B408,AO$15:AO$144))/60))</f>
        <v/>
      </c>
      <c r="N408" s="387"/>
      <c r="O408" s="387"/>
      <c r="P408" s="381" t="str">
        <f t="shared" si="25"/>
        <v/>
      </c>
      <c r="Q408" s="382" t="str">
        <f t="array" ref="Q408">IFERROR(INDEX($D$13:$D$1000,MATCH(0,COUNTIF($Q$13:Q407,$D$13:$D$1000&amp;"")+IF($D$13:$D$1000="",1,0),0)),"")</f>
        <v/>
      </c>
      <c r="R408" s="356" t="str">
        <f t="shared" si="26"/>
        <v/>
      </c>
      <c r="S408" s="383" t="str">
        <f t="shared" si="24"/>
        <v/>
      </c>
      <c r="T408" s="384" t="str">
        <f t="shared" si="27"/>
        <v/>
      </c>
      <c r="U408" s="349"/>
      <c r="V408" s="385"/>
      <c r="W408" s="385"/>
      <c r="X408" s="386"/>
    </row>
    <row r="409" spans="2:24">
      <c r="B409" s="395"/>
      <c r="C409" s="371"/>
      <c r="D409" s="372" t="str">
        <f>IFERROR(INDEX('[12]Equipment List'!$B$2:$B$2038,MATCH(E409,'[12]Equipment List'!$A$2:$A$2038,0)),"")</f>
        <v/>
      </c>
      <c r="E409" s="388"/>
      <c r="F409" s="374"/>
      <c r="G409" s="375"/>
      <c r="H409" s="397"/>
      <c r="I409" s="377"/>
      <c r="J409" s="378"/>
      <c r="K409" s="379"/>
      <c r="L409" s="387"/>
      <c r="M409" s="380" t="str">
        <f t="array" ref="M409">IF(L409="","",(MAX(IF(AN$15:AN$144=B409,AO$15:AO$144))/60))</f>
        <v/>
      </c>
      <c r="N409" s="387"/>
      <c r="O409" s="387"/>
      <c r="P409" s="381" t="str">
        <f t="shared" si="25"/>
        <v/>
      </c>
      <c r="Q409" s="382" t="str">
        <f t="array" ref="Q409">IFERROR(INDEX($D$13:$D$1000,MATCH(0,COUNTIF($Q$13:Q408,$D$13:$D$1000&amp;"")+IF($D$13:$D$1000="",1,0),0)),"")</f>
        <v/>
      </c>
      <c r="R409" s="356" t="str">
        <f t="shared" si="26"/>
        <v/>
      </c>
      <c r="S409" s="383" t="str">
        <f t="shared" si="24"/>
        <v/>
      </c>
      <c r="T409" s="384" t="str">
        <f t="shared" si="27"/>
        <v/>
      </c>
      <c r="U409" s="349"/>
      <c r="V409" s="385"/>
      <c r="W409" s="385"/>
      <c r="X409" s="386"/>
    </row>
    <row r="410" spans="2:24">
      <c r="B410" s="395"/>
      <c r="C410" s="371"/>
      <c r="D410" s="372" t="str">
        <f>IFERROR(INDEX('[12]Equipment List'!$B$2:$B$2038,MATCH(E410,'[12]Equipment List'!$A$2:$A$2038,0)),"")</f>
        <v/>
      </c>
      <c r="E410" s="388"/>
      <c r="F410" s="374"/>
      <c r="G410" s="375"/>
      <c r="H410" s="397"/>
      <c r="I410" s="377"/>
      <c r="J410" s="378"/>
      <c r="K410" s="379"/>
      <c r="L410" s="387"/>
      <c r="M410" s="380" t="str">
        <f t="array" ref="M410">IF(L410="","",(MAX(IF(AN$15:AN$144=B410,AO$15:AO$144))/60))</f>
        <v/>
      </c>
      <c r="N410" s="387"/>
      <c r="O410" s="387"/>
      <c r="P410" s="381" t="str">
        <f t="shared" si="25"/>
        <v/>
      </c>
      <c r="Q410" s="382" t="str">
        <f t="array" ref="Q410">IFERROR(INDEX($D$13:$D$1000,MATCH(0,COUNTIF($Q$13:Q409,$D$13:$D$1000&amp;"")+IF($D$13:$D$1000="",1,0),0)),"")</f>
        <v/>
      </c>
      <c r="R410" s="356" t="str">
        <f t="shared" si="26"/>
        <v/>
      </c>
      <c r="S410" s="383" t="str">
        <f t="shared" si="24"/>
        <v/>
      </c>
      <c r="T410" s="384" t="str">
        <f t="shared" si="27"/>
        <v/>
      </c>
      <c r="U410" s="349"/>
      <c r="V410" s="385"/>
      <c r="W410" s="385"/>
      <c r="X410" s="386"/>
    </row>
    <row r="411" spans="2:24">
      <c r="B411" s="395"/>
      <c r="C411" s="371"/>
      <c r="D411" s="372" t="str">
        <f>IFERROR(INDEX('[12]Equipment List'!$B$2:$B$2038,MATCH(E411,'[12]Equipment List'!$A$2:$A$2038,0)),"")</f>
        <v/>
      </c>
      <c r="E411" s="388"/>
      <c r="F411" s="374"/>
      <c r="G411" s="375"/>
      <c r="H411" s="397"/>
      <c r="I411" s="377"/>
      <c r="J411" s="378"/>
      <c r="K411" s="379"/>
      <c r="L411" s="387"/>
      <c r="M411" s="380" t="str">
        <f t="array" ref="M411">IF(L411="","",(MAX(IF(AN$15:AN$144=B411,AO$15:AO$144))/60))</f>
        <v/>
      </c>
      <c r="N411" s="387"/>
      <c r="O411" s="387"/>
      <c r="P411" s="381" t="str">
        <f t="shared" si="25"/>
        <v/>
      </c>
      <c r="Q411" s="382" t="str">
        <f t="array" ref="Q411">IFERROR(INDEX($D$13:$D$1000,MATCH(0,COUNTIF($Q$13:Q410,$D$13:$D$1000&amp;"")+IF($D$13:$D$1000="",1,0),0)),"")</f>
        <v/>
      </c>
      <c r="R411" s="356" t="str">
        <f t="shared" si="26"/>
        <v/>
      </c>
      <c r="S411" s="383" t="str">
        <f t="shared" si="24"/>
        <v/>
      </c>
      <c r="T411" s="384" t="str">
        <f t="shared" si="27"/>
        <v/>
      </c>
      <c r="U411" s="349"/>
      <c r="V411" s="385"/>
      <c r="W411" s="385"/>
      <c r="X411" s="386"/>
    </row>
    <row r="412" spans="2:24">
      <c r="B412" s="395"/>
      <c r="C412" s="371"/>
      <c r="D412" s="372" t="str">
        <f>IFERROR(INDEX('[12]Equipment List'!$B$2:$B$2038,MATCH(E412,'[12]Equipment List'!$A$2:$A$2038,0)),"")</f>
        <v/>
      </c>
      <c r="E412" s="388"/>
      <c r="F412" s="374"/>
      <c r="G412" s="375"/>
      <c r="H412" s="397"/>
      <c r="I412" s="377"/>
      <c r="J412" s="378"/>
      <c r="K412" s="379"/>
      <c r="L412" s="387"/>
      <c r="M412" s="380" t="str">
        <f t="array" ref="M412">IF(L412="","",(MAX(IF(AN$15:AN$144=B412,AO$15:AO$144))/60))</f>
        <v/>
      </c>
      <c r="N412" s="387"/>
      <c r="O412" s="387"/>
      <c r="P412" s="381" t="str">
        <f t="shared" si="25"/>
        <v/>
      </c>
      <c r="Q412" s="382" t="str">
        <f t="array" ref="Q412">IFERROR(INDEX($D$13:$D$1000,MATCH(0,COUNTIF($Q$13:Q411,$D$13:$D$1000&amp;"")+IF($D$13:$D$1000="",1,0),0)),"")</f>
        <v/>
      </c>
      <c r="R412" s="356" t="str">
        <f t="shared" si="26"/>
        <v/>
      </c>
      <c r="S412" s="383" t="str">
        <f t="shared" si="24"/>
        <v/>
      </c>
      <c r="T412" s="384" t="str">
        <f t="shared" si="27"/>
        <v/>
      </c>
      <c r="U412" s="349"/>
      <c r="V412" s="385"/>
      <c r="W412" s="385"/>
      <c r="X412" s="386"/>
    </row>
    <row r="413" spans="2:24">
      <c r="B413" s="395"/>
      <c r="C413" s="371"/>
      <c r="D413" s="372" t="str">
        <f>IFERROR(INDEX('[12]Equipment List'!$B$2:$B$2038,MATCH(E413,'[12]Equipment List'!$A$2:$A$2038,0)),"")</f>
        <v/>
      </c>
      <c r="E413" s="388"/>
      <c r="F413" s="374"/>
      <c r="G413" s="375"/>
      <c r="H413" s="397"/>
      <c r="I413" s="377"/>
      <c r="J413" s="378"/>
      <c r="K413" s="379"/>
      <c r="L413" s="387"/>
      <c r="M413" s="380" t="str">
        <f t="array" ref="M413">IF(L413="","",(MAX(IF(AN$15:AN$144=B413,AO$15:AO$144))/60))</f>
        <v/>
      </c>
      <c r="N413" s="387"/>
      <c r="O413" s="387"/>
      <c r="P413" s="381" t="str">
        <f t="shared" si="25"/>
        <v/>
      </c>
      <c r="Q413" s="382" t="str">
        <f t="array" ref="Q413">IFERROR(INDEX($D$13:$D$1000,MATCH(0,COUNTIF($Q$13:Q412,$D$13:$D$1000&amp;"")+IF($D$13:$D$1000="",1,0),0)),"")</f>
        <v/>
      </c>
      <c r="R413" s="356" t="str">
        <f t="shared" si="26"/>
        <v/>
      </c>
      <c r="S413" s="383" t="str">
        <f t="shared" si="24"/>
        <v/>
      </c>
      <c r="T413" s="384" t="str">
        <f t="shared" si="27"/>
        <v/>
      </c>
      <c r="U413" s="349"/>
      <c r="V413" s="385"/>
      <c r="W413" s="385"/>
      <c r="X413" s="386"/>
    </row>
    <row r="414" spans="2:24">
      <c r="B414" s="395"/>
      <c r="C414" s="371"/>
      <c r="D414" s="372" t="str">
        <f>IFERROR(INDEX('[12]Equipment List'!$B$2:$B$2038,MATCH(E414,'[12]Equipment List'!$A$2:$A$2038,0)),"")</f>
        <v/>
      </c>
      <c r="E414" s="388"/>
      <c r="F414" s="374"/>
      <c r="G414" s="375"/>
      <c r="H414" s="397"/>
      <c r="I414" s="377"/>
      <c r="J414" s="378"/>
      <c r="K414" s="379"/>
      <c r="L414" s="387"/>
      <c r="M414" s="380" t="str">
        <f t="array" ref="M414">IF(L414="","",(MAX(IF(AN$15:AN$144=B414,AO$15:AO$144))/60))</f>
        <v/>
      </c>
      <c r="N414" s="387"/>
      <c r="O414" s="387"/>
      <c r="P414" s="381" t="str">
        <f t="shared" si="25"/>
        <v/>
      </c>
      <c r="Q414" s="382" t="str">
        <f t="array" ref="Q414">IFERROR(INDEX($D$13:$D$1000,MATCH(0,COUNTIF($Q$13:Q413,$D$13:$D$1000&amp;"")+IF($D$13:$D$1000="",1,0),0)),"")</f>
        <v/>
      </c>
      <c r="R414" s="356" t="str">
        <f t="shared" si="26"/>
        <v/>
      </c>
      <c r="S414" s="383" t="str">
        <f t="shared" si="24"/>
        <v/>
      </c>
      <c r="T414" s="384" t="str">
        <f t="shared" si="27"/>
        <v/>
      </c>
      <c r="U414" s="349"/>
      <c r="V414" s="385"/>
      <c r="W414" s="385"/>
      <c r="X414" s="386"/>
    </row>
    <row r="415" spans="2:24">
      <c r="B415" s="395"/>
      <c r="C415" s="371"/>
      <c r="D415" s="372" t="str">
        <f>IFERROR(INDEX('[12]Equipment List'!$B$2:$B$2038,MATCH(E415,'[12]Equipment List'!$A$2:$A$2038,0)),"")</f>
        <v/>
      </c>
      <c r="E415" s="388"/>
      <c r="F415" s="374"/>
      <c r="G415" s="375"/>
      <c r="H415" s="397"/>
      <c r="I415" s="377"/>
      <c r="J415" s="378"/>
      <c r="K415" s="379"/>
      <c r="L415" s="387"/>
      <c r="M415" s="380" t="str">
        <f t="array" ref="M415">IF(L415="","",(MAX(IF(AN$15:AN$144=B415,AO$15:AO$144))/60))</f>
        <v/>
      </c>
      <c r="N415" s="387"/>
      <c r="O415" s="387"/>
      <c r="P415" s="381" t="str">
        <f t="shared" si="25"/>
        <v/>
      </c>
      <c r="Q415" s="382" t="str">
        <f t="array" ref="Q415">IFERROR(INDEX($D$13:$D$1000,MATCH(0,COUNTIF($Q$13:Q414,$D$13:$D$1000&amp;"")+IF($D$13:$D$1000="",1,0),0)),"")</f>
        <v/>
      </c>
      <c r="R415" s="356" t="str">
        <f t="shared" si="26"/>
        <v/>
      </c>
      <c r="S415" s="383" t="str">
        <f t="shared" si="24"/>
        <v/>
      </c>
      <c r="T415" s="384" t="str">
        <f t="shared" si="27"/>
        <v/>
      </c>
      <c r="U415" s="349"/>
      <c r="V415" s="385"/>
      <c r="W415" s="385"/>
      <c r="X415" s="386"/>
    </row>
    <row r="416" spans="2:24">
      <c r="B416" s="395"/>
      <c r="C416" s="371"/>
      <c r="D416" s="372" t="str">
        <f>IFERROR(INDEX('[12]Equipment List'!$B$2:$B$2038,MATCH(E416,'[12]Equipment List'!$A$2:$A$2038,0)),"")</f>
        <v/>
      </c>
      <c r="E416" s="388"/>
      <c r="F416" s="374"/>
      <c r="G416" s="375"/>
      <c r="H416" s="397"/>
      <c r="I416" s="377"/>
      <c r="J416" s="378"/>
      <c r="K416" s="379"/>
      <c r="L416" s="387"/>
      <c r="M416" s="380" t="str">
        <f t="array" ref="M416">IF(L416="","",(MAX(IF(AN$15:AN$144=B416,AO$15:AO$144))/60))</f>
        <v/>
      </c>
      <c r="N416" s="387"/>
      <c r="O416" s="387"/>
      <c r="P416" s="381" t="str">
        <f t="shared" si="25"/>
        <v/>
      </c>
      <c r="Q416" s="382" t="str">
        <f t="array" ref="Q416">IFERROR(INDEX($D$13:$D$1000,MATCH(0,COUNTIF($Q$13:Q415,$D$13:$D$1000&amp;"")+IF($D$13:$D$1000="",1,0),0)),"")</f>
        <v/>
      </c>
      <c r="R416" s="356" t="str">
        <f t="shared" si="26"/>
        <v/>
      </c>
      <c r="S416" s="383" t="str">
        <f t="shared" si="24"/>
        <v/>
      </c>
      <c r="T416" s="384" t="str">
        <f t="shared" si="27"/>
        <v/>
      </c>
      <c r="U416" s="349"/>
      <c r="V416" s="385"/>
      <c r="W416" s="385"/>
      <c r="X416" s="386"/>
    </row>
    <row r="417" spans="2:24">
      <c r="B417" s="395"/>
      <c r="C417" s="371"/>
      <c r="D417" s="372" t="str">
        <f>IFERROR(INDEX('[12]Equipment List'!$B$2:$B$2038,MATCH(E417,'[12]Equipment List'!$A$2:$A$2038,0)),"")</f>
        <v/>
      </c>
      <c r="E417" s="388"/>
      <c r="F417" s="374"/>
      <c r="G417" s="375"/>
      <c r="H417" s="397"/>
      <c r="I417" s="377"/>
      <c r="J417" s="378"/>
      <c r="K417" s="379"/>
      <c r="L417" s="387"/>
      <c r="M417" s="380" t="str">
        <f t="array" ref="M417">IF(L417="","",(MAX(IF(AN$15:AN$144=B417,AO$15:AO$144))/60))</f>
        <v/>
      </c>
      <c r="N417" s="387"/>
      <c r="O417" s="387"/>
      <c r="P417" s="381" t="str">
        <f t="shared" si="25"/>
        <v/>
      </c>
      <c r="Q417" s="382" t="str">
        <f t="array" ref="Q417">IFERROR(INDEX($D$13:$D$1000,MATCH(0,COUNTIF($Q$13:Q416,$D$13:$D$1000&amp;"")+IF($D$13:$D$1000="",1,0),0)),"")</f>
        <v/>
      </c>
      <c r="R417" s="356" t="str">
        <f t="shared" si="26"/>
        <v/>
      </c>
      <c r="S417" s="383" t="str">
        <f t="shared" si="24"/>
        <v/>
      </c>
      <c r="T417" s="384" t="str">
        <f t="shared" si="27"/>
        <v/>
      </c>
      <c r="U417" s="349"/>
      <c r="V417" s="385"/>
      <c r="W417" s="385"/>
      <c r="X417" s="386"/>
    </row>
    <row r="418" spans="2:24">
      <c r="B418" s="395"/>
      <c r="C418" s="371"/>
      <c r="D418" s="372" t="str">
        <f>IFERROR(INDEX('[12]Equipment List'!$B$2:$B$2038,MATCH(E418,'[12]Equipment List'!$A$2:$A$2038,0)),"")</f>
        <v/>
      </c>
      <c r="E418" s="388"/>
      <c r="F418" s="374"/>
      <c r="G418" s="375"/>
      <c r="H418" s="397"/>
      <c r="I418" s="377"/>
      <c r="J418" s="378"/>
      <c r="K418" s="379"/>
      <c r="L418" s="387"/>
      <c r="M418" s="380" t="str">
        <f t="array" ref="M418">IF(L418="","",(MAX(IF(AN$15:AN$144=B418,AO$15:AO$144))/60))</f>
        <v/>
      </c>
      <c r="N418" s="387"/>
      <c r="O418" s="387"/>
      <c r="P418" s="381" t="str">
        <f t="shared" si="25"/>
        <v/>
      </c>
      <c r="Q418" s="382" t="str">
        <f t="array" ref="Q418">IFERROR(INDEX($D$13:$D$1000,MATCH(0,COUNTIF($Q$13:Q417,$D$13:$D$1000&amp;"")+IF($D$13:$D$1000="",1,0),0)),"")</f>
        <v/>
      </c>
      <c r="R418" s="356" t="str">
        <f t="shared" si="26"/>
        <v/>
      </c>
      <c r="S418" s="383" t="str">
        <f t="shared" si="24"/>
        <v/>
      </c>
      <c r="T418" s="384" t="str">
        <f t="shared" si="27"/>
        <v/>
      </c>
      <c r="U418" s="349"/>
      <c r="V418" s="385"/>
      <c r="W418" s="385"/>
      <c r="X418" s="386"/>
    </row>
    <row r="419" spans="2:24">
      <c r="B419" s="395"/>
      <c r="C419" s="371"/>
      <c r="D419" s="372" t="str">
        <f>IFERROR(INDEX('[12]Equipment List'!$B$2:$B$2038,MATCH(E419,'[12]Equipment List'!$A$2:$A$2038,0)),"")</f>
        <v/>
      </c>
      <c r="E419" s="388"/>
      <c r="F419" s="374"/>
      <c r="G419" s="375"/>
      <c r="H419" s="397"/>
      <c r="I419" s="377"/>
      <c r="J419" s="378"/>
      <c r="K419" s="379"/>
      <c r="L419" s="387"/>
      <c r="M419" s="380" t="str">
        <f t="array" ref="M419">IF(L419="","",(MAX(IF(AN$15:AN$144=B419,AO$15:AO$144))/60))</f>
        <v/>
      </c>
      <c r="N419" s="387"/>
      <c r="O419" s="387"/>
      <c r="P419" s="381" t="str">
        <f t="shared" si="25"/>
        <v/>
      </c>
      <c r="Q419" s="382" t="str">
        <f t="array" ref="Q419">IFERROR(INDEX($D$13:$D$1000,MATCH(0,COUNTIF($Q$13:Q418,$D$13:$D$1000&amp;"")+IF($D$13:$D$1000="",1,0),0)),"")</f>
        <v/>
      </c>
      <c r="R419" s="356" t="str">
        <f t="shared" si="26"/>
        <v/>
      </c>
      <c r="S419" s="383" t="str">
        <f t="shared" si="24"/>
        <v/>
      </c>
      <c r="T419" s="384" t="str">
        <f t="shared" si="27"/>
        <v/>
      </c>
      <c r="U419" s="349"/>
      <c r="V419" s="385"/>
      <c r="W419" s="385"/>
      <c r="X419" s="386"/>
    </row>
    <row r="420" spans="2:24">
      <c r="B420" s="395"/>
      <c r="C420" s="371"/>
      <c r="D420" s="372" t="str">
        <f>IFERROR(INDEX('[12]Equipment List'!$B$2:$B$2038,MATCH(E420,'[12]Equipment List'!$A$2:$A$2038,0)),"")</f>
        <v/>
      </c>
      <c r="E420" s="388"/>
      <c r="F420" s="374"/>
      <c r="G420" s="375"/>
      <c r="H420" s="397"/>
      <c r="I420" s="377"/>
      <c r="J420" s="378"/>
      <c r="K420" s="379"/>
      <c r="L420" s="387"/>
      <c r="M420" s="380" t="str">
        <f t="array" ref="M420">IF(L420="","",(MAX(IF(AN$15:AN$144=B420,AO$15:AO$144))/60))</f>
        <v/>
      </c>
      <c r="N420" s="387"/>
      <c r="O420" s="387"/>
      <c r="P420" s="381" t="str">
        <f t="shared" si="25"/>
        <v/>
      </c>
      <c r="Q420" s="382" t="str">
        <f t="array" ref="Q420">IFERROR(INDEX($D$13:$D$1000,MATCH(0,COUNTIF($Q$13:Q419,$D$13:$D$1000&amp;"")+IF($D$13:$D$1000="",1,0),0)),"")</f>
        <v/>
      </c>
      <c r="R420" s="356" t="str">
        <f t="shared" si="26"/>
        <v/>
      </c>
      <c r="S420" s="383" t="str">
        <f t="shared" si="24"/>
        <v/>
      </c>
      <c r="T420" s="384" t="str">
        <f t="shared" si="27"/>
        <v/>
      </c>
      <c r="U420" s="349"/>
      <c r="V420" s="385"/>
      <c r="W420" s="385"/>
      <c r="X420" s="386"/>
    </row>
    <row r="421" spans="2:24">
      <c r="B421" s="395"/>
      <c r="C421" s="371"/>
      <c r="D421" s="372" t="str">
        <f>IFERROR(INDEX('[12]Equipment List'!$B$2:$B$2038,MATCH(E421,'[12]Equipment List'!$A$2:$A$2038,0)),"")</f>
        <v/>
      </c>
      <c r="E421" s="388"/>
      <c r="F421" s="374"/>
      <c r="G421" s="375"/>
      <c r="H421" s="397"/>
      <c r="I421" s="377"/>
      <c r="J421" s="378"/>
      <c r="K421" s="379"/>
      <c r="L421" s="387"/>
      <c r="M421" s="380" t="str">
        <f t="array" ref="M421">IF(L421="","",(MAX(IF(AN$15:AN$144=B421,AO$15:AO$144))/60))</f>
        <v/>
      </c>
      <c r="N421" s="387"/>
      <c r="O421" s="387"/>
      <c r="P421" s="381" t="str">
        <f t="shared" si="25"/>
        <v/>
      </c>
      <c r="Q421" s="382" t="str">
        <f t="array" ref="Q421">IFERROR(INDEX($D$13:$D$1000,MATCH(0,COUNTIF($Q$13:Q420,$D$13:$D$1000&amp;"")+IF($D$13:$D$1000="",1,0),0)),"")</f>
        <v/>
      </c>
      <c r="R421" s="356" t="str">
        <f t="shared" si="26"/>
        <v/>
      </c>
      <c r="S421" s="383" t="str">
        <f t="shared" si="24"/>
        <v/>
      </c>
      <c r="T421" s="384" t="str">
        <f t="shared" si="27"/>
        <v/>
      </c>
      <c r="U421" s="349"/>
      <c r="V421" s="385"/>
      <c r="W421" s="385"/>
      <c r="X421" s="386"/>
    </row>
    <row r="422" spans="2:24">
      <c r="B422" s="395"/>
      <c r="C422" s="371"/>
      <c r="D422" s="372" t="str">
        <f>IFERROR(INDEX('[12]Equipment List'!$B$2:$B$2038,MATCH(E422,'[12]Equipment List'!$A$2:$A$2038,0)),"")</f>
        <v/>
      </c>
      <c r="E422" s="388"/>
      <c r="F422" s="374"/>
      <c r="G422" s="375"/>
      <c r="H422" s="397"/>
      <c r="I422" s="377"/>
      <c r="J422" s="378"/>
      <c r="K422" s="379"/>
      <c r="L422" s="387"/>
      <c r="M422" s="380" t="str">
        <f t="array" ref="M422">IF(L422="","",(MAX(IF(AN$15:AN$144=B422,AO$15:AO$144))/60))</f>
        <v/>
      </c>
      <c r="N422" s="387"/>
      <c r="O422" s="387"/>
      <c r="P422" s="381" t="str">
        <f t="shared" si="25"/>
        <v/>
      </c>
      <c r="Q422" s="382" t="str">
        <f t="array" ref="Q422">IFERROR(INDEX($D$13:$D$1000,MATCH(0,COUNTIF($Q$13:Q421,$D$13:$D$1000&amp;"")+IF($D$13:$D$1000="",1,0),0)),"")</f>
        <v/>
      </c>
      <c r="R422" s="356" t="str">
        <f t="shared" si="26"/>
        <v/>
      </c>
      <c r="S422" s="383" t="str">
        <f t="shared" si="24"/>
        <v/>
      </c>
      <c r="T422" s="384" t="str">
        <f t="shared" si="27"/>
        <v/>
      </c>
      <c r="U422" s="349"/>
      <c r="V422" s="385"/>
      <c r="W422" s="385"/>
      <c r="X422" s="386"/>
    </row>
    <row r="423" spans="2:24">
      <c r="B423" s="395"/>
      <c r="C423" s="371"/>
      <c r="D423" s="372" t="str">
        <f>IFERROR(INDEX('[12]Equipment List'!$B$2:$B$2038,MATCH(E423,'[12]Equipment List'!$A$2:$A$2038,0)),"")</f>
        <v/>
      </c>
      <c r="E423" s="388"/>
      <c r="F423" s="374"/>
      <c r="G423" s="375"/>
      <c r="H423" s="397"/>
      <c r="I423" s="377"/>
      <c r="J423" s="378"/>
      <c r="K423" s="379"/>
      <c r="L423" s="387"/>
      <c r="M423" s="380" t="str">
        <f t="array" ref="M423">IF(L423="","",(MAX(IF(AN$15:AN$144=B423,AO$15:AO$144))/60))</f>
        <v/>
      </c>
      <c r="N423" s="387"/>
      <c r="O423" s="387"/>
      <c r="P423" s="381" t="str">
        <f t="shared" si="25"/>
        <v/>
      </c>
      <c r="Q423" s="382" t="str">
        <f t="array" ref="Q423">IFERROR(INDEX($D$13:$D$1000,MATCH(0,COUNTIF($Q$13:Q422,$D$13:$D$1000&amp;"")+IF($D$13:$D$1000="",1,0),0)),"")</f>
        <v/>
      </c>
      <c r="R423" s="356" t="str">
        <f t="shared" si="26"/>
        <v/>
      </c>
      <c r="S423" s="383" t="str">
        <f t="shared" si="24"/>
        <v/>
      </c>
      <c r="T423" s="384" t="str">
        <f t="shared" si="27"/>
        <v/>
      </c>
      <c r="U423" s="349"/>
      <c r="V423" s="385"/>
      <c r="W423" s="385"/>
      <c r="X423" s="386"/>
    </row>
    <row r="424" spans="2:24">
      <c r="B424" s="395"/>
      <c r="C424" s="371"/>
      <c r="D424" s="372" t="str">
        <f>IFERROR(INDEX('[12]Equipment List'!$B$2:$B$2038,MATCH(E424,'[12]Equipment List'!$A$2:$A$2038,0)),"")</f>
        <v/>
      </c>
      <c r="E424" s="388"/>
      <c r="F424" s="374"/>
      <c r="G424" s="375"/>
      <c r="H424" s="397"/>
      <c r="I424" s="377"/>
      <c r="J424" s="378"/>
      <c r="K424" s="379"/>
      <c r="L424" s="387"/>
      <c r="M424" s="380" t="str">
        <f t="array" ref="M424">IF(L424="","",(MAX(IF(AN$15:AN$144=B424,AO$15:AO$144))/60))</f>
        <v/>
      </c>
      <c r="N424" s="387"/>
      <c r="O424" s="387"/>
      <c r="P424" s="381" t="str">
        <f t="shared" si="25"/>
        <v/>
      </c>
      <c r="Q424" s="382" t="str">
        <f t="array" ref="Q424">IFERROR(INDEX($D$13:$D$1000,MATCH(0,COUNTIF($Q$13:Q423,$D$13:$D$1000&amp;"")+IF($D$13:$D$1000="",1,0),0)),"")</f>
        <v/>
      </c>
      <c r="R424" s="356" t="str">
        <f t="shared" si="26"/>
        <v/>
      </c>
      <c r="S424" s="383" t="str">
        <f t="shared" si="24"/>
        <v/>
      </c>
      <c r="T424" s="384" t="str">
        <f t="shared" si="27"/>
        <v/>
      </c>
      <c r="U424" s="349"/>
      <c r="V424" s="385"/>
      <c r="W424" s="385"/>
      <c r="X424" s="386"/>
    </row>
    <row r="425" spans="2:24">
      <c r="B425" s="395"/>
      <c r="C425" s="371"/>
      <c r="D425" s="372" t="str">
        <f>IFERROR(INDEX('[12]Equipment List'!$B$2:$B$2038,MATCH(E425,'[12]Equipment List'!$A$2:$A$2038,0)),"")</f>
        <v/>
      </c>
      <c r="E425" s="388"/>
      <c r="F425" s="374"/>
      <c r="G425" s="375"/>
      <c r="H425" s="397"/>
      <c r="I425" s="377"/>
      <c r="J425" s="378"/>
      <c r="K425" s="379"/>
      <c r="L425" s="387"/>
      <c r="M425" s="380" t="str">
        <f t="array" ref="M425">IF(L425="","",(MAX(IF(AN$15:AN$144=B425,AO$15:AO$144))/60))</f>
        <v/>
      </c>
      <c r="N425" s="387"/>
      <c r="O425" s="387"/>
      <c r="P425" s="381" t="str">
        <f t="shared" si="25"/>
        <v/>
      </c>
      <c r="Q425" s="382" t="str">
        <f t="array" ref="Q425">IFERROR(INDEX($D$13:$D$1000,MATCH(0,COUNTIF($Q$13:Q424,$D$13:$D$1000&amp;"")+IF($D$13:$D$1000="",1,0),0)),"")</f>
        <v/>
      </c>
      <c r="R425" s="356" t="str">
        <f t="shared" si="26"/>
        <v/>
      </c>
      <c r="S425" s="383" t="str">
        <f t="shared" si="24"/>
        <v/>
      </c>
      <c r="T425" s="384" t="str">
        <f t="shared" si="27"/>
        <v/>
      </c>
      <c r="U425" s="349"/>
      <c r="V425" s="385"/>
      <c r="W425" s="385"/>
      <c r="X425" s="386"/>
    </row>
    <row r="426" spans="2:24">
      <c r="B426" s="395"/>
      <c r="C426" s="371"/>
      <c r="D426" s="372" t="str">
        <f>IFERROR(INDEX('[12]Equipment List'!$B$2:$B$2038,MATCH(E426,'[12]Equipment List'!$A$2:$A$2038,0)),"")</f>
        <v/>
      </c>
      <c r="E426" s="388"/>
      <c r="F426" s="374"/>
      <c r="G426" s="375"/>
      <c r="H426" s="397"/>
      <c r="I426" s="377"/>
      <c r="J426" s="378"/>
      <c r="K426" s="379"/>
      <c r="L426" s="387"/>
      <c r="M426" s="380" t="str">
        <f t="array" ref="M426">IF(L426="","",(MAX(IF(AN$15:AN$144=B426,AO$15:AO$144))/60))</f>
        <v/>
      </c>
      <c r="N426" s="387"/>
      <c r="O426" s="387"/>
      <c r="P426" s="381" t="str">
        <f t="shared" si="25"/>
        <v/>
      </c>
      <c r="Q426" s="382" t="str">
        <f t="array" ref="Q426">IFERROR(INDEX($D$13:$D$1000,MATCH(0,COUNTIF($Q$13:Q425,$D$13:$D$1000&amp;"")+IF($D$13:$D$1000="",1,0),0)),"")</f>
        <v/>
      </c>
      <c r="R426" s="356" t="str">
        <f t="shared" si="26"/>
        <v/>
      </c>
      <c r="S426" s="383" t="str">
        <f t="shared" si="24"/>
        <v/>
      </c>
      <c r="T426" s="384" t="str">
        <f t="shared" si="27"/>
        <v/>
      </c>
      <c r="U426" s="349"/>
      <c r="V426" s="385"/>
      <c r="W426" s="385"/>
      <c r="X426" s="386"/>
    </row>
    <row r="427" spans="2:24">
      <c r="B427" s="395"/>
      <c r="C427" s="371"/>
      <c r="D427" s="372" t="str">
        <f>IFERROR(INDEX('[12]Equipment List'!$B$2:$B$2038,MATCH(E427,'[12]Equipment List'!$A$2:$A$2038,0)),"")</f>
        <v/>
      </c>
      <c r="E427" s="388"/>
      <c r="F427" s="374"/>
      <c r="G427" s="375"/>
      <c r="H427" s="397"/>
      <c r="I427" s="377"/>
      <c r="J427" s="378"/>
      <c r="K427" s="379"/>
      <c r="L427" s="387"/>
      <c r="M427" s="380" t="str">
        <f t="array" ref="M427">IF(L427="","",(MAX(IF(AN$15:AN$144=B427,AO$15:AO$144))/60))</f>
        <v/>
      </c>
      <c r="N427" s="387"/>
      <c r="O427" s="387"/>
      <c r="P427" s="381" t="str">
        <f t="shared" si="25"/>
        <v/>
      </c>
      <c r="Q427" s="382" t="str">
        <f t="array" ref="Q427">IFERROR(INDEX($D$13:$D$1000,MATCH(0,COUNTIF($Q$13:Q426,$D$13:$D$1000&amp;"")+IF($D$13:$D$1000="",1,0),0)),"")</f>
        <v/>
      </c>
      <c r="R427" s="356" t="str">
        <f t="shared" si="26"/>
        <v/>
      </c>
      <c r="S427" s="383" t="str">
        <f t="shared" ref="S427:S490" si="28">IF($Q427="","",SUMIF($D$13:$D$1000,$Q427,I$13:I$1000))</f>
        <v/>
      </c>
      <c r="T427" s="384" t="str">
        <f t="shared" si="27"/>
        <v/>
      </c>
      <c r="U427" s="349"/>
      <c r="V427" s="385"/>
      <c r="W427" s="385"/>
      <c r="X427" s="386"/>
    </row>
    <row r="428" spans="2:24">
      <c r="B428" s="395"/>
      <c r="C428" s="371"/>
      <c r="D428" s="372" t="str">
        <f>IFERROR(INDEX('[12]Equipment List'!$B$2:$B$2038,MATCH(E428,'[12]Equipment List'!$A$2:$A$2038,0)),"")</f>
        <v/>
      </c>
      <c r="E428" s="388"/>
      <c r="F428" s="374"/>
      <c r="G428" s="375"/>
      <c r="H428" s="397"/>
      <c r="I428" s="377"/>
      <c r="J428" s="378"/>
      <c r="K428" s="379"/>
      <c r="L428" s="387"/>
      <c r="M428" s="380" t="str">
        <f t="array" ref="M428">IF(L428="","",(MAX(IF(AN$15:AN$144=B428,AO$15:AO$144))/60))</f>
        <v/>
      </c>
      <c r="N428" s="387"/>
      <c r="O428" s="387"/>
      <c r="P428" s="381" t="str">
        <f t="shared" si="25"/>
        <v/>
      </c>
      <c r="Q428" s="382" t="str">
        <f t="array" ref="Q428">IFERROR(INDEX($D$13:$D$1000,MATCH(0,COUNTIF($Q$13:Q427,$D$13:$D$1000&amp;"")+IF($D$13:$D$1000="",1,0),0)),"")</f>
        <v/>
      </c>
      <c r="R428" s="356" t="str">
        <f t="shared" si="26"/>
        <v/>
      </c>
      <c r="S428" s="383" t="str">
        <f t="shared" si="28"/>
        <v/>
      </c>
      <c r="T428" s="384" t="str">
        <f t="shared" si="27"/>
        <v/>
      </c>
      <c r="U428" s="349"/>
      <c r="V428" s="385"/>
      <c r="W428" s="385"/>
      <c r="X428" s="386"/>
    </row>
    <row r="429" spans="2:24">
      <c r="B429" s="395"/>
      <c r="C429" s="371"/>
      <c r="D429" s="372" t="str">
        <f>IFERROR(INDEX('[12]Equipment List'!$B$2:$B$2038,MATCH(E429,'[12]Equipment List'!$A$2:$A$2038,0)),"")</f>
        <v/>
      </c>
      <c r="E429" s="388"/>
      <c r="F429" s="374"/>
      <c r="G429" s="375"/>
      <c r="H429" s="397"/>
      <c r="I429" s="377"/>
      <c r="J429" s="378"/>
      <c r="K429" s="379"/>
      <c r="L429" s="387"/>
      <c r="M429" s="380" t="str">
        <f t="array" ref="M429">IF(L429="","",(MAX(IF(AN$15:AN$144=B429,AO$15:AO$144))/60))</f>
        <v/>
      </c>
      <c r="N429" s="387"/>
      <c r="O429" s="387"/>
      <c r="P429" s="381" t="str">
        <f t="shared" si="25"/>
        <v/>
      </c>
      <c r="Q429" s="382" t="str">
        <f t="array" ref="Q429">IFERROR(INDEX($D$13:$D$1000,MATCH(0,COUNTIF($Q$13:Q428,$D$13:$D$1000&amp;"")+IF($D$13:$D$1000="",1,0),0)),"")</f>
        <v/>
      </c>
      <c r="R429" s="356" t="str">
        <f t="shared" si="26"/>
        <v/>
      </c>
      <c r="S429" s="383" t="str">
        <f t="shared" si="28"/>
        <v/>
      </c>
      <c r="T429" s="384" t="str">
        <f t="shared" si="27"/>
        <v/>
      </c>
      <c r="U429" s="349"/>
      <c r="V429" s="385"/>
      <c r="W429" s="385"/>
      <c r="X429" s="386"/>
    </row>
    <row r="430" spans="2:24">
      <c r="B430" s="395"/>
      <c r="C430" s="371"/>
      <c r="D430" s="372" t="str">
        <f>IFERROR(INDEX('[12]Equipment List'!$B$2:$B$2038,MATCH(E430,'[12]Equipment List'!$A$2:$A$2038,0)),"")</f>
        <v/>
      </c>
      <c r="E430" s="388"/>
      <c r="F430" s="374"/>
      <c r="G430" s="375"/>
      <c r="H430" s="397"/>
      <c r="I430" s="377"/>
      <c r="J430" s="378"/>
      <c r="K430" s="379"/>
      <c r="L430" s="387"/>
      <c r="M430" s="380" t="str">
        <f t="array" ref="M430">IF(L430="","",(MAX(IF(AN$15:AN$144=B430,AO$15:AO$144))/60))</f>
        <v/>
      </c>
      <c r="N430" s="387"/>
      <c r="O430" s="387"/>
      <c r="P430" s="381" t="str">
        <f t="shared" si="25"/>
        <v/>
      </c>
      <c r="Q430" s="382" t="str">
        <f t="array" ref="Q430">IFERROR(INDEX($D$13:$D$1000,MATCH(0,COUNTIF($Q$13:Q429,$D$13:$D$1000&amp;"")+IF($D$13:$D$1000="",1,0),0)),"")</f>
        <v/>
      </c>
      <c r="R430" s="356" t="str">
        <f t="shared" si="26"/>
        <v/>
      </c>
      <c r="S430" s="383" t="str">
        <f t="shared" si="28"/>
        <v/>
      </c>
      <c r="T430" s="384" t="str">
        <f t="shared" si="27"/>
        <v/>
      </c>
      <c r="U430" s="349"/>
      <c r="V430" s="385"/>
      <c r="W430" s="385"/>
      <c r="X430" s="386"/>
    </row>
    <row r="431" spans="2:24">
      <c r="B431" s="395"/>
      <c r="C431" s="371"/>
      <c r="D431" s="372" t="str">
        <f>IFERROR(INDEX('[12]Equipment List'!$B$2:$B$2038,MATCH(E431,'[12]Equipment List'!$A$2:$A$2038,0)),"")</f>
        <v/>
      </c>
      <c r="E431" s="388"/>
      <c r="F431" s="374"/>
      <c r="G431" s="375"/>
      <c r="H431" s="397"/>
      <c r="I431" s="377"/>
      <c r="J431" s="378"/>
      <c r="K431" s="379"/>
      <c r="L431" s="387"/>
      <c r="M431" s="380" t="str">
        <f t="array" ref="M431">IF(L431="","",(MAX(IF(AN$15:AN$144=B431,AO$15:AO$144))/60))</f>
        <v/>
      </c>
      <c r="N431" s="387"/>
      <c r="O431" s="387"/>
      <c r="P431" s="381" t="str">
        <f t="shared" si="25"/>
        <v/>
      </c>
      <c r="Q431" s="382" t="str">
        <f t="array" ref="Q431">IFERROR(INDEX($D$13:$D$1000,MATCH(0,COUNTIF($Q$13:Q430,$D$13:$D$1000&amp;"")+IF($D$13:$D$1000="",1,0),0)),"")</f>
        <v/>
      </c>
      <c r="R431" s="356" t="str">
        <f t="shared" si="26"/>
        <v/>
      </c>
      <c r="S431" s="383" t="str">
        <f t="shared" si="28"/>
        <v/>
      </c>
      <c r="T431" s="384" t="str">
        <f t="shared" si="27"/>
        <v/>
      </c>
      <c r="U431" s="349"/>
      <c r="V431" s="385"/>
      <c r="W431" s="385"/>
      <c r="X431" s="386"/>
    </row>
    <row r="432" spans="2:24">
      <c r="B432" s="395"/>
      <c r="C432" s="371"/>
      <c r="D432" s="372" t="str">
        <f>IFERROR(INDEX('[12]Equipment List'!$B$2:$B$2038,MATCH(E432,'[12]Equipment List'!$A$2:$A$2038,0)),"")</f>
        <v/>
      </c>
      <c r="E432" s="388"/>
      <c r="F432" s="374"/>
      <c r="G432" s="375"/>
      <c r="H432" s="397"/>
      <c r="I432" s="377"/>
      <c r="J432" s="378"/>
      <c r="K432" s="379"/>
      <c r="L432" s="387"/>
      <c r="M432" s="380" t="str">
        <f t="array" ref="M432">IF(L432="","",(MAX(IF(AN$15:AN$144=B432,AO$15:AO$144))/60))</f>
        <v/>
      </c>
      <c r="N432" s="387"/>
      <c r="O432" s="387"/>
      <c r="P432" s="381" t="str">
        <f t="shared" si="25"/>
        <v/>
      </c>
      <c r="Q432" s="382" t="str">
        <f t="array" ref="Q432">IFERROR(INDEX($D$13:$D$1000,MATCH(0,COUNTIF($Q$13:Q431,$D$13:$D$1000&amp;"")+IF($D$13:$D$1000="",1,0),0)),"")</f>
        <v/>
      </c>
      <c r="R432" s="356" t="str">
        <f t="shared" si="26"/>
        <v/>
      </c>
      <c r="S432" s="383" t="str">
        <f t="shared" si="28"/>
        <v/>
      </c>
      <c r="T432" s="384" t="str">
        <f t="shared" si="27"/>
        <v/>
      </c>
      <c r="U432" s="349"/>
      <c r="V432" s="385"/>
      <c r="W432" s="385"/>
      <c r="X432" s="386"/>
    </row>
    <row r="433" spans="2:24">
      <c r="B433" s="395"/>
      <c r="C433" s="371"/>
      <c r="D433" s="372" t="str">
        <f>IFERROR(INDEX('[12]Equipment List'!$B$2:$B$2038,MATCH(E433,'[12]Equipment List'!$A$2:$A$2038,0)),"")</f>
        <v/>
      </c>
      <c r="E433" s="388"/>
      <c r="F433" s="374"/>
      <c r="G433" s="375"/>
      <c r="H433" s="397"/>
      <c r="I433" s="377"/>
      <c r="J433" s="378"/>
      <c r="K433" s="379"/>
      <c r="L433" s="387"/>
      <c r="M433" s="380" t="str">
        <f t="array" ref="M433">IF(L433="","",(MAX(IF(AN$15:AN$144=B433,AO$15:AO$144))/60))</f>
        <v/>
      </c>
      <c r="N433" s="387"/>
      <c r="O433" s="387"/>
      <c r="P433" s="381" t="str">
        <f t="shared" si="25"/>
        <v/>
      </c>
      <c r="Q433" s="382" t="str">
        <f t="array" ref="Q433">IFERROR(INDEX($D$13:$D$1000,MATCH(0,COUNTIF($Q$13:Q432,$D$13:$D$1000&amp;"")+IF($D$13:$D$1000="",1,0),0)),"")</f>
        <v/>
      </c>
      <c r="R433" s="356" t="str">
        <f t="shared" si="26"/>
        <v/>
      </c>
      <c r="S433" s="383" t="str">
        <f t="shared" si="28"/>
        <v/>
      </c>
      <c r="T433" s="384" t="str">
        <f t="shared" si="27"/>
        <v/>
      </c>
      <c r="U433" s="349"/>
      <c r="V433" s="385"/>
      <c r="W433" s="385"/>
      <c r="X433" s="386"/>
    </row>
    <row r="434" spans="2:24">
      <c r="B434" s="395"/>
      <c r="C434" s="371"/>
      <c r="D434" s="372" t="str">
        <f>IFERROR(INDEX('[12]Equipment List'!$B$2:$B$2038,MATCH(E434,'[12]Equipment List'!$A$2:$A$2038,0)),"")</f>
        <v/>
      </c>
      <c r="E434" s="388"/>
      <c r="F434" s="374"/>
      <c r="G434" s="375"/>
      <c r="H434" s="397"/>
      <c r="I434" s="377"/>
      <c r="J434" s="378"/>
      <c r="K434" s="379"/>
      <c r="L434" s="387"/>
      <c r="M434" s="380" t="str">
        <f t="array" ref="M434">IF(L434="","",(MAX(IF(AN$15:AN$144=B434,AO$15:AO$144))/60))</f>
        <v/>
      </c>
      <c r="N434" s="387"/>
      <c r="O434" s="387"/>
      <c r="P434" s="381" t="str">
        <f t="shared" si="25"/>
        <v/>
      </c>
      <c r="Q434" s="382" t="str">
        <f t="array" ref="Q434">IFERROR(INDEX($D$13:$D$1000,MATCH(0,COUNTIF($Q$13:Q433,$D$13:$D$1000&amp;"")+IF($D$13:$D$1000="",1,0),0)),"")</f>
        <v/>
      </c>
      <c r="R434" s="356" t="str">
        <f t="shared" si="26"/>
        <v/>
      </c>
      <c r="S434" s="383" t="str">
        <f t="shared" si="28"/>
        <v/>
      </c>
      <c r="T434" s="384" t="str">
        <f t="shared" si="27"/>
        <v/>
      </c>
      <c r="U434" s="349"/>
      <c r="V434" s="385"/>
      <c r="W434" s="385"/>
      <c r="X434" s="386"/>
    </row>
    <row r="435" spans="2:24">
      <c r="B435" s="395"/>
      <c r="C435" s="371"/>
      <c r="D435" s="372" t="str">
        <f>IFERROR(INDEX('[12]Equipment List'!$B$2:$B$2038,MATCH(E435,'[12]Equipment List'!$A$2:$A$2038,0)),"")</f>
        <v/>
      </c>
      <c r="E435" s="388"/>
      <c r="F435" s="374"/>
      <c r="G435" s="375"/>
      <c r="H435" s="397"/>
      <c r="I435" s="377"/>
      <c r="J435" s="378"/>
      <c r="K435" s="379"/>
      <c r="L435" s="387"/>
      <c r="M435" s="380" t="str">
        <f t="array" ref="M435">IF(L435="","",(MAX(IF(AN$15:AN$144=B435,AO$15:AO$144))/60))</f>
        <v/>
      </c>
      <c r="N435" s="387"/>
      <c r="O435" s="387"/>
      <c r="P435" s="381" t="str">
        <f t="shared" si="25"/>
        <v/>
      </c>
      <c r="Q435" s="382" t="str">
        <f t="array" ref="Q435">IFERROR(INDEX($D$13:$D$1000,MATCH(0,COUNTIF($Q$13:Q434,$D$13:$D$1000&amp;"")+IF($D$13:$D$1000="",1,0),0)),"")</f>
        <v/>
      </c>
      <c r="R435" s="356" t="str">
        <f t="shared" si="26"/>
        <v/>
      </c>
      <c r="S435" s="383" t="str">
        <f t="shared" si="28"/>
        <v/>
      </c>
      <c r="T435" s="384" t="str">
        <f t="shared" si="27"/>
        <v/>
      </c>
      <c r="U435" s="349"/>
      <c r="V435" s="385"/>
      <c r="W435" s="385"/>
      <c r="X435" s="386"/>
    </row>
    <row r="436" spans="2:24">
      <c r="B436" s="395"/>
      <c r="C436" s="371"/>
      <c r="D436" s="372" t="str">
        <f>IFERROR(INDEX('[12]Equipment List'!$B$2:$B$2038,MATCH(E436,'[12]Equipment List'!$A$2:$A$2038,0)),"")</f>
        <v/>
      </c>
      <c r="E436" s="388"/>
      <c r="F436" s="374"/>
      <c r="G436" s="375"/>
      <c r="H436" s="397"/>
      <c r="I436" s="377"/>
      <c r="J436" s="378"/>
      <c r="K436" s="379"/>
      <c r="L436" s="387"/>
      <c r="M436" s="380" t="str">
        <f t="array" ref="M436">IF(L436="","",(MAX(IF(AN$15:AN$144=B436,AO$15:AO$144))/60))</f>
        <v/>
      </c>
      <c r="N436" s="387"/>
      <c r="O436" s="387"/>
      <c r="P436" s="381" t="str">
        <f t="shared" si="25"/>
        <v/>
      </c>
      <c r="Q436" s="382" t="str">
        <f t="array" ref="Q436">IFERROR(INDEX($D$13:$D$1000,MATCH(0,COUNTIF($Q$13:Q435,$D$13:$D$1000&amp;"")+IF($D$13:$D$1000="",1,0),0)),"")</f>
        <v/>
      </c>
      <c r="R436" s="356" t="str">
        <f t="shared" si="26"/>
        <v/>
      </c>
      <c r="S436" s="383" t="str">
        <f t="shared" si="28"/>
        <v/>
      </c>
      <c r="T436" s="384" t="str">
        <f t="shared" si="27"/>
        <v/>
      </c>
      <c r="U436" s="349"/>
      <c r="V436" s="385"/>
      <c r="W436" s="385"/>
      <c r="X436" s="386"/>
    </row>
    <row r="437" spans="2:24">
      <c r="B437" s="395"/>
      <c r="C437" s="371"/>
      <c r="D437" s="372" t="str">
        <f>IFERROR(INDEX('[12]Equipment List'!$B$2:$B$2038,MATCH(E437,'[12]Equipment List'!$A$2:$A$2038,0)),"")</f>
        <v/>
      </c>
      <c r="E437" s="388"/>
      <c r="F437" s="374"/>
      <c r="G437" s="375"/>
      <c r="H437" s="397"/>
      <c r="I437" s="377"/>
      <c r="J437" s="378"/>
      <c r="K437" s="379"/>
      <c r="L437" s="387"/>
      <c r="M437" s="380" t="str">
        <f t="array" ref="M437">IF(L437="","",(MAX(IF(AN$15:AN$144=B437,AO$15:AO$144))/60))</f>
        <v/>
      </c>
      <c r="N437" s="387"/>
      <c r="O437" s="387"/>
      <c r="P437" s="381" t="str">
        <f t="shared" si="25"/>
        <v/>
      </c>
      <c r="Q437" s="382" t="str">
        <f t="array" ref="Q437">IFERROR(INDEX($D$13:$D$1000,MATCH(0,COUNTIF($Q$13:Q436,$D$13:$D$1000&amp;"")+IF($D$13:$D$1000="",1,0),0)),"")</f>
        <v/>
      </c>
      <c r="R437" s="356" t="str">
        <f t="shared" si="26"/>
        <v/>
      </c>
      <c r="S437" s="383" t="str">
        <f t="shared" si="28"/>
        <v/>
      </c>
      <c r="T437" s="384" t="str">
        <f t="shared" si="27"/>
        <v/>
      </c>
      <c r="U437" s="349"/>
      <c r="V437" s="385"/>
      <c r="W437" s="385"/>
      <c r="X437" s="386"/>
    </row>
    <row r="438" spans="2:24">
      <c r="B438" s="395"/>
      <c r="C438" s="371"/>
      <c r="D438" s="372" t="str">
        <f>IFERROR(INDEX('[12]Equipment List'!$B$2:$B$2038,MATCH(E438,'[12]Equipment List'!$A$2:$A$2038,0)),"")</f>
        <v/>
      </c>
      <c r="E438" s="388"/>
      <c r="F438" s="374"/>
      <c r="G438" s="375"/>
      <c r="H438" s="397"/>
      <c r="I438" s="377"/>
      <c r="J438" s="378"/>
      <c r="K438" s="379"/>
      <c r="L438" s="387"/>
      <c r="M438" s="380" t="str">
        <f t="array" ref="M438">IF(L438="","",(MAX(IF(AN$15:AN$144=B438,AO$15:AO$144))/60))</f>
        <v/>
      </c>
      <c r="N438" s="387"/>
      <c r="O438" s="387"/>
      <c r="P438" s="381" t="str">
        <f t="shared" si="25"/>
        <v/>
      </c>
      <c r="Q438" s="382" t="str">
        <f t="array" ref="Q438">IFERROR(INDEX($D$13:$D$1000,MATCH(0,COUNTIF($Q$13:Q437,$D$13:$D$1000&amp;"")+IF($D$13:$D$1000="",1,0),0)),"")</f>
        <v/>
      </c>
      <c r="R438" s="356" t="str">
        <f t="shared" si="26"/>
        <v/>
      </c>
      <c r="S438" s="383" t="str">
        <f t="shared" si="28"/>
        <v/>
      </c>
      <c r="T438" s="384" t="str">
        <f t="shared" si="27"/>
        <v/>
      </c>
      <c r="U438" s="349"/>
      <c r="V438" s="385"/>
      <c r="W438" s="385"/>
      <c r="X438" s="386"/>
    </row>
    <row r="439" spans="2:24">
      <c r="B439" s="395"/>
      <c r="C439" s="371"/>
      <c r="D439" s="372" t="str">
        <f>IFERROR(INDEX('[12]Equipment List'!$B$2:$B$2038,MATCH(E439,'[12]Equipment List'!$A$2:$A$2038,0)),"")</f>
        <v/>
      </c>
      <c r="E439" s="388"/>
      <c r="F439" s="374"/>
      <c r="G439" s="375"/>
      <c r="H439" s="397"/>
      <c r="I439" s="377"/>
      <c r="J439" s="378"/>
      <c r="K439" s="379"/>
      <c r="L439" s="387"/>
      <c r="M439" s="380" t="str">
        <f t="array" ref="M439">IF(L439="","",(MAX(IF(AN$15:AN$144=B439,AO$15:AO$144))/60))</f>
        <v/>
      </c>
      <c r="N439" s="387"/>
      <c r="O439" s="387"/>
      <c r="P439" s="381" t="str">
        <f t="shared" si="25"/>
        <v/>
      </c>
      <c r="Q439" s="382" t="str">
        <f t="array" ref="Q439">IFERROR(INDEX($D$13:$D$1000,MATCH(0,COUNTIF($Q$13:Q438,$D$13:$D$1000&amp;"")+IF($D$13:$D$1000="",1,0),0)),"")</f>
        <v/>
      </c>
      <c r="R439" s="356" t="str">
        <f t="shared" si="26"/>
        <v/>
      </c>
      <c r="S439" s="383" t="str">
        <f t="shared" si="28"/>
        <v/>
      </c>
      <c r="T439" s="384" t="str">
        <f t="shared" si="27"/>
        <v/>
      </c>
      <c r="U439" s="349"/>
      <c r="V439" s="385"/>
      <c r="W439" s="385"/>
      <c r="X439" s="386"/>
    </row>
    <row r="440" spans="2:24">
      <c r="B440" s="395"/>
      <c r="C440" s="371"/>
      <c r="D440" s="372" t="str">
        <f>IFERROR(INDEX('[12]Equipment List'!$B$2:$B$2038,MATCH(E440,'[12]Equipment List'!$A$2:$A$2038,0)),"")</f>
        <v/>
      </c>
      <c r="E440" s="388"/>
      <c r="F440" s="374"/>
      <c r="G440" s="375"/>
      <c r="H440" s="397"/>
      <c r="I440" s="377"/>
      <c r="J440" s="378"/>
      <c r="K440" s="379"/>
      <c r="L440" s="387"/>
      <c r="M440" s="380" t="str">
        <f t="array" ref="M440">IF(L440="","",(MAX(IF(AN$15:AN$144=B440,AO$15:AO$144))/60))</f>
        <v/>
      </c>
      <c r="N440" s="387"/>
      <c r="O440" s="387"/>
      <c r="P440" s="381" t="str">
        <f t="shared" si="25"/>
        <v/>
      </c>
      <c r="Q440" s="382" t="str">
        <f t="array" ref="Q440">IFERROR(INDEX($D$13:$D$1000,MATCH(0,COUNTIF($Q$13:Q439,$D$13:$D$1000&amp;"")+IF($D$13:$D$1000="",1,0),0)),"")</f>
        <v/>
      </c>
      <c r="R440" s="356" t="str">
        <f t="shared" si="26"/>
        <v/>
      </c>
      <c r="S440" s="383" t="str">
        <f t="shared" si="28"/>
        <v/>
      </c>
      <c r="T440" s="384" t="str">
        <f t="shared" si="27"/>
        <v/>
      </c>
      <c r="U440" s="349"/>
      <c r="V440" s="385"/>
      <c r="W440" s="385"/>
      <c r="X440" s="386"/>
    </row>
    <row r="441" spans="2:24">
      <c r="B441" s="395"/>
      <c r="C441" s="371"/>
      <c r="D441" s="372" t="str">
        <f>IFERROR(INDEX('[12]Equipment List'!$B$2:$B$2038,MATCH(E441,'[12]Equipment List'!$A$2:$A$2038,0)),"")</f>
        <v/>
      </c>
      <c r="E441" s="388"/>
      <c r="F441" s="374"/>
      <c r="G441" s="375"/>
      <c r="H441" s="397"/>
      <c r="I441" s="377"/>
      <c r="J441" s="378"/>
      <c r="K441" s="379"/>
      <c r="L441" s="387"/>
      <c r="M441" s="380" t="str">
        <f t="array" ref="M441">IF(L441="","",(MAX(IF(AN$15:AN$144=B441,AO$15:AO$144))/60))</f>
        <v/>
      </c>
      <c r="N441" s="387"/>
      <c r="O441" s="387"/>
      <c r="P441" s="381" t="str">
        <f t="shared" si="25"/>
        <v/>
      </c>
      <c r="Q441" s="382" t="str">
        <f t="array" ref="Q441">IFERROR(INDEX($D$13:$D$1000,MATCH(0,COUNTIF($Q$13:Q440,$D$13:$D$1000&amp;"")+IF($D$13:$D$1000="",1,0),0)),"")</f>
        <v/>
      </c>
      <c r="R441" s="356" t="str">
        <f t="shared" si="26"/>
        <v/>
      </c>
      <c r="S441" s="383" t="str">
        <f t="shared" si="28"/>
        <v/>
      </c>
      <c r="T441" s="384" t="str">
        <f t="shared" si="27"/>
        <v/>
      </c>
      <c r="U441" s="349"/>
      <c r="V441" s="385"/>
      <c r="W441" s="385"/>
      <c r="X441" s="386"/>
    </row>
    <row r="442" spans="2:24">
      <c r="B442" s="395"/>
      <c r="C442" s="371"/>
      <c r="D442" s="372" t="str">
        <f>IFERROR(INDEX('[12]Equipment List'!$B$2:$B$2038,MATCH(E442,'[12]Equipment List'!$A$2:$A$2038,0)),"")</f>
        <v/>
      </c>
      <c r="E442" s="388"/>
      <c r="F442" s="374"/>
      <c r="G442" s="375"/>
      <c r="H442" s="397"/>
      <c r="I442" s="377"/>
      <c r="J442" s="378"/>
      <c r="K442" s="379"/>
      <c r="L442" s="387"/>
      <c r="M442" s="380" t="str">
        <f t="array" ref="M442">IF(L442="","",(MAX(IF(AN$15:AN$144=B442,AO$15:AO$144))/60))</f>
        <v/>
      </c>
      <c r="N442" s="387"/>
      <c r="O442" s="387"/>
      <c r="P442" s="381" t="str">
        <f t="shared" si="25"/>
        <v/>
      </c>
      <c r="Q442" s="382" t="str">
        <f t="array" ref="Q442">IFERROR(INDEX($D$13:$D$1000,MATCH(0,COUNTIF($Q$13:Q441,$D$13:$D$1000&amp;"")+IF($D$13:$D$1000="",1,0),0)),"")</f>
        <v/>
      </c>
      <c r="R442" s="356" t="str">
        <f t="shared" si="26"/>
        <v/>
      </c>
      <c r="S442" s="383" t="str">
        <f t="shared" si="28"/>
        <v/>
      </c>
      <c r="T442" s="384" t="str">
        <f t="shared" si="27"/>
        <v/>
      </c>
      <c r="U442" s="349"/>
      <c r="V442" s="385"/>
      <c r="W442" s="385"/>
      <c r="X442" s="386"/>
    </row>
    <row r="443" spans="2:24">
      <c r="B443" s="395"/>
      <c r="C443" s="371"/>
      <c r="D443" s="372" t="str">
        <f>IFERROR(INDEX('[12]Equipment List'!$B$2:$B$2038,MATCH(E443,'[12]Equipment List'!$A$2:$A$2038,0)),"")</f>
        <v/>
      </c>
      <c r="E443" s="388"/>
      <c r="F443" s="374"/>
      <c r="G443" s="375"/>
      <c r="H443" s="397"/>
      <c r="I443" s="377"/>
      <c r="J443" s="378"/>
      <c r="K443" s="379"/>
      <c r="L443" s="387"/>
      <c r="M443" s="380" t="str">
        <f t="array" ref="M443">IF(L443="","",(MAX(IF(AN$15:AN$144=B443,AO$15:AO$144))/60))</f>
        <v/>
      </c>
      <c r="N443" s="387"/>
      <c r="O443" s="387"/>
      <c r="P443" s="381" t="str">
        <f t="shared" si="25"/>
        <v/>
      </c>
      <c r="Q443" s="382" t="str">
        <f t="array" ref="Q443">IFERROR(INDEX($D$13:$D$1000,MATCH(0,COUNTIF($Q$13:Q442,$D$13:$D$1000&amp;"")+IF($D$13:$D$1000="",1,0),0)),"")</f>
        <v/>
      </c>
      <c r="R443" s="356" t="str">
        <f t="shared" si="26"/>
        <v/>
      </c>
      <c r="S443" s="383" t="str">
        <f t="shared" si="28"/>
        <v/>
      </c>
      <c r="T443" s="384" t="str">
        <f t="shared" si="27"/>
        <v/>
      </c>
      <c r="U443" s="349"/>
      <c r="V443" s="385"/>
      <c r="W443" s="385"/>
      <c r="X443" s="386"/>
    </row>
    <row r="444" spans="2:24">
      <c r="B444" s="395"/>
      <c r="C444" s="371"/>
      <c r="D444" s="372" t="str">
        <f>IFERROR(INDEX('[12]Equipment List'!$B$2:$B$2038,MATCH(E444,'[12]Equipment List'!$A$2:$A$2038,0)),"")</f>
        <v/>
      </c>
      <c r="E444" s="388"/>
      <c r="F444" s="374"/>
      <c r="G444" s="375"/>
      <c r="H444" s="397"/>
      <c r="I444" s="377"/>
      <c r="J444" s="378"/>
      <c r="K444" s="379"/>
      <c r="L444" s="387"/>
      <c r="M444" s="380" t="str">
        <f t="array" ref="M444">IF(L444="","",(MAX(IF(AN$15:AN$144=B444,AO$15:AO$144))/60))</f>
        <v/>
      </c>
      <c r="N444" s="387"/>
      <c r="O444" s="387"/>
      <c r="P444" s="381" t="str">
        <f t="shared" si="25"/>
        <v/>
      </c>
      <c r="Q444" s="382" t="str">
        <f t="array" ref="Q444">IFERROR(INDEX($D$13:$D$1000,MATCH(0,COUNTIF($Q$13:Q443,$D$13:$D$1000&amp;"")+IF($D$13:$D$1000="",1,0),0)),"")</f>
        <v/>
      </c>
      <c r="R444" s="356" t="str">
        <f t="shared" si="26"/>
        <v/>
      </c>
      <c r="S444" s="383" t="str">
        <f t="shared" si="28"/>
        <v/>
      </c>
      <c r="T444" s="384" t="str">
        <f t="shared" si="27"/>
        <v/>
      </c>
      <c r="U444" s="349"/>
      <c r="V444" s="385"/>
      <c r="W444" s="385"/>
      <c r="X444" s="386"/>
    </row>
    <row r="445" spans="2:24">
      <c r="B445" s="395"/>
      <c r="C445" s="371"/>
      <c r="D445" s="372" t="str">
        <f>IFERROR(INDEX('[12]Equipment List'!$B$2:$B$2038,MATCH(E445,'[12]Equipment List'!$A$2:$A$2038,0)),"")</f>
        <v/>
      </c>
      <c r="E445" s="388"/>
      <c r="F445" s="374"/>
      <c r="G445" s="375"/>
      <c r="H445" s="397"/>
      <c r="I445" s="377"/>
      <c r="J445" s="378"/>
      <c r="K445" s="379"/>
      <c r="L445" s="387"/>
      <c r="M445" s="380" t="str">
        <f t="array" ref="M445">IF(L445="","",(MAX(IF(AN$15:AN$144=B445,AO$15:AO$144))/60))</f>
        <v/>
      </c>
      <c r="N445" s="387"/>
      <c r="O445" s="387"/>
      <c r="P445" s="381" t="str">
        <f t="shared" si="25"/>
        <v/>
      </c>
      <c r="Q445" s="382" t="str">
        <f t="array" ref="Q445">IFERROR(INDEX($D$13:$D$1000,MATCH(0,COUNTIF($Q$13:Q444,$D$13:$D$1000&amp;"")+IF($D$13:$D$1000="",1,0),0)),"")</f>
        <v/>
      </c>
      <c r="R445" s="356" t="str">
        <f t="shared" si="26"/>
        <v/>
      </c>
      <c r="S445" s="383" t="str">
        <f t="shared" si="28"/>
        <v/>
      </c>
      <c r="T445" s="384" t="str">
        <f t="shared" si="27"/>
        <v/>
      </c>
      <c r="U445" s="349"/>
      <c r="V445" s="385"/>
      <c r="W445" s="385"/>
      <c r="X445" s="386"/>
    </row>
    <row r="446" spans="2:24">
      <c r="B446" s="395"/>
      <c r="C446" s="371"/>
      <c r="D446" s="372" t="str">
        <f>IFERROR(INDEX('[12]Equipment List'!$B$2:$B$2038,MATCH(E446,'[12]Equipment List'!$A$2:$A$2038,0)),"")</f>
        <v/>
      </c>
      <c r="E446" s="388"/>
      <c r="F446" s="374"/>
      <c r="G446" s="375"/>
      <c r="H446" s="397"/>
      <c r="I446" s="377"/>
      <c r="J446" s="378"/>
      <c r="K446" s="379"/>
      <c r="L446" s="387"/>
      <c r="M446" s="380" t="str">
        <f t="array" ref="M446">IF(L446="","",(MAX(IF(AN$15:AN$144=B446,AO$15:AO$144))/60))</f>
        <v/>
      </c>
      <c r="N446" s="387"/>
      <c r="O446" s="387"/>
      <c r="P446" s="381" t="str">
        <f t="shared" si="25"/>
        <v/>
      </c>
      <c r="Q446" s="382" t="str">
        <f t="array" ref="Q446">IFERROR(INDEX($D$13:$D$1000,MATCH(0,COUNTIF($Q$13:Q445,$D$13:$D$1000&amp;"")+IF($D$13:$D$1000="",1,0),0)),"")</f>
        <v/>
      </c>
      <c r="R446" s="356" t="str">
        <f t="shared" si="26"/>
        <v/>
      </c>
      <c r="S446" s="383" t="str">
        <f t="shared" si="28"/>
        <v/>
      </c>
      <c r="T446" s="384" t="str">
        <f t="shared" si="27"/>
        <v/>
      </c>
      <c r="U446" s="349"/>
      <c r="V446" s="385"/>
      <c r="W446" s="385"/>
      <c r="X446" s="386"/>
    </row>
    <row r="447" spans="2:24">
      <c r="B447" s="395"/>
      <c r="C447" s="371"/>
      <c r="D447" s="372" t="str">
        <f>IFERROR(INDEX('[12]Equipment List'!$B$2:$B$2038,MATCH(E447,'[12]Equipment List'!$A$2:$A$2038,0)),"")</f>
        <v/>
      </c>
      <c r="E447" s="388"/>
      <c r="F447" s="374"/>
      <c r="G447" s="375"/>
      <c r="H447" s="397"/>
      <c r="I447" s="377"/>
      <c r="J447" s="378"/>
      <c r="K447" s="379"/>
      <c r="L447" s="387"/>
      <c r="M447" s="380" t="str">
        <f t="array" ref="M447">IF(L447="","",(MAX(IF(AN$15:AN$144=B447,AO$15:AO$144))/60))</f>
        <v/>
      </c>
      <c r="N447" s="387"/>
      <c r="O447" s="387"/>
      <c r="P447" s="381" t="str">
        <f t="shared" si="25"/>
        <v/>
      </c>
      <c r="Q447" s="382" t="str">
        <f t="array" ref="Q447">IFERROR(INDEX($D$13:$D$1000,MATCH(0,COUNTIF($Q$13:Q446,$D$13:$D$1000&amp;"")+IF($D$13:$D$1000="",1,0),0)),"")</f>
        <v/>
      </c>
      <c r="R447" s="356" t="str">
        <f t="shared" si="26"/>
        <v/>
      </c>
      <c r="S447" s="383" t="str">
        <f t="shared" si="28"/>
        <v/>
      </c>
      <c r="T447" s="384" t="str">
        <f t="shared" si="27"/>
        <v/>
      </c>
      <c r="U447" s="349"/>
      <c r="V447" s="385"/>
      <c r="W447" s="385"/>
      <c r="X447" s="386"/>
    </row>
    <row r="448" spans="2:24">
      <c r="B448" s="395"/>
      <c r="C448" s="371"/>
      <c r="D448" s="372" t="str">
        <f>IFERROR(INDEX('[12]Equipment List'!$B$2:$B$2038,MATCH(E448,'[12]Equipment List'!$A$2:$A$2038,0)),"")</f>
        <v/>
      </c>
      <c r="E448" s="388"/>
      <c r="F448" s="374"/>
      <c r="G448" s="375"/>
      <c r="H448" s="397"/>
      <c r="I448" s="377"/>
      <c r="J448" s="378"/>
      <c r="K448" s="379"/>
      <c r="L448" s="387"/>
      <c r="M448" s="380" t="str">
        <f t="array" ref="M448">IF(L448="","",(MAX(IF(AN$15:AN$144=B448,AO$15:AO$144))/60))</f>
        <v/>
      </c>
      <c r="N448" s="387"/>
      <c r="O448" s="387"/>
      <c r="P448" s="381" t="str">
        <f t="shared" si="25"/>
        <v/>
      </c>
      <c r="Q448" s="382" t="str">
        <f t="array" ref="Q448">IFERROR(INDEX($D$13:$D$1000,MATCH(0,COUNTIF($Q$13:Q447,$D$13:$D$1000&amp;"")+IF($D$13:$D$1000="",1,0),0)),"")</f>
        <v/>
      </c>
      <c r="R448" s="356" t="str">
        <f t="shared" si="26"/>
        <v/>
      </c>
      <c r="S448" s="383" t="str">
        <f t="shared" si="28"/>
        <v/>
      </c>
      <c r="T448" s="384" t="str">
        <f t="shared" si="27"/>
        <v/>
      </c>
      <c r="U448" s="349"/>
      <c r="V448" s="385"/>
      <c r="W448" s="385"/>
      <c r="X448" s="386"/>
    </row>
    <row r="449" spans="2:24">
      <c r="B449" s="395"/>
      <c r="C449" s="371"/>
      <c r="D449" s="372" t="str">
        <f>IFERROR(INDEX('[12]Equipment List'!$B$2:$B$2038,MATCH(E449,'[12]Equipment List'!$A$2:$A$2038,0)),"")</f>
        <v/>
      </c>
      <c r="E449" s="388"/>
      <c r="F449" s="374"/>
      <c r="G449" s="375"/>
      <c r="H449" s="397"/>
      <c r="I449" s="377"/>
      <c r="J449" s="378"/>
      <c r="K449" s="379"/>
      <c r="L449" s="387"/>
      <c r="M449" s="380" t="str">
        <f t="array" ref="M449">IF(L449="","",(MAX(IF(AN$15:AN$144=B449,AO$15:AO$144))/60))</f>
        <v/>
      </c>
      <c r="N449" s="387"/>
      <c r="O449" s="387"/>
      <c r="P449" s="381" t="str">
        <f t="shared" si="25"/>
        <v/>
      </c>
      <c r="Q449" s="382" t="str">
        <f t="array" ref="Q449">IFERROR(INDEX($D$13:$D$1000,MATCH(0,COUNTIF($Q$13:Q448,$D$13:$D$1000&amp;"")+IF($D$13:$D$1000="",1,0),0)),"")</f>
        <v/>
      </c>
      <c r="R449" s="356" t="str">
        <f t="shared" si="26"/>
        <v/>
      </c>
      <c r="S449" s="383" t="str">
        <f t="shared" si="28"/>
        <v/>
      </c>
      <c r="T449" s="384" t="str">
        <f t="shared" si="27"/>
        <v/>
      </c>
      <c r="U449" s="349"/>
      <c r="V449" s="385"/>
      <c r="W449" s="385"/>
      <c r="X449" s="386"/>
    </row>
    <row r="450" spans="2:24">
      <c r="B450" s="395"/>
      <c r="C450" s="371"/>
      <c r="D450" s="372" t="str">
        <f>IFERROR(INDEX('[12]Equipment List'!$B$2:$B$2038,MATCH(E450,'[12]Equipment List'!$A$2:$A$2038,0)),"")</f>
        <v/>
      </c>
      <c r="E450" s="388"/>
      <c r="F450" s="374"/>
      <c r="G450" s="375"/>
      <c r="H450" s="397"/>
      <c r="I450" s="377"/>
      <c r="J450" s="378"/>
      <c r="K450" s="379"/>
      <c r="L450" s="387"/>
      <c r="M450" s="380" t="str">
        <f t="array" ref="M450">IF(L450="","",(MAX(IF(AN$15:AN$144=B450,AO$15:AO$144))/60))</f>
        <v/>
      </c>
      <c r="N450" s="387"/>
      <c r="O450" s="387"/>
      <c r="P450" s="381" t="str">
        <f t="shared" si="25"/>
        <v/>
      </c>
      <c r="Q450" s="382" t="str">
        <f t="array" ref="Q450">IFERROR(INDEX($D$13:$D$1000,MATCH(0,COUNTIF($Q$13:Q449,$D$13:$D$1000&amp;"")+IF($D$13:$D$1000="",1,0),0)),"")</f>
        <v/>
      </c>
      <c r="R450" s="356" t="str">
        <f t="shared" si="26"/>
        <v/>
      </c>
      <c r="S450" s="383" t="str">
        <f t="shared" si="28"/>
        <v/>
      </c>
      <c r="T450" s="384" t="str">
        <f t="shared" si="27"/>
        <v/>
      </c>
      <c r="U450" s="349"/>
      <c r="V450" s="385"/>
      <c r="W450" s="385"/>
      <c r="X450" s="386"/>
    </row>
    <row r="451" spans="2:24">
      <c r="B451" s="395"/>
      <c r="C451" s="371"/>
      <c r="D451" s="372" t="str">
        <f>IFERROR(INDEX('[12]Equipment List'!$B$2:$B$2038,MATCH(E451,'[12]Equipment List'!$A$2:$A$2038,0)),"")</f>
        <v/>
      </c>
      <c r="E451" s="388"/>
      <c r="F451" s="374"/>
      <c r="G451" s="375"/>
      <c r="H451" s="397"/>
      <c r="I451" s="377"/>
      <c r="J451" s="378"/>
      <c r="K451" s="379"/>
      <c r="L451" s="387"/>
      <c r="M451" s="380" t="str">
        <f t="array" ref="M451">IF(L451="","",(MAX(IF(AN$15:AN$144=B451,AO$15:AO$144))/60))</f>
        <v/>
      </c>
      <c r="N451" s="387"/>
      <c r="O451" s="387"/>
      <c r="P451" s="381" t="str">
        <f t="shared" si="25"/>
        <v/>
      </c>
      <c r="Q451" s="382" t="str">
        <f t="array" ref="Q451">IFERROR(INDEX($D$13:$D$1000,MATCH(0,COUNTIF($Q$13:Q450,$D$13:$D$1000&amp;"")+IF($D$13:$D$1000="",1,0),0)),"")</f>
        <v/>
      </c>
      <c r="R451" s="356" t="str">
        <f t="shared" si="26"/>
        <v/>
      </c>
      <c r="S451" s="383" t="str">
        <f t="shared" si="28"/>
        <v/>
      </c>
      <c r="T451" s="384" t="str">
        <f t="shared" si="27"/>
        <v/>
      </c>
      <c r="U451" s="349"/>
      <c r="V451" s="385"/>
      <c r="W451" s="385"/>
      <c r="X451" s="386"/>
    </row>
    <row r="452" spans="2:24">
      <c r="B452" s="395"/>
      <c r="C452" s="371"/>
      <c r="D452" s="372" t="str">
        <f>IFERROR(INDEX('[12]Equipment List'!$B$2:$B$2038,MATCH(E452,'[12]Equipment List'!$A$2:$A$2038,0)),"")</f>
        <v/>
      </c>
      <c r="E452" s="388"/>
      <c r="F452" s="374"/>
      <c r="G452" s="375"/>
      <c r="H452" s="397"/>
      <c r="I452" s="377"/>
      <c r="J452" s="378"/>
      <c r="K452" s="379"/>
      <c r="L452" s="387"/>
      <c r="M452" s="380" t="str">
        <f t="array" ref="M452">IF(L452="","",(MAX(IF(AN$15:AN$144=B452,AO$15:AO$144))/60))</f>
        <v/>
      </c>
      <c r="N452" s="387"/>
      <c r="O452" s="387"/>
      <c r="P452" s="381" t="str">
        <f t="shared" si="25"/>
        <v/>
      </c>
      <c r="Q452" s="382" t="str">
        <f t="array" ref="Q452">IFERROR(INDEX($D$13:$D$1000,MATCH(0,COUNTIF($Q$13:Q451,$D$13:$D$1000&amp;"")+IF($D$13:$D$1000="",1,0),0)),"")</f>
        <v/>
      </c>
      <c r="R452" s="356" t="str">
        <f t="shared" si="26"/>
        <v/>
      </c>
      <c r="S452" s="383" t="str">
        <f t="shared" si="28"/>
        <v/>
      </c>
      <c r="T452" s="384" t="str">
        <f t="shared" si="27"/>
        <v/>
      </c>
      <c r="U452" s="349"/>
      <c r="V452" s="385"/>
      <c r="W452" s="385"/>
      <c r="X452" s="386"/>
    </row>
    <row r="453" spans="2:24">
      <c r="B453" s="395"/>
      <c r="C453" s="371"/>
      <c r="D453" s="372" t="str">
        <f>IFERROR(INDEX('[12]Equipment List'!$B$2:$B$2038,MATCH(E453,'[12]Equipment List'!$A$2:$A$2038,0)),"")</f>
        <v/>
      </c>
      <c r="E453" s="388"/>
      <c r="F453" s="374"/>
      <c r="G453" s="375"/>
      <c r="H453" s="397"/>
      <c r="I453" s="377"/>
      <c r="J453" s="378"/>
      <c r="K453" s="379"/>
      <c r="L453" s="387"/>
      <c r="M453" s="380" t="str">
        <f t="array" ref="M453">IF(L453="","",(MAX(IF(AN$15:AN$144=B453,AO$15:AO$144))/60))</f>
        <v/>
      </c>
      <c r="N453" s="387"/>
      <c r="O453" s="387"/>
      <c r="P453" s="381" t="str">
        <f t="shared" si="25"/>
        <v/>
      </c>
      <c r="Q453" s="382" t="str">
        <f t="array" ref="Q453">IFERROR(INDEX($D$13:$D$1000,MATCH(0,COUNTIF($Q$13:Q452,$D$13:$D$1000&amp;"")+IF($D$13:$D$1000="",1,0),0)),"")</f>
        <v/>
      </c>
      <c r="R453" s="356" t="str">
        <f t="shared" si="26"/>
        <v/>
      </c>
      <c r="S453" s="383" t="str">
        <f t="shared" si="28"/>
        <v/>
      </c>
      <c r="T453" s="384" t="str">
        <f t="shared" si="27"/>
        <v/>
      </c>
      <c r="U453" s="349"/>
      <c r="V453" s="385"/>
      <c r="W453" s="385"/>
      <c r="X453" s="386"/>
    </row>
    <row r="454" spans="2:24">
      <c r="B454" s="395"/>
      <c r="C454" s="371"/>
      <c r="D454" s="372" t="str">
        <f>IFERROR(INDEX('[12]Equipment List'!$B$2:$B$2038,MATCH(E454,'[12]Equipment List'!$A$2:$A$2038,0)),"")</f>
        <v/>
      </c>
      <c r="E454" s="388"/>
      <c r="F454" s="374"/>
      <c r="G454" s="375"/>
      <c r="H454" s="397"/>
      <c r="I454" s="377"/>
      <c r="J454" s="378"/>
      <c r="K454" s="379"/>
      <c r="L454" s="387"/>
      <c r="M454" s="380" t="str">
        <f t="array" ref="M454">IF(L454="","",(MAX(IF(AN$15:AN$144=B454,AO$15:AO$144))/60))</f>
        <v/>
      </c>
      <c r="N454" s="387"/>
      <c r="O454" s="387"/>
      <c r="P454" s="381" t="str">
        <f t="shared" si="25"/>
        <v/>
      </c>
      <c r="Q454" s="382" t="str">
        <f t="array" ref="Q454">IFERROR(INDEX($D$13:$D$1000,MATCH(0,COUNTIF($Q$13:Q453,$D$13:$D$1000&amp;"")+IF($D$13:$D$1000="",1,0),0)),"")</f>
        <v/>
      </c>
      <c r="R454" s="356" t="str">
        <f t="shared" si="26"/>
        <v/>
      </c>
      <c r="S454" s="383" t="str">
        <f t="shared" si="28"/>
        <v/>
      </c>
      <c r="T454" s="384" t="str">
        <f t="shared" si="27"/>
        <v/>
      </c>
      <c r="U454" s="349"/>
      <c r="V454" s="385"/>
      <c r="W454" s="385"/>
      <c r="X454" s="386"/>
    </row>
    <row r="455" spans="2:24">
      <c r="B455" s="395"/>
      <c r="C455" s="371"/>
      <c r="D455" s="372" t="str">
        <f>IFERROR(INDEX('[12]Equipment List'!$B$2:$B$2038,MATCH(E455,'[12]Equipment List'!$A$2:$A$2038,0)),"")</f>
        <v/>
      </c>
      <c r="E455" s="388"/>
      <c r="F455" s="374"/>
      <c r="G455" s="375"/>
      <c r="H455" s="397"/>
      <c r="I455" s="377"/>
      <c r="J455" s="378"/>
      <c r="K455" s="379"/>
      <c r="L455" s="387"/>
      <c r="M455" s="380" t="str">
        <f t="array" ref="M455">IF(L455="","",(MAX(IF(AN$15:AN$144=B455,AO$15:AO$144))/60))</f>
        <v/>
      </c>
      <c r="N455" s="387"/>
      <c r="O455" s="387"/>
      <c r="P455" s="381" t="str">
        <f t="shared" si="25"/>
        <v/>
      </c>
      <c r="Q455" s="382" t="str">
        <f t="array" ref="Q455">IFERROR(INDEX($D$13:$D$1000,MATCH(0,COUNTIF($Q$13:Q454,$D$13:$D$1000&amp;"")+IF($D$13:$D$1000="",1,0),0)),"")</f>
        <v/>
      </c>
      <c r="R455" s="356" t="str">
        <f t="shared" si="26"/>
        <v/>
      </c>
      <c r="S455" s="383" t="str">
        <f t="shared" si="28"/>
        <v/>
      </c>
      <c r="T455" s="384" t="str">
        <f t="shared" si="27"/>
        <v/>
      </c>
      <c r="U455" s="349"/>
      <c r="V455" s="385"/>
      <c r="W455" s="385"/>
      <c r="X455" s="386"/>
    </row>
    <row r="456" spans="2:24">
      <c r="B456" s="395"/>
      <c r="C456" s="371"/>
      <c r="D456" s="372" t="str">
        <f>IFERROR(INDEX('[12]Equipment List'!$B$2:$B$2038,MATCH(E456,'[12]Equipment List'!$A$2:$A$2038,0)),"")</f>
        <v/>
      </c>
      <c r="E456" s="388"/>
      <c r="F456" s="374"/>
      <c r="G456" s="375"/>
      <c r="H456" s="397"/>
      <c r="I456" s="377"/>
      <c r="J456" s="378"/>
      <c r="K456" s="379"/>
      <c r="L456" s="387"/>
      <c r="M456" s="380" t="str">
        <f t="array" ref="M456">IF(L456="","",(MAX(IF(AN$15:AN$144=B456,AO$15:AO$144))/60))</f>
        <v/>
      </c>
      <c r="N456" s="387"/>
      <c r="O456" s="387"/>
      <c r="P456" s="381" t="str">
        <f t="shared" si="25"/>
        <v/>
      </c>
      <c r="Q456" s="382" t="str">
        <f t="array" ref="Q456">IFERROR(INDEX($D$13:$D$1000,MATCH(0,COUNTIF($Q$13:Q455,$D$13:$D$1000&amp;"")+IF($D$13:$D$1000="",1,0),0)),"")</f>
        <v/>
      </c>
      <c r="R456" s="356" t="str">
        <f t="shared" si="26"/>
        <v/>
      </c>
      <c r="S456" s="383" t="str">
        <f t="shared" si="28"/>
        <v/>
      </c>
      <c r="T456" s="384" t="str">
        <f t="shared" si="27"/>
        <v/>
      </c>
      <c r="U456" s="349"/>
      <c r="V456" s="385"/>
      <c r="W456" s="385"/>
      <c r="X456" s="386"/>
    </row>
    <row r="457" spans="2:24">
      <c r="B457" s="395"/>
      <c r="C457" s="371"/>
      <c r="D457" s="372" t="str">
        <f>IFERROR(INDEX('[12]Equipment List'!$B$2:$B$2038,MATCH(E457,'[12]Equipment List'!$A$2:$A$2038,0)),"")</f>
        <v/>
      </c>
      <c r="E457" s="388"/>
      <c r="F457" s="374"/>
      <c r="G457" s="375"/>
      <c r="H457" s="397"/>
      <c r="I457" s="377"/>
      <c r="J457" s="378"/>
      <c r="K457" s="379"/>
      <c r="L457" s="387"/>
      <c r="M457" s="380" t="str">
        <f t="array" ref="M457">IF(L457="","",(MAX(IF(AN$15:AN$144=B457,AO$15:AO$144))/60))</f>
        <v/>
      </c>
      <c r="N457" s="387"/>
      <c r="O457" s="387"/>
      <c r="P457" s="381" t="str">
        <f t="shared" si="25"/>
        <v/>
      </c>
      <c r="Q457" s="382" t="str">
        <f t="array" ref="Q457">IFERROR(INDEX($D$13:$D$1000,MATCH(0,COUNTIF($Q$13:Q456,$D$13:$D$1000&amp;"")+IF($D$13:$D$1000="",1,0),0)),"")</f>
        <v/>
      </c>
      <c r="R457" s="356" t="str">
        <f t="shared" si="26"/>
        <v/>
      </c>
      <c r="S457" s="383" t="str">
        <f t="shared" si="28"/>
        <v/>
      </c>
      <c r="T457" s="384" t="str">
        <f t="shared" si="27"/>
        <v/>
      </c>
      <c r="U457" s="349"/>
      <c r="V457" s="385"/>
      <c r="W457" s="385"/>
      <c r="X457" s="386"/>
    </row>
    <row r="458" spans="2:24">
      <c r="B458" s="395"/>
      <c r="C458" s="371"/>
      <c r="D458" s="372" t="str">
        <f>IFERROR(INDEX('[12]Equipment List'!$B$2:$B$2038,MATCH(E458,'[12]Equipment List'!$A$2:$A$2038,0)),"")</f>
        <v/>
      </c>
      <c r="E458" s="388"/>
      <c r="F458" s="374"/>
      <c r="G458" s="375"/>
      <c r="H458" s="397"/>
      <c r="I458" s="377"/>
      <c r="J458" s="378"/>
      <c r="K458" s="379"/>
      <c r="L458" s="387"/>
      <c r="M458" s="380" t="str">
        <f t="array" ref="M458">IF(L458="","",(MAX(IF(AN$15:AN$144=B458,AO$15:AO$144))/60))</f>
        <v/>
      </c>
      <c r="N458" s="387"/>
      <c r="O458" s="387"/>
      <c r="P458" s="381" t="str">
        <f t="shared" si="25"/>
        <v/>
      </c>
      <c r="Q458" s="382" t="str">
        <f t="array" ref="Q458">IFERROR(INDEX($D$13:$D$1000,MATCH(0,COUNTIF($Q$13:Q457,$D$13:$D$1000&amp;"")+IF($D$13:$D$1000="",1,0),0)),"")</f>
        <v/>
      </c>
      <c r="R458" s="356" t="str">
        <f t="shared" si="26"/>
        <v/>
      </c>
      <c r="S458" s="383" t="str">
        <f t="shared" si="28"/>
        <v/>
      </c>
      <c r="T458" s="384" t="str">
        <f t="shared" si="27"/>
        <v/>
      </c>
      <c r="U458" s="349"/>
      <c r="V458" s="385"/>
      <c r="W458" s="385"/>
      <c r="X458" s="386"/>
    </row>
    <row r="459" spans="2:24">
      <c r="B459" s="395"/>
      <c r="C459" s="371"/>
      <c r="D459" s="372" t="str">
        <f>IFERROR(INDEX('[12]Equipment List'!$B$2:$B$2038,MATCH(E459,'[12]Equipment List'!$A$2:$A$2038,0)),"")</f>
        <v/>
      </c>
      <c r="E459" s="388"/>
      <c r="F459" s="374"/>
      <c r="G459" s="375"/>
      <c r="H459" s="397"/>
      <c r="I459" s="377"/>
      <c r="J459" s="378"/>
      <c r="K459" s="379"/>
      <c r="L459" s="387"/>
      <c r="M459" s="380" t="str">
        <f t="array" ref="M459">IF(L459="","",(MAX(IF(AN$15:AN$144=B459,AO$15:AO$144))/60))</f>
        <v/>
      </c>
      <c r="N459" s="387"/>
      <c r="O459" s="387"/>
      <c r="P459" s="381" t="str">
        <f t="shared" si="25"/>
        <v/>
      </c>
      <c r="Q459" s="382" t="str">
        <f t="array" ref="Q459">IFERROR(INDEX($D$13:$D$1000,MATCH(0,COUNTIF($Q$13:Q458,$D$13:$D$1000&amp;"")+IF($D$13:$D$1000="",1,0),0)),"")</f>
        <v/>
      </c>
      <c r="R459" s="356" t="str">
        <f t="shared" si="26"/>
        <v/>
      </c>
      <c r="S459" s="383" t="str">
        <f t="shared" si="28"/>
        <v/>
      </c>
      <c r="T459" s="384" t="str">
        <f t="shared" si="27"/>
        <v/>
      </c>
      <c r="U459" s="349"/>
      <c r="V459" s="385"/>
      <c r="W459" s="385"/>
      <c r="X459" s="386"/>
    </row>
    <row r="460" spans="2:24">
      <c r="B460" s="395"/>
      <c r="C460" s="371"/>
      <c r="D460" s="372" t="str">
        <f>IFERROR(INDEX('[12]Equipment List'!$B$2:$B$2038,MATCH(E460,'[12]Equipment List'!$A$2:$A$2038,0)),"")</f>
        <v/>
      </c>
      <c r="E460" s="388"/>
      <c r="F460" s="374"/>
      <c r="G460" s="375"/>
      <c r="H460" s="397"/>
      <c r="I460" s="377"/>
      <c r="J460" s="378"/>
      <c r="K460" s="379"/>
      <c r="L460" s="387"/>
      <c r="M460" s="380" t="str">
        <f t="array" ref="M460">IF(L460="","",(MAX(IF(AN$15:AN$144=B460,AO$15:AO$144))/60))</f>
        <v/>
      </c>
      <c r="N460" s="387"/>
      <c r="O460" s="387"/>
      <c r="P460" s="381" t="str">
        <f t="shared" ref="P460:P523" si="29">IFERROR((((K460/5/250/$F$8)+(N460*$F$9))/$S$4)*(M460/60),"")</f>
        <v/>
      </c>
      <c r="Q460" s="382" t="str">
        <f t="array" ref="Q460">IFERROR(INDEX($D$13:$D$1000,MATCH(0,COUNTIF($Q$13:Q459,$D$13:$D$1000&amp;"")+IF($D$13:$D$1000="",1,0),0)),"")</f>
        <v/>
      </c>
      <c r="R460" s="356" t="str">
        <f t="shared" si="26"/>
        <v/>
      </c>
      <c r="S460" s="383" t="str">
        <f t="shared" si="28"/>
        <v/>
      </c>
      <c r="T460" s="384" t="str">
        <f t="shared" si="27"/>
        <v/>
      </c>
      <c r="U460" s="349"/>
      <c r="V460" s="385"/>
      <c r="W460" s="385"/>
      <c r="X460" s="386"/>
    </row>
    <row r="461" spans="2:24">
      <c r="B461" s="395"/>
      <c r="C461" s="371"/>
      <c r="D461" s="372" t="str">
        <f>IFERROR(INDEX('[12]Equipment List'!$B$2:$B$2038,MATCH(E461,'[12]Equipment List'!$A$2:$A$2038,0)),"")</f>
        <v/>
      </c>
      <c r="E461" s="388"/>
      <c r="F461" s="374"/>
      <c r="G461" s="375"/>
      <c r="H461" s="397"/>
      <c r="I461" s="377"/>
      <c r="J461" s="378"/>
      <c r="K461" s="379"/>
      <c r="L461" s="387"/>
      <c r="M461" s="380" t="str">
        <f t="array" ref="M461">IF(L461="","",(MAX(IF(AN$15:AN$144=B461,AO$15:AO$144))/60))</f>
        <v/>
      </c>
      <c r="N461" s="387"/>
      <c r="O461" s="387"/>
      <c r="P461" s="381" t="str">
        <f t="shared" si="29"/>
        <v/>
      </c>
      <c r="Q461" s="382" t="str">
        <f t="array" ref="Q461">IFERROR(INDEX($D$13:$D$1000,MATCH(0,COUNTIF($Q$13:Q460,$D$13:$D$1000&amp;"")+IF($D$13:$D$1000="",1,0),0)),"")</f>
        <v/>
      </c>
      <c r="R461" s="356" t="str">
        <f t="shared" ref="R461:R524" si="30">IF(Q461="","",COUNTIF($D$13:$D$1000,$Q461))</f>
        <v/>
      </c>
      <c r="S461" s="383" t="str">
        <f t="shared" si="28"/>
        <v/>
      </c>
      <c r="T461" s="384" t="str">
        <f t="shared" ref="T461:T524" si="31">IF($Q461="","",SUMIF($D$13:$D$1000,$Q461,N$13:N$1000))</f>
        <v/>
      </c>
      <c r="U461" s="349"/>
      <c r="V461" s="385"/>
      <c r="W461" s="385"/>
      <c r="X461" s="386"/>
    </row>
    <row r="462" spans="2:24">
      <c r="B462" s="395"/>
      <c r="C462" s="371"/>
      <c r="D462" s="372" t="str">
        <f>IFERROR(INDEX('[12]Equipment List'!$B$2:$B$2038,MATCH(E462,'[12]Equipment List'!$A$2:$A$2038,0)),"")</f>
        <v/>
      </c>
      <c r="E462" s="388"/>
      <c r="F462" s="374"/>
      <c r="G462" s="375"/>
      <c r="H462" s="397"/>
      <c r="I462" s="377"/>
      <c r="J462" s="378"/>
      <c r="K462" s="379"/>
      <c r="L462" s="387"/>
      <c r="M462" s="380" t="str">
        <f t="array" ref="M462">IF(L462="","",(MAX(IF(AN$15:AN$144=B462,AO$15:AO$144))/60))</f>
        <v/>
      </c>
      <c r="N462" s="387"/>
      <c r="O462" s="387"/>
      <c r="P462" s="381" t="str">
        <f t="shared" si="29"/>
        <v/>
      </c>
      <c r="Q462" s="382" t="str">
        <f t="array" ref="Q462">IFERROR(INDEX($D$13:$D$1000,MATCH(0,COUNTIF($Q$13:Q461,$D$13:$D$1000&amp;"")+IF($D$13:$D$1000="",1,0),0)),"")</f>
        <v/>
      </c>
      <c r="R462" s="356" t="str">
        <f t="shared" si="30"/>
        <v/>
      </c>
      <c r="S462" s="383" t="str">
        <f t="shared" si="28"/>
        <v/>
      </c>
      <c r="T462" s="384" t="str">
        <f t="shared" si="31"/>
        <v/>
      </c>
      <c r="U462" s="349"/>
      <c r="V462" s="385"/>
      <c r="W462" s="385"/>
      <c r="X462" s="386"/>
    </row>
    <row r="463" spans="2:24">
      <c r="B463" s="395"/>
      <c r="C463" s="371"/>
      <c r="D463" s="372" t="str">
        <f>IFERROR(INDEX('[12]Equipment List'!$B$2:$B$2038,MATCH(E463,'[12]Equipment List'!$A$2:$A$2038,0)),"")</f>
        <v/>
      </c>
      <c r="E463" s="388"/>
      <c r="F463" s="374"/>
      <c r="G463" s="375"/>
      <c r="H463" s="397"/>
      <c r="I463" s="377"/>
      <c r="J463" s="378"/>
      <c r="K463" s="379"/>
      <c r="L463" s="387"/>
      <c r="M463" s="380" t="str">
        <f t="array" ref="M463">IF(L463="","",(MAX(IF(AN$15:AN$144=B463,AO$15:AO$144))/60))</f>
        <v/>
      </c>
      <c r="N463" s="387"/>
      <c r="O463" s="387"/>
      <c r="P463" s="381" t="str">
        <f t="shared" si="29"/>
        <v/>
      </c>
      <c r="Q463" s="382" t="str">
        <f t="array" ref="Q463">IFERROR(INDEX($D$13:$D$1000,MATCH(0,COUNTIF($Q$13:Q462,$D$13:$D$1000&amp;"")+IF($D$13:$D$1000="",1,0),0)),"")</f>
        <v/>
      </c>
      <c r="R463" s="356" t="str">
        <f t="shared" si="30"/>
        <v/>
      </c>
      <c r="S463" s="383" t="str">
        <f t="shared" si="28"/>
        <v/>
      </c>
      <c r="T463" s="384" t="str">
        <f t="shared" si="31"/>
        <v/>
      </c>
      <c r="U463" s="349"/>
      <c r="V463" s="385"/>
      <c r="W463" s="385"/>
      <c r="X463" s="386"/>
    </row>
    <row r="464" spans="2:24">
      <c r="B464" s="395"/>
      <c r="C464" s="371"/>
      <c r="D464" s="372" t="str">
        <f>IFERROR(INDEX('[12]Equipment List'!$B$2:$B$2038,MATCH(E464,'[12]Equipment List'!$A$2:$A$2038,0)),"")</f>
        <v/>
      </c>
      <c r="E464" s="388"/>
      <c r="F464" s="374"/>
      <c r="G464" s="375"/>
      <c r="H464" s="397"/>
      <c r="I464" s="377"/>
      <c r="J464" s="378"/>
      <c r="K464" s="379"/>
      <c r="L464" s="387"/>
      <c r="M464" s="380" t="str">
        <f t="array" ref="M464">IF(L464="","",(MAX(IF(AN$15:AN$144=B464,AO$15:AO$144))/60))</f>
        <v/>
      </c>
      <c r="N464" s="387"/>
      <c r="O464" s="387"/>
      <c r="P464" s="381" t="str">
        <f t="shared" si="29"/>
        <v/>
      </c>
      <c r="Q464" s="382" t="str">
        <f t="array" ref="Q464">IFERROR(INDEX($D$13:$D$1000,MATCH(0,COUNTIF($Q$13:Q463,$D$13:$D$1000&amp;"")+IF($D$13:$D$1000="",1,0),0)),"")</f>
        <v/>
      </c>
      <c r="R464" s="356" t="str">
        <f t="shared" si="30"/>
        <v/>
      </c>
      <c r="S464" s="383" t="str">
        <f t="shared" si="28"/>
        <v/>
      </c>
      <c r="T464" s="384" t="str">
        <f t="shared" si="31"/>
        <v/>
      </c>
      <c r="U464" s="349"/>
      <c r="V464" s="385"/>
      <c r="W464" s="385"/>
      <c r="X464" s="386"/>
    </row>
    <row r="465" spans="2:24">
      <c r="B465" s="395"/>
      <c r="C465" s="371"/>
      <c r="D465" s="372" t="str">
        <f>IFERROR(INDEX('[12]Equipment List'!$B$2:$B$2038,MATCH(E465,'[12]Equipment List'!$A$2:$A$2038,0)),"")</f>
        <v/>
      </c>
      <c r="E465" s="388"/>
      <c r="F465" s="374"/>
      <c r="G465" s="375"/>
      <c r="H465" s="397"/>
      <c r="I465" s="377"/>
      <c r="J465" s="378"/>
      <c r="K465" s="379"/>
      <c r="L465" s="387"/>
      <c r="M465" s="380" t="str">
        <f t="array" ref="M465">IF(L465="","",(MAX(IF(AN$15:AN$144=B465,AO$15:AO$144))/60))</f>
        <v/>
      </c>
      <c r="N465" s="387"/>
      <c r="O465" s="387"/>
      <c r="P465" s="381" t="str">
        <f t="shared" si="29"/>
        <v/>
      </c>
      <c r="Q465" s="382" t="str">
        <f t="array" ref="Q465">IFERROR(INDEX($D$13:$D$1000,MATCH(0,COUNTIF($Q$13:Q464,$D$13:$D$1000&amp;"")+IF($D$13:$D$1000="",1,0),0)),"")</f>
        <v/>
      </c>
      <c r="R465" s="356" t="str">
        <f t="shared" si="30"/>
        <v/>
      </c>
      <c r="S465" s="383" t="str">
        <f t="shared" si="28"/>
        <v/>
      </c>
      <c r="T465" s="384" t="str">
        <f t="shared" si="31"/>
        <v/>
      </c>
      <c r="U465" s="349"/>
      <c r="V465" s="385"/>
      <c r="W465" s="385"/>
      <c r="X465" s="386"/>
    </row>
    <row r="466" spans="2:24">
      <c r="B466" s="395"/>
      <c r="C466" s="371"/>
      <c r="D466" s="372" t="str">
        <f>IFERROR(INDEX('[12]Equipment List'!$B$2:$B$2038,MATCH(E466,'[12]Equipment List'!$A$2:$A$2038,0)),"")</f>
        <v/>
      </c>
      <c r="E466" s="388"/>
      <c r="F466" s="374"/>
      <c r="G466" s="375"/>
      <c r="H466" s="397"/>
      <c r="I466" s="377"/>
      <c r="J466" s="378"/>
      <c r="K466" s="379"/>
      <c r="L466" s="387"/>
      <c r="M466" s="380" t="str">
        <f t="array" ref="M466">IF(L466="","",(MAX(IF(AN$15:AN$144=B466,AO$15:AO$144))/60))</f>
        <v/>
      </c>
      <c r="N466" s="387"/>
      <c r="O466" s="387"/>
      <c r="P466" s="381" t="str">
        <f t="shared" si="29"/>
        <v/>
      </c>
      <c r="Q466" s="382" t="str">
        <f t="array" ref="Q466">IFERROR(INDEX($D$13:$D$1000,MATCH(0,COUNTIF($Q$13:Q465,$D$13:$D$1000&amp;"")+IF($D$13:$D$1000="",1,0),0)),"")</f>
        <v/>
      </c>
      <c r="R466" s="356" t="str">
        <f t="shared" si="30"/>
        <v/>
      </c>
      <c r="S466" s="383" t="str">
        <f t="shared" si="28"/>
        <v/>
      </c>
      <c r="T466" s="384" t="str">
        <f t="shared" si="31"/>
        <v/>
      </c>
      <c r="U466" s="349"/>
      <c r="V466" s="385"/>
      <c r="W466" s="385"/>
      <c r="X466" s="386"/>
    </row>
    <row r="467" spans="2:24">
      <c r="B467" s="395"/>
      <c r="C467" s="371"/>
      <c r="D467" s="372" t="str">
        <f>IFERROR(INDEX('[12]Equipment List'!$B$2:$B$2038,MATCH(E467,'[12]Equipment List'!$A$2:$A$2038,0)),"")</f>
        <v/>
      </c>
      <c r="E467" s="388"/>
      <c r="F467" s="374"/>
      <c r="G467" s="375"/>
      <c r="H467" s="397"/>
      <c r="I467" s="377"/>
      <c r="J467" s="378"/>
      <c r="K467" s="379"/>
      <c r="L467" s="387"/>
      <c r="M467" s="380" t="str">
        <f t="array" ref="M467">IF(L467="","",(MAX(IF(AN$15:AN$144=B467,AO$15:AO$144))/60))</f>
        <v/>
      </c>
      <c r="N467" s="387"/>
      <c r="O467" s="387"/>
      <c r="P467" s="381" t="str">
        <f t="shared" si="29"/>
        <v/>
      </c>
      <c r="Q467" s="382" t="str">
        <f t="array" ref="Q467">IFERROR(INDEX($D$13:$D$1000,MATCH(0,COUNTIF($Q$13:Q466,$D$13:$D$1000&amp;"")+IF($D$13:$D$1000="",1,0),0)),"")</f>
        <v/>
      </c>
      <c r="R467" s="356" t="str">
        <f t="shared" si="30"/>
        <v/>
      </c>
      <c r="S467" s="383" t="str">
        <f t="shared" si="28"/>
        <v/>
      </c>
      <c r="T467" s="384" t="str">
        <f t="shared" si="31"/>
        <v/>
      </c>
      <c r="U467" s="349"/>
      <c r="V467" s="385"/>
      <c r="W467" s="385"/>
      <c r="X467" s="386"/>
    </row>
    <row r="468" spans="2:24">
      <c r="B468" s="395"/>
      <c r="C468" s="371"/>
      <c r="D468" s="372" t="str">
        <f>IFERROR(INDEX('[12]Equipment List'!$B$2:$B$2038,MATCH(E468,'[12]Equipment List'!$A$2:$A$2038,0)),"")</f>
        <v/>
      </c>
      <c r="E468" s="388"/>
      <c r="F468" s="374"/>
      <c r="G468" s="375"/>
      <c r="H468" s="397"/>
      <c r="I468" s="377"/>
      <c r="J468" s="378"/>
      <c r="K468" s="379"/>
      <c r="L468" s="387"/>
      <c r="M468" s="380" t="str">
        <f t="array" ref="M468">IF(L468="","",(MAX(IF(AN$15:AN$144=B468,AO$15:AO$144))/60))</f>
        <v/>
      </c>
      <c r="N468" s="387"/>
      <c r="O468" s="387"/>
      <c r="P468" s="381" t="str">
        <f t="shared" si="29"/>
        <v/>
      </c>
      <c r="Q468" s="382" t="str">
        <f t="array" ref="Q468">IFERROR(INDEX($D$13:$D$1000,MATCH(0,COUNTIF($Q$13:Q467,$D$13:$D$1000&amp;"")+IF($D$13:$D$1000="",1,0),0)),"")</f>
        <v/>
      </c>
      <c r="R468" s="356" t="str">
        <f t="shared" si="30"/>
        <v/>
      </c>
      <c r="S468" s="383" t="str">
        <f t="shared" si="28"/>
        <v/>
      </c>
      <c r="T468" s="384" t="str">
        <f t="shared" si="31"/>
        <v/>
      </c>
      <c r="U468" s="349"/>
      <c r="V468" s="385"/>
      <c r="W468" s="385"/>
      <c r="X468" s="386"/>
    </row>
    <row r="469" spans="2:24">
      <c r="B469" s="395"/>
      <c r="C469" s="371"/>
      <c r="D469" s="372" t="str">
        <f>IFERROR(INDEX('[12]Equipment List'!$B$2:$B$2038,MATCH(E469,'[12]Equipment List'!$A$2:$A$2038,0)),"")</f>
        <v/>
      </c>
      <c r="E469" s="388"/>
      <c r="F469" s="374"/>
      <c r="G469" s="375"/>
      <c r="H469" s="397"/>
      <c r="I469" s="377"/>
      <c r="J469" s="378"/>
      <c r="K469" s="379"/>
      <c r="L469" s="387"/>
      <c r="M469" s="380" t="str">
        <f t="array" ref="M469">IF(L469="","",(MAX(IF(AN$15:AN$144=B469,AO$15:AO$144))/60))</f>
        <v/>
      </c>
      <c r="N469" s="387"/>
      <c r="O469" s="387"/>
      <c r="P469" s="381" t="str">
        <f t="shared" si="29"/>
        <v/>
      </c>
      <c r="Q469" s="382" t="str">
        <f t="array" ref="Q469">IFERROR(INDEX($D$13:$D$1000,MATCH(0,COUNTIF($Q$13:Q468,$D$13:$D$1000&amp;"")+IF($D$13:$D$1000="",1,0),0)),"")</f>
        <v/>
      </c>
      <c r="R469" s="356" t="str">
        <f t="shared" si="30"/>
        <v/>
      </c>
      <c r="S469" s="383" t="str">
        <f t="shared" si="28"/>
        <v/>
      </c>
      <c r="T469" s="384" t="str">
        <f t="shared" si="31"/>
        <v/>
      </c>
      <c r="U469" s="349"/>
      <c r="V469" s="385"/>
      <c r="W469" s="385"/>
      <c r="X469" s="386"/>
    </row>
    <row r="470" spans="2:24">
      <c r="B470" s="395"/>
      <c r="C470" s="371"/>
      <c r="D470" s="372" t="str">
        <f>IFERROR(INDEX('[12]Equipment List'!$B$2:$B$2038,MATCH(E470,'[12]Equipment List'!$A$2:$A$2038,0)),"")</f>
        <v/>
      </c>
      <c r="E470" s="388"/>
      <c r="F470" s="374"/>
      <c r="G470" s="375"/>
      <c r="H470" s="397"/>
      <c r="I470" s="377"/>
      <c r="J470" s="378"/>
      <c r="K470" s="379"/>
      <c r="L470" s="387"/>
      <c r="M470" s="380" t="str">
        <f t="array" ref="M470">IF(L470="","",(MAX(IF(AN$15:AN$144=B470,AO$15:AO$144))/60))</f>
        <v/>
      </c>
      <c r="N470" s="387"/>
      <c r="O470" s="387"/>
      <c r="P470" s="381" t="str">
        <f t="shared" si="29"/>
        <v/>
      </c>
      <c r="Q470" s="382" t="str">
        <f t="array" ref="Q470">IFERROR(INDEX($D$13:$D$1000,MATCH(0,COUNTIF($Q$13:Q469,$D$13:$D$1000&amp;"")+IF($D$13:$D$1000="",1,0),0)),"")</f>
        <v/>
      </c>
      <c r="R470" s="356" t="str">
        <f t="shared" si="30"/>
        <v/>
      </c>
      <c r="S470" s="383" t="str">
        <f t="shared" si="28"/>
        <v/>
      </c>
      <c r="T470" s="384" t="str">
        <f t="shared" si="31"/>
        <v/>
      </c>
      <c r="U470" s="349"/>
      <c r="V470" s="385"/>
      <c r="W470" s="385"/>
      <c r="X470" s="386"/>
    </row>
    <row r="471" spans="2:24">
      <c r="B471" s="395"/>
      <c r="C471" s="371"/>
      <c r="D471" s="372" t="str">
        <f>IFERROR(INDEX('[12]Equipment List'!$B$2:$B$2038,MATCH(E471,'[12]Equipment List'!$A$2:$A$2038,0)),"")</f>
        <v/>
      </c>
      <c r="E471" s="388"/>
      <c r="F471" s="374"/>
      <c r="G471" s="375"/>
      <c r="H471" s="397"/>
      <c r="I471" s="377"/>
      <c r="J471" s="378"/>
      <c r="K471" s="379"/>
      <c r="L471" s="387"/>
      <c r="M471" s="380" t="str">
        <f t="array" ref="M471">IF(L471="","",(MAX(IF(AN$15:AN$144=B471,AO$15:AO$144))/60))</f>
        <v/>
      </c>
      <c r="N471" s="387"/>
      <c r="O471" s="387"/>
      <c r="P471" s="381" t="str">
        <f t="shared" si="29"/>
        <v/>
      </c>
      <c r="Q471" s="382" t="str">
        <f t="array" ref="Q471">IFERROR(INDEX($D$13:$D$1000,MATCH(0,COUNTIF($Q$13:Q470,$D$13:$D$1000&amp;"")+IF($D$13:$D$1000="",1,0),0)),"")</f>
        <v/>
      </c>
      <c r="R471" s="356" t="str">
        <f t="shared" si="30"/>
        <v/>
      </c>
      <c r="S471" s="383" t="str">
        <f t="shared" si="28"/>
        <v/>
      </c>
      <c r="T471" s="384" t="str">
        <f t="shared" si="31"/>
        <v/>
      </c>
      <c r="U471" s="349"/>
      <c r="V471" s="385"/>
      <c r="W471" s="385"/>
      <c r="X471" s="386"/>
    </row>
    <row r="472" spans="2:24">
      <c r="B472" s="395"/>
      <c r="C472" s="371"/>
      <c r="D472" s="372" t="str">
        <f>IFERROR(INDEX('[12]Equipment List'!$B$2:$B$2038,MATCH(E472,'[12]Equipment List'!$A$2:$A$2038,0)),"")</f>
        <v/>
      </c>
      <c r="E472" s="388"/>
      <c r="F472" s="374"/>
      <c r="G472" s="375"/>
      <c r="H472" s="397"/>
      <c r="I472" s="377"/>
      <c r="J472" s="378"/>
      <c r="K472" s="379"/>
      <c r="L472" s="387"/>
      <c r="M472" s="380" t="str">
        <f t="array" ref="M472">IF(L472="","",(MAX(IF(AN$15:AN$144=B472,AO$15:AO$144))/60))</f>
        <v/>
      </c>
      <c r="N472" s="387"/>
      <c r="O472" s="387"/>
      <c r="P472" s="381" t="str">
        <f t="shared" si="29"/>
        <v/>
      </c>
      <c r="Q472" s="382" t="str">
        <f t="array" ref="Q472">IFERROR(INDEX($D$13:$D$1000,MATCH(0,COUNTIF($Q$13:Q471,$D$13:$D$1000&amp;"")+IF($D$13:$D$1000="",1,0),0)),"")</f>
        <v/>
      </c>
      <c r="R472" s="356" t="str">
        <f t="shared" si="30"/>
        <v/>
      </c>
      <c r="S472" s="383" t="str">
        <f t="shared" si="28"/>
        <v/>
      </c>
      <c r="T472" s="384" t="str">
        <f t="shared" si="31"/>
        <v/>
      </c>
      <c r="U472" s="349"/>
      <c r="V472" s="385"/>
      <c r="W472" s="385"/>
      <c r="X472" s="386"/>
    </row>
    <row r="473" spans="2:24">
      <c r="B473" s="395"/>
      <c r="C473" s="371"/>
      <c r="D473" s="372" t="str">
        <f>IFERROR(INDEX('[12]Equipment List'!$B$2:$B$2038,MATCH(E473,'[12]Equipment List'!$A$2:$A$2038,0)),"")</f>
        <v/>
      </c>
      <c r="E473" s="388"/>
      <c r="F473" s="374"/>
      <c r="G473" s="375"/>
      <c r="H473" s="397"/>
      <c r="I473" s="377"/>
      <c r="J473" s="378"/>
      <c r="K473" s="379"/>
      <c r="L473" s="387"/>
      <c r="M473" s="380" t="str">
        <f t="array" ref="M473">IF(L473="","",(MAX(IF(AN$15:AN$144=B473,AO$15:AO$144))/60))</f>
        <v/>
      </c>
      <c r="N473" s="387"/>
      <c r="O473" s="387"/>
      <c r="P473" s="381" t="str">
        <f t="shared" si="29"/>
        <v/>
      </c>
      <c r="Q473" s="382" t="str">
        <f t="array" ref="Q473">IFERROR(INDEX($D$13:$D$1000,MATCH(0,COUNTIF($Q$13:Q472,$D$13:$D$1000&amp;"")+IF($D$13:$D$1000="",1,0),0)),"")</f>
        <v/>
      </c>
      <c r="R473" s="356" t="str">
        <f t="shared" si="30"/>
        <v/>
      </c>
      <c r="S473" s="383" t="str">
        <f t="shared" si="28"/>
        <v/>
      </c>
      <c r="T473" s="384" t="str">
        <f t="shared" si="31"/>
        <v/>
      </c>
      <c r="U473" s="349"/>
      <c r="V473" s="385"/>
      <c r="W473" s="385"/>
      <c r="X473" s="386"/>
    </row>
    <row r="474" spans="2:24">
      <c r="B474" s="395"/>
      <c r="C474" s="371"/>
      <c r="D474" s="372" t="str">
        <f>IFERROR(INDEX('[12]Equipment List'!$B$2:$B$2038,MATCH(E474,'[12]Equipment List'!$A$2:$A$2038,0)),"")</f>
        <v/>
      </c>
      <c r="E474" s="388"/>
      <c r="F474" s="374"/>
      <c r="G474" s="375"/>
      <c r="H474" s="397"/>
      <c r="I474" s="377"/>
      <c r="J474" s="378"/>
      <c r="K474" s="379"/>
      <c r="L474" s="387"/>
      <c r="M474" s="380" t="str">
        <f t="array" ref="M474">IF(L474="","",(MAX(IF(AN$15:AN$144=B474,AO$15:AO$144))/60))</f>
        <v/>
      </c>
      <c r="N474" s="387"/>
      <c r="O474" s="387"/>
      <c r="P474" s="381" t="str">
        <f t="shared" si="29"/>
        <v/>
      </c>
      <c r="Q474" s="382" t="str">
        <f t="array" ref="Q474">IFERROR(INDEX($D$13:$D$1000,MATCH(0,COUNTIF($Q$13:Q473,$D$13:$D$1000&amp;"")+IF($D$13:$D$1000="",1,0),0)),"")</f>
        <v/>
      </c>
      <c r="R474" s="356" t="str">
        <f t="shared" si="30"/>
        <v/>
      </c>
      <c r="S474" s="383" t="str">
        <f t="shared" si="28"/>
        <v/>
      </c>
      <c r="T474" s="384" t="str">
        <f t="shared" si="31"/>
        <v/>
      </c>
      <c r="U474" s="349"/>
      <c r="V474" s="385"/>
      <c r="W474" s="385"/>
      <c r="X474" s="386"/>
    </row>
    <row r="475" spans="2:24">
      <c r="B475" s="395"/>
      <c r="C475" s="371"/>
      <c r="D475" s="372" t="str">
        <f>IFERROR(INDEX('[12]Equipment List'!$B$2:$B$2038,MATCH(E475,'[12]Equipment List'!$A$2:$A$2038,0)),"")</f>
        <v/>
      </c>
      <c r="E475" s="388"/>
      <c r="F475" s="374"/>
      <c r="G475" s="375"/>
      <c r="H475" s="397"/>
      <c r="I475" s="377"/>
      <c r="J475" s="378"/>
      <c r="K475" s="379"/>
      <c r="L475" s="387"/>
      <c r="M475" s="380" t="str">
        <f t="array" ref="M475">IF(L475="","",(MAX(IF(AN$15:AN$144=B475,AO$15:AO$144))/60))</f>
        <v/>
      </c>
      <c r="N475" s="387"/>
      <c r="O475" s="387"/>
      <c r="P475" s="381" t="str">
        <f t="shared" si="29"/>
        <v/>
      </c>
      <c r="Q475" s="382" t="str">
        <f t="array" ref="Q475">IFERROR(INDEX($D$13:$D$1000,MATCH(0,COUNTIF($Q$13:Q474,$D$13:$D$1000&amp;"")+IF($D$13:$D$1000="",1,0),0)),"")</f>
        <v/>
      </c>
      <c r="R475" s="356" t="str">
        <f t="shared" si="30"/>
        <v/>
      </c>
      <c r="S475" s="383" t="str">
        <f t="shared" si="28"/>
        <v/>
      </c>
      <c r="T475" s="384" t="str">
        <f t="shared" si="31"/>
        <v/>
      </c>
      <c r="U475" s="349"/>
      <c r="V475" s="385"/>
      <c r="W475" s="385"/>
      <c r="X475" s="386"/>
    </row>
    <row r="476" spans="2:24">
      <c r="B476" s="395"/>
      <c r="C476" s="371"/>
      <c r="D476" s="372" t="str">
        <f>IFERROR(INDEX('[12]Equipment List'!$B$2:$B$2038,MATCH(E476,'[12]Equipment List'!$A$2:$A$2038,0)),"")</f>
        <v/>
      </c>
      <c r="E476" s="388"/>
      <c r="F476" s="374"/>
      <c r="G476" s="375"/>
      <c r="H476" s="397"/>
      <c r="I476" s="377"/>
      <c r="J476" s="378"/>
      <c r="K476" s="379"/>
      <c r="L476" s="387"/>
      <c r="M476" s="380" t="str">
        <f t="array" ref="M476">IF(L476="","",(MAX(IF(AN$15:AN$144=B476,AO$15:AO$144))/60))</f>
        <v/>
      </c>
      <c r="N476" s="387"/>
      <c r="O476" s="387"/>
      <c r="P476" s="381" t="str">
        <f t="shared" si="29"/>
        <v/>
      </c>
      <c r="Q476" s="382" t="str">
        <f t="array" ref="Q476">IFERROR(INDEX($D$13:$D$1000,MATCH(0,COUNTIF($Q$13:Q475,$D$13:$D$1000&amp;"")+IF($D$13:$D$1000="",1,0),0)),"")</f>
        <v/>
      </c>
      <c r="R476" s="356" t="str">
        <f t="shared" si="30"/>
        <v/>
      </c>
      <c r="S476" s="383" t="str">
        <f t="shared" si="28"/>
        <v/>
      </c>
      <c r="T476" s="384" t="str">
        <f t="shared" si="31"/>
        <v/>
      </c>
      <c r="U476" s="349"/>
      <c r="V476" s="385"/>
      <c r="W476" s="385"/>
      <c r="X476" s="386"/>
    </row>
    <row r="477" spans="2:24">
      <c r="B477" s="395"/>
      <c r="C477" s="371"/>
      <c r="D477" s="372" t="str">
        <f>IFERROR(INDEX('[12]Equipment List'!$B$2:$B$2038,MATCH(E477,'[12]Equipment List'!$A$2:$A$2038,0)),"")</f>
        <v/>
      </c>
      <c r="E477" s="388"/>
      <c r="F477" s="374"/>
      <c r="G477" s="375"/>
      <c r="H477" s="397"/>
      <c r="I477" s="377"/>
      <c r="J477" s="378"/>
      <c r="K477" s="379"/>
      <c r="L477" s="387"/>
      <c r="M477" s="380" t="str">
        <f t="array" ref="M477">IF(L477="","",(MAX(IF(AN$15:AN$144=B477,AO$15:AO$144))/60))</f>
        <v/>
      </c>
      <c r="N477" s="387"/>
      <c r="O477" s="387"/>
      <c r="P477" s="381" t="str">
        <f t="shared" si="29"/>
        <v/>
      </c>
      <c r="Q477" s="382" t="str">
        <f t="array" ref="Q477">IFERROR(INDEX($D$13:$D$1000,MATCH(0,COUNTIF($Q$13:Q476,$D$13:$D$1000&amp;"")+IF($D$13:$D$1000="",1,0),0)),"")</f>
        <v/>
      </c>
      <c r="R477" s="356" t="str">
        <f t="shared" si="30"/>
        <v/>
      </c>
      <c r="S477" s="383" t="str">
        <f t="shared" si="28"/>
        <v/>
      </c>
      <c r="T477" s="384" t="str">
        <f t="shared" si="31"/>
        <v/>
      </c>
      <c r="U477" s="349"/>
      <c r="V477" s="385"/>
      <c r="W477" s="385"/>
      <c r="X477" s="386"/>
    </row>
    <row r="478" spans="2:24">
      <c r="B478" s="395"/>
      <c r="C478" s="371"/>
      <c r="D478" s="372" t="str">
        <f>IFERROR(INDEX('[12]Equipment List'!$B$2:$B$2038,MATCH(E478,'[12]Equipment List'!$A$2:$A$2038,0)),"")</f>
        <v/>
      </c>
      <c r="E478" s="388"/>
      <c r="F478" s="374"/>
      <c r="G478" s="375"/>
      <c r="H478" s="397"/>
      <c r="I478" s="377"/>
      <c r="J478" s="378"/>
      <c r="K478" s="379"/>
      <c r="L478" s="387"/>
      <c r="M478" s="380" t="str">
        <f t="array" ref="M478">IF(L478="","",(MAX(IF(AN$15:AN$144=B478,AO$15:AO$144))/60))</f>
        <v/>
      </c>
      <c r="N478" s="387"/>
      <c r="O478" s="387"/>
      <c r="P478" s="381" t="str">
        <f t="shared" si="29"/>
        <v/>
      </c>
      <c r="Q478" s="382" t="str">
        <f t="array" ref="Q478">IFERROR(INDEX($D$13:$D$1000,MATCH(0,COUNTIF($Q$13:Q477,$D$13:$D$1000&amp;"")+IF($D$13:$D$1000="",1,0),0)),"")</f>
        <v/>
      </c>
      <c r="R478" s="356" t="str">
        <f t="shared" si="30"/>
        <v/>
      </c>
      <c r="S478" s="383" t="str">
        <f t="shared" si="28"/>
        <v/>
      </c>
      <c r="T478" s="384" t="str">
        <f t="shared" si="31"/>
        <v/>
      </c>
      <c r="U478" s="349"/>
      <c r="V478" s="385"/>
      <c r="W478" s="385"/>
      <c r="X478" s="386"/>
    </row>
    <row r="479" spans="2:24">
      <c r="B479" s="395"/>
      <c r="C479" s="371"/>
      <c r="D479" s="372" t="str">
        <f>IFERROR(INDEX('[12]Equipment List'!$B$2:$B$2038,MATCH(E479,'[12]Equipment List'!$A$2:$A$2038,0)),"")</f>
        <v/>
      </c>
      <c r="E479" s="388"/>
      <c r="F479" s="374"/>
      <c r="G479" s="375"/>
      <c r="H479" s="397"/>
      <c r="I479" s="377"/>
      <c r="J479" s="378"/>
      <c r="K479" s="379"/>
      <c r="L479" s="387"/>
      <c r="M479" s="380" t="str">
        <f t="array" ref="M479">IF(L479="","",(MAX(IF(AN$15:AN$144=B479,AO$15:AO$144))/60))</f>
        <v/>
      </c>
      <c r="N479" s="387"/>
      <c r="O479" s="387"/>
      <c r="P479" s="381" t="str">
        <f t="shared" si="29"/>
        <v/>
      </c>
      <c r="Q479" s="382" t="str">
        <f t="array" ref="Q479">IFERROR(INDEX($D$13:$D$1000,MATCH(0,COUNTIF($Q$13:Q478,$D$13:$D$1000&amp;"")+IF($D$13:$D$1000="",1,0),0)),"")</f>
        <v/>
      </c>
      <c r="R479" s="356" t="str">
        <f t="shared" si="30"/>
        <v/>
      </c>
      <c r="S479" s="383" t="str">
        <f t="shared" si="28"/>
        <v/>
      </c>
      <c r="T479" s="384" t="str">
        <f t="shared" si="31"/>
        <v/>
      </c>
      <c r="U479" s="349"/>
      <c r="V479" s="385"/>
      <c r="W479" s="385"/>
      <c r="X479" s="386"/>
    </row>
    <row r="480" spans="2:24">
      <c r="B480" s="395"/>
      <c r="C480" s="371"/>
      <c r="D480" s="372" t="str">
        <f>IFERROR(INDEX('[12]Equipment List'!$B$2:$B$2038,MATCH(E480,'[12]Equipment List'!$A$2:$A$2038,0)),"")</f>
        <v/>
      </c>
      <c r="E480" s="388"/>
      <c r="F480" s="374"/>
      <c r="G480" s="375"/>
      <c r="H480" s="397"/>
      <c r="I480" s="377"/>
      <c r="J480" s="378"/>
      <c r="K480" s="379"/>
      <c r="L480" s="387"/>
      <c r="M480" s="380" t="str">
        <f t="array" ref="M480">IF(L480="","",(MAX(IF(AN$15:AN$144=B480,AO$15:AO$144))/60))</f>
        <v/>
      </c>
      <c r="N480" s="387"/>
      <c r="O480" s="387"/>
      <c r="P480" s="381" t="str">
        <f t="shared" si="29"/>
        <v/>
      </c>
      <c r="Q480" s="382" t="str">
        <f t="array" ref="Q480">IFERROR(INDEX($D$13:$D$1000,MATCH(0,COUNTIF($Q$13:Q479,$D$13:$D$1000&amp;"")+IF($D$13:$D$1000="",1,0),0)),"")</f>
        <v/>
      </c>
      <c r="R480" s="356" t="str">
        <f t="shared" si="30"/>
        <v/>
      </c>
      <c r="S480" s="383" t="str">
        <f t="shared" si="28"/>
        <v/>
      </c>
      <c r="T480" s="384" t="str">
        <f t="shared" si="31"/>
        <v/>
      </c>
      <c r="U480" s="349"/>
      <c r="V480" s="385"/>
      <c r="W480" s="385"/>
      <c r="X480" s="386"/>
    </row>
    <row r="481" spans="2:24">
      <c r="B481" s="395"/>
      <c r="C481" s="371"/>
      <c r="D481" s="372" t="str">
        <f>IFERROR(INDEX('[12]Equipment List'!$B$2:$B$2038,MATCH(E481,'[12]Equipment List'!$A$2:$A$2038,0)),"")</f>
        <v/>
      </c>
      <c r="E481" s="388"/>
      <c r="F481" s="374"/>
      <c r="G481" s="375"/>
      <c r="H481" s="397"/>
      <c r="I481" s="377"/>
      <c r="J481" s="378"/>
      <c r="K481" s="379"/>
      <c r="L481" s="387"/>
      <c r="M481" s="380" t="str">
        <f t="array" ref="M481">IF(L481="","",(MAX(IF(AN$15:AN$144=B481,AO$15:AO$144))/60))</f>
        <v/>
      </c>
      <c r="N481" s="387"/>
      <c r="O481" s="387"/>
      <c r="P481" s="381" t="str">
        <f t="shared" si="29"/>
        <v/>
      </c>
      <c r="Q481" s="382" t="str">
        <f t="array" ref="Q481">IFERROR(INDEX($D$13:$D$1000,MATCH(0,COUNTIF($Q$13:Q480,$D$13:$D$1000&amp;"")+IF($D$13:$D$1000="",1,0),0)),"")</f>
        <v/>
      </c>
      <c r="R481" s="356" t="str">
        <f t="shared" si="30"/>
        <v/>
      </c>
      <c r="S481" s="383" t="str">
        <f t="shared" si="28"/>
        <v/>
      </c>
      <c r="T481" s="384" t="str">
        <f t="shared" si="31"/>
        <v/>
      </c>
      <c r="U481" s="349"/>
      <c r="V481" s="385"/>
      <c r="W481" s="385"/>
      <c r="X481" s="386"/>
    </row>
    <row r="482" spans="2:24">
      <c r="B482" s="395"/>
      <c r="C482" s="371"/>
      <c r="D482" s="372" t="str">
        <f>IFERROR(INDEX('[12]Equipment List'!$B$2:$B$2038,MATCH(E482,'[12]Equipment List'!$A$2:$A$2038,0)),"")</f>
        <v/>
      </c>
      <c r="E482" s="388"/>
      <c r="F482" s="374"/>
      <c r="G482" s="375"/>
      <c r="H482" s="397"/>
      <c r="I482" s="377"/>
      <c r="J482" s="378"/>
      <c r="K482" s="379"/>
      <c r="L482" s="387"/>
      <c r="M482" s="380" t="str">
        <f t="array" ref="M482">IF(L482="","",(MAX(IF(AN$15:AN$144=B482,AO$15:AO$144))/60))</f>
        <v/>
      </c>
      <c r="N482" s="387"/>
      <c r="O482" s="387"/>
      <c r="P482" s="381" t="str">
        <f t="shared" si="29"/>
        <v/>
      </c>
      <c r="Q482" s="382" t="str">
        <f t="array" ref="Q482">IFERROR(INDEX($D$13:$D$1000,MATCH(0,COUNTIF($Q$13:Q481,$D$13:$D$1000&amp;"")+IF($D$13:$D$1000="",1,0),0)),"")</f>
        <v/>
      </c>
      <c r="R482" s="356" t="str">
        <f t="shared" si="30"/>
        <v/>
      </c>
      <c r="S482" s="383" t="str">
        <f t="shared" si="28"/>
        <v/>
      </c>
      <c r="T482" s="384" t="str">
        <f t="shared" si="31"/>
        <v/>
      </c>
      <c r="U482" s="349"/>
      <c r="V482" s="385"/>
      <c r="W482" s="385"/>
      <c r="X482" s="386"/>
    </row>
    <row r="483" spans="2:24">
      <c r="B483" s="395"/>
      <c r="C483" s="371"/>
      <c r="D483" s="372" t="str">
        <f>IFERROR(INDEX('[12]Equipment List'!$B$2:$B$2038,MATCH(E483,'[12]Equipment List'!$A$2:$A$2038,0)),"")</f>
        <v/>
      </c>
      <c r="E483" s="388"/>
      <c r="F483" s="374"/>
      <c r="G483" s="375"/>
      <c r="H483" s="397"/>
      <c r="I483" s="377"/>
      <c r="J483" s="378"/>
      <c r="K483" s="379"/>
      <c r="L483" s="387"/>
      <c r="M483" s="380" t="str">
        <f t="array" ref="M483">IF(L483="","",(MAX(IF(AN$15:AN$144=B483,AO$15:AO$144))/60))</f>
        <v/>
      </c>
      <c r="N483" s="387"/>
      <c r="O483" s="387"/>
      <c r="P483" s="381" t="str">
        <f t="shared" si="29"/>
        <v/>
      </c>
      <c r="Q483" s="382" t="str">
        <f t="array" ref="Q483">IFERROR(INDEX($D$13:$D$1000,MATCH(0,COUNTIF($Q$13:Q482,$D$13:$D$1000&amp;"")+IF($D$13:$D$1000="",1,0),0)),"")</f>
        <v/>
      </c>
      <c r="R483" s="356" t="str">
        <f t="shared" si="30"/>
        <v/>
      </c>
      <c r="S483" s="383" t="str">
        <f t="shared" si="28"/>
        <v/>
      </c>
      <c r="T483" s="384" t="str">
        <f t="shared" si="31"/>
        <v/>
      </c>
      <c r="U483" s="349"/>
      <c r="V483" s="385"/>
      <c r="W483" s="385"/>
      <c r="X483" s="386"/>
    </row>
    <row r="484" spans="2:24">
      <c r="B484" s="395"/>
      <c r="C484" s="371"/>
      <c r="D484" s="372" t="str">
        <f>IFERROR(INDEX('[12]Equipment List'!$B$2:$B$2038,MATCH(E484,'[12]Equipment List'!$A$2:$A$2038,0)),"")</f>
        <v/>
      </c>
      <c r="E484" s="388"/>
      <c r="F484" s="374"/>
      <c r="G484" s="375"/>
      <c r="H484" s="397"/>
      <c r="I484" s="377"/>
      <c r="J484" s="378"/>
      <c r="K484" s="379"/>
      <c r="L484" s="387"/>
      <c r="M484" s="380" t="str">
        <f t="array" ref="M484">IF(L484="","",(MAX(IF(AN$15:AN$144=B484,AO$15:AO$144))/60))</f>
        <v/>
      </c>
      <c r="N484" s="387"/>
      <c r="O484" s="387"/>
      <c r="P484" s="381" t="str">
        <f t="shared" si="29"/>
        <v/>
      </c>
      <c r="Q484" s="382" t="str">
        <f t="array" ref="Q484">IFERROR(INDEX($D$13:$D$1000,MATCH(0,COUNTIF($Q$13:Q483,$D$13:$D$1000&amp;"")+IF($D$13:$D$1000="",1,0),0)),"")</f>
        <v/>
      </c>
      <c r="R484" s="356" t="str">
        <f t="shared" si="30"/>
        <v/>
      </c>
      <c r="S484" s="383" t="str">
        <f t="shared" si="28"/>
        <v/>
      </c>
      <c r="T484" s="384" t="str">
        <f t="shared" si="31"/>
        <v/>
      </c>
      <c r="U484" s="349"/>
      <c r="V484" s="385"/>
      <c r="W484" s="385"/>
      <c r="X484" s="386"/>
    </row>
    <row r="485" spans="2:24">
      <c r="B485" s="395"/>
      <c r="C485" s="371"/>
      <c r="D485" s="372" t="str">
        <f>IFERROR(INDEX('[12]Equipment List'!$B$2:$B$2038,MATCH(E485,'[12]Equipment List'!$A$2:$A$2038,0)),"")</f>
        <v/>
      </c>
      <c r="E485" s="388"/>
      <c r="F485" s="374"/>
      <c r="G485" s="375"/>
      <c r="H485" s="397"/>
      <c r="I485" s="377"/>
      <c r="J485" s="378"/>
      <c r="K485" s="379"/>
      <c r="L485" s="387"/>
      <c r="M485" s="380" t="str">
        <f t="array" ref="M485">IF(L485="","",(MAX(IF(AN$15:AN$144=B485,AO$15:AO$144))/60))</f>
        <v/>
      </c>
      <c r="N485" s="387"/>
      <c r="O485" s="387"/>
      <c r="P485" s="381" t="str">
        <f t="shared" si="29"/>
        <v/>
      </c>
      <c r="Q485" s="382" t="str">
        <f t="array" ref="Q485">IFERROR(INDEX($D$13:$D$1000,MATCH(0,COUNTIF($Q$13:Q484,$D$13:$D$1000&amp;"")+IF($D$13:$D$1000="",1,0),0)),"")</f>
        <v/>
      </c>
      <c r="R485" s="356" t="str">
        <f t="shared" si="30"/>
        <v/>
      </c>
      <c r="S485" s="383" t="str">
        <f t="shared" si="28"/>
        <v/>
      </c>
      <c r="T485" s="384" t="str">
        <f t="shared" si="31"/>
        <v/>
      </c>
      <c r="U485" s="349"/>
      <c r="V485" s="385"/>
      <c r="W485" s="385"/>
      <c r="X485" s="386"/>
    </row>
    <row r="486" spans="2:24">
      <c r="B486" s="395"/>
      <c r="C486" s="371"/>
      <c r="D486" s="372" t="str">
        <f>IFERROR(INDEX('[12]Equipment List'!$B$2:$B$2038,MATCH(E486,'[12]Equipment List'!$A$2:$A$2038,0)),"")</f>
        <v/>
      </c>
      <c r="E486" s="388"/>
      <c r="F486" s="374"/>
      <c r="G486" s="375"/>
      <c r="H486" s="397"/>
      <c r="I486" s="377"/>
      <c r="J486" s="378"/>
      <c r="K486" s="379"/>
      <c r="L486" s="387"/>
      <c r="M486" s="380" t="str">
        <f t="array" ref="M486">IF(L486="","",(MAX(IF(AN$15:AN$144=B486,AO$15:AO$144))/60))</f>
        <v/>
      </c>
      <c r="N486" s="387"/>
      <c r="O486" s="387"/>
      <c r="P486" s="381" t="str">
        <f t="shared" si="29"/>
        <v/>
      </c>
      <c r="Q486" s="382" t="str">
        <f t="array" ref="Q486">IFERROR(INDEX($D$13:$D$1000,MATCH(0,COUNTIF($Q$13:Q485,$D$13:$D$1000&amp;"")+IF($D$13:$D$1000="",1,0),0)),"")</f>
        <v/>
      </c>
      <c r="R486" s="356" t="str">
        <f t="shared" si="30"/>
        <v/>
      </c>
      <c r="S486" s="383" t="str">
        <f t="shared" si="28"/>
        <v/>
      </c>
      <c r="T486" s="384" t="str">
        <f t="shared" si="31"/>
        <v/>
      </c>
      <c r="U486" s="349"/>
      <c r="V486" s="385"/>
      <c r="W486" s="385"/>
      <c r="X486" s="386"/>
    </row>
    <row r="487" spans="2:24">
      <c r="B487" s="395"/>
      <c r="C487" s="371"/>
      <c r="D487" s="372" t="str">
        <f>IFERROR(INDEX('[12]Equipment List'!$B$2:$B$2038,MATCH(E487,'[12]Equipment List'!$A$2:$A$2038,0)),"")</f>
        <v/>
      </c>
      <c r="E487" s="388"/>
      <c r="F487" s="374"/>
      <c r="G487" s="375"/>
      <c r="H487" s="397"/>
      <c r="I487" s="377"/>
      <c r="J487" s="378"/>
      <c r="K487" s="379"/>
      <c r="L487" s="387"/>
      <c r="M487" s="380" t="str">
        <f t="array" ref="M487">IF(L487="","",(MAX(IF(AN$15:AN$144=B487,AO$15:AO$144))/60))</f>
        <v/>
      </c>
      <c r="N487" s="387"/>
      <c r="O487" s="387"/>
      <c r="P487" s="381" t="str">
        <f t="shared" si="29"/>
        <v/>
      </c>
      <c r="Q487" s="382" t="str">
        <f t="array" ref="Q487">IFERROR(INDEX($D$13:$D$1000,MATCH(0,COUNTIF($Q$13:Q486,$D$13:$D$1000&amp;"")+IF($D$13:$D$1000="",1,0),0)),"")</f>
        <v/>
      </c>
      <c r="R487" s="356" t="str">
        <f t="shared" si="30"/>
        <v/>
      </c>
      <c r="S487" s="383" t="str">
        <f t="shared" si="28"/>
        <v/>
      </c>
      <c r="T487" s="384" t="str">
        <f t="shared" si="31"/>
        <v/>
      </c>
      <c r="U487" s="349"/>
      <c r="V487" s="385"/>
      <c r="W487" s="385"/>
      <c r="X487" s="386"/>
    </row>
    <row r="488" spans="2:24">
      <c r="B488" s="395"/>
      <c r="C488" s="371"/>
      <c r="D488" s="372" t="str">
        <f>IFERROR(INDEX('[12]Equipment List'!$B$2:$B$2038,MATCH(E488,'[12]Equipment List'!$A$2:$A$2038,0)),"")</f>
        <v/>
      </c>
      <c r="E488" s="388"/>
      <c r="F488" s="374"/>
      <c r="G488" s="375"/>
      <c r="H488" s="397"/>
      <c r="I488" s="377"/>
      <c r="J488" s="378"/>
      <c r="K488" s="379"/>
      <c r="L488" s="387"/>
      <c r="M488" s="380" t="str">
        <f t="array" ref="M488">IF(L488="","",(MAX(IF(AN$15:AN$144=B488,AO$15:AO$144))/60))</f>
        <v/>
      </c>
      <c r="N488" s="387"/>
      <c r="O488" s="387"/>
      <c r="P488" s="381" t="str">
        <f t="shared" si="29"/>
        <v/>
      </c>
      <c r="Q488" s="382" t="str">
        <f t="array" ref="Q488">IFERROR(INDEX($D$13:$D$1000,MATCH(0,COUNTIF($Q$13:Q487,$D$13:$D$1000&amp;"")+IF($D$13:$D$1000="",1,0),0)),"")</f>
        <v/>
      </c>
      <c r="R488" s="356" t="str">
        <f t="shared" si="30"/>
        <v/>
      </c>
      <c r="S488" s="383" t="str">
        <f t="shared" si="28"/>
        <v/>
      </c>
      <c r="T488" s="384" t="str">
        <f t="shared" si="31"/>
        <v/>
      </c>
      <c r="U488" s="349"/>
      <c r="V488" s="385"/>
      <c r="W488" s="385"/>
      <c r="X488" s="386"/>
    </row>
    <row r="489" spans="2:24">
      <c r="B489" s="395"/>
      <c r="C489" s="371"/>
      <c r="D489" s="372" t="str">
        <f>IFERROR(INDEX('[12]Equipment List'!$B$2:$B$2038,MATCH(E489,'[12]Equipment List'!$A$2:$A$2038,0)),"")</f>
        <v/>
      </c>
      <c r="E489" s="388"/>
      <c r="F489" s="374"/>
      <c r="G489" s="375"/>
      <c r="H489" s="397"/>
      <c r="I489" s="377"/>
      <c r="J489" s="378"/>
      <c r="K489" s="379"/>
      <c r="L489" s="387"/>
      <c r="M489" s="380" t="str">
        <f t="array" ref="M489">IF(L489="","",(MAX(IF(AN$15:AN$144=B489,AO$15:AO$144))/60))</f>
        <v/>
      </c>
      <c r="N489" s="387"/>
      <c r="O489" s="387"/>
      <c r="P489" s="381" t="str">
        <f t="shared" si="29"/>
        <v/>
      </c>
      <c r="Q489" s="382" t="str">
        <f t="array" ref="Q489">IFERROR(INDEX($D$13:$D$1000,MATCH(0,COUNTIF($Q$13:Q488,$D$13:$D$1000&amp;"")+IF($D$13:$D$1000="",1,0),0)),"")</f>
        <v/>
      </c>
      <c r="R489" s="356" t="str">
        <f t="shared" si="30"/>
        <v/>
      </c>
      <c r="S489" s="383" t="str">
        <f t="shared" si="28"/>
        <v/>
      </c>
      <c r="T489" s="384" t="str">
        <f t="shared" si="31"/>
        <v/>
      </c>
      <c r="U489" s="349"/>
      <c r="V489" s="385"/>
      <c r="W489" s="385"/>
      <c r="X489" s="386"/>
    </row>
    <row r="490" spans="2:24">
      <c r="B490" s="395"/>
      <c r="C490" s="371"/>
      <c r="D490" s="372" t="str">
        <f>IFERROR(INDEX('[12]Equipment List'!$B$2:$B$2038,MATCH(E490,'[12]Equipment List'!$A$2:$A$2038,0)),"")</f>
        <v/>
      </c>
      <c r="E490" s="388"/>
      <c r="F490" s="374"/>
      <c r="G490" s="375"/>
      <c r="H490" s="397"/>
      <c r="I490" s="377"/>
      <c r="J490" s="378"/>
      <c r="K490" s="379"/>
      <c r="L490" s="387"/>
      <c r="M490" s="380" t="str">
        <f t="array" ref="M490">IF(L490="","",(MAX(IF(AN$15:AN$144=B490,AO$15:AO$144))/60))</f>
        <v/>
      </c>
      <c r="N490" s="387"/>
      <c r="O490" s="387"/>
      <c r="P490" s="381" t="str">
        <f t="shared" si="29"/>
        <v/>
      </c>
      <c r="Q490" s="382" t="str">
        <f t="array" ref="Q490">IFERROR(INDEX($D$13:$D$1000,MATCH(0,COUNTIF($Q$13:Q489,$D$13:$D$1000&amp;"")+IF($D$13:$D$1000="",1,0),0)),"")</f>
        <v/>
      </c>
      <c r="R490" s="356" t="str">
        <f t="shared" si="30"/>
        <v/>
      </c>
      <c r="S490" s="383" t="str">
        <f t="shared" si="28"/>
        <v/>
      </c>
      <c r="T490" s="384" t="str">
        <f t="shared" si="31"/>
        <v/>
      </c>
      <c r="U490" s="349"/>
      <c r="V490" s="385"/>
      <c r="W490" s="385"/>
      <c r="X490" s="386"/>
    </row>
    <row r="491" spans="2:24">
      <c r="B491" s="395"/>
      <c r="C491" s="371"/>
      <c r="D491" s="372" t="str">
        <f>IFERROR(INDEX('[12]Equipment List'!$B$2:$B$2038,MATCH(E491,'[12]Equipment List'!$A$2:$A$2038,0)),"")</f>
        <v/>
      </c>
      <c r="E491" s="388"/>
      <c r="F491" s="374"/>
      <c r="G491" s="375"/>
      <c r="H491" s="397"/>
      <c r="I491" s="377"/>
      <c r="J491" s="378"/>
      <c r="K491" s="379"/>
      <c r="L491" s="387"/>
      <c r="M491" s="380" t="str">
        <f t="array" ref="M491">IF(L491="","",(MAX(IF(AN$15:AN$144=B491,AO$15:AO$144))/60))</f>
        <v/>
      </c>
      <c r="N491" s="387"/>
      <c r="O491" s="387"/>
      <c r="P491" s="381" t="str">
        <f t="shared" si="29"/>
        <v/>
      </c>
      <c r="Q491" s="382" t="str">
        <f t="array" ref="Q491">IFERROR(INDEX($D$13:$D$1000,MATCH(0,COUNTIF($Q$13:Q490,$D$13:$D$1000&amp;"")+IF($D$13:$D$1000="",1,0),0)),"")</f>
        <v/>
      </c>
      <c r="R491" s="356" t="str">
        <f t="shared" si="30"/>
        <v/>
      </c>
      <c r="S491" s="383" t="str">
        <f t="shared" ref="S491:S554" si="32">IF($Q491="","",SUMIF($D$13:$D$1000,$Q491,I$13:I$1000))</f>
        <v/>
      </c>
      <c r="T491" s="384" t="str">
        <f t="shared" si="31"/>
        <v/>
      </c>
      <c r="U491" s="349"/>
      <c r="V491" s="385"/>
      <c r="W491" s="385"/>
      <c r="X491" s="386"/>
    </row>
    <row r="492" spans="2:24">
      <c r="B492" s="395"/>
      <c r="C492" s="371"/>
      <c r="D492" s="372" t="str">
        <f>IFERROR(INDEX('[12]Equipment List'!$B$2:$B$2038,MATCH(E492,'[12]Equipment List'!$A$2:$A$2038,0)),"")</f>
        <v/>
      </c>
      <c r="E492" s="388"/>
      <c r="F492" s="374"/>
      <c r="G492" s="375"/>
      <c r="H492" s="397"/>
      <c r="I492" s="377"/>
      <c r="J492" s="378"/>
      <c r="K492" s="379"/>
      <c r="L492" s="387"/>
      <c r="M492" s="380" t="str">
        <f t="array" ref="M492">IF(L492="","",(MAX(IF(AN$15:AN$144=B492,AO$15:AO$144))/60))</f>
        <v/>
      </c>
      <c r="N492" s="387"/>
      <c r="O492" s="387"/>
      <c r="P492" s="381" t="str">
        <f t="shared" si="29"/>
        <v/>
      </c>
      <c r="Q492" s="382" t="str">
        <f t="array" ref="Q492">IFERROR(INDEX($D$13:$D$1000,MATCH(0,COUNTIF($Q$13:Q491,$D$13:$D$1000&amp;"")+IF($D$13:$D$1000="",1,0),0)),"")</f>
        <v/>
      </c>
      <c r="R492" s="356" t="str">
        <f t="shared" si="30"/>
        <v/>
      </c>
      <c r="S492" s="383" t="str">
        <f t="shared" si="32"/>
        <v/>
      </c>
      <c r="T492" s="384" t="str">
        <f t="shared" si="31"/>
        <v/>
      </c>
      <c r="U492" s="349"/>
      <c r="V492" s="385"/>
      <c r="W492" s="385"/>
      <c r="X492" s="386"/>
    </row>
    <row r="493" spans="2:24">
      <c r="B493" s="395"/>
      <c r="C493" s="371"/>
      <c r="D493" s="372" t="str">
        <f>IFERROR(INDEX('[12]Equipment List'!$B$2:$B$2038,MATCH(E493,'[12]Equipment List'!$A$2:$A$2038,0)),"")</f>
        <v/>
      </c>
      <c r="E493" s="388"/>
      <c r="F493" s="374"/>
      <c r="G493" s="375"/>
      <c r="H493" s="397"/>
      <c r="I493" s="377"/>
      <c r="J493" s="378"/>
      <c r="K493" s="379"/>
      <c r="L493" s="387"/>
      <c r="M493" s="380" t="str">
        <f t="array" ref="M493">IF(L493="","",(MAX(IF(AN$15:AN$144=B493,AO$15:AO$144))/60))</f>
        <v/>
      </c>
      <c r="N493" s="387"/>
      <c r="O493" s="387"/>
      <c r="P493" s="381" t="str">
        <f t="shared" si="29"/>
        <v/>
      </c>
      <c r="Q493" s="382" t="str">
        <f t="array" ref="Q493">IFERROR(INDEX($D$13:$D$1000,MATCH(0,COUNTIF($Q$13:Q492,$D$13:$D$1000&amp;"")+IF($D$13:$D$1000="",1,0),0)),"")</f>
        <v/>
      </c>
      <c r="R493" s="356" t="str">
        <f t="shared" si="30"/>
        <v/>
      </c>
      <c r="S493" s="383" t="str">
        <f t="shared" si="32"/>
        <v/>
      </c>
      <c r="T493" s="384" t="str">
        <f t="shared" si="31"/>
        <v/>
      </c>
      <c r="U493" s="349"/>
      <c r="V493" s="385"/>
      <c r="W493" s="385"/>
      <c r="X493" s="386"/>
    </row>
    <row r="494" spans="2:24">
      <c r="B494" s="395"/>
      <c r="C494" s="371"/>
      <c r="D494" s="372" t="str">
        <f>IFERROR(INDEX('[12]Equipment List'!$B$2:$B$2038,MATCH(E494,'[12]Equipment List'!$A$2:$A$2038,0)),"")</f>
        <v/>
      </c>
      <c r="E494" s="388"/>
      <c r="F494" s="374"/>
      <c r="G494" s="375"/>
      <c r="H494" s="397"/>
      <c r="I494" s="377"/>
      <c r="J494" s="378"/>
      <c r="K494" s="379"/>
      <c r="L494" s="387"/>
      <c r="M494" s="380" t="str">
        <f t="array" ref="M494">IF(L494="","",(MAX(IF(AN$15:AN$144=B494,AO$15:AO$144))/60))</f>
        <v/>
      </c>
      <c r="N494" s="387"/>
      <c r="O494" s="387"/>
      <c r="P494" s="381" t="str">
        <f t="shared" si="29"/>
        <v/>
      </c>
      <c r="Q494" s="382" t="str">
        <f t="array" ref="Q494">IFERROR(INDEX($D$13:$D$1000,MATCH(0,COUNTIF($Q$13:Q493,$D$13:$D$1000&amp;"")+IF($D$13:$D$1000="",1,0),0)),"")</f>
        <v/>
      </c>
      <c r="R494" s="356" t="str">
        <f t="shared" si="30"/>
        <v/>
      </c>
      <c r="S494" s="383" t="str">
        <f t="shared" si="32"/>
        <v/>
      </c>
      <c r="T494" s="384" t="str">
        <f t="shared" si="31"/>
        <v/>
      </c>
      <c r="U494" s="349"/>
      <c r="V494" s="385"/>
      <c r="W494" s="385"/>
      <c r="X494" s="386"/>
    </row>
    <row r="495" spans="2:24">
      <c r="B495" s="395"/>
      <c r="C495" s="371"/>
      <c r="D495" s="372" t="str">
        <f>IFERROR(INDEX('[12]Equipment List'!$B$2:$B$2038,MATCH(E495,'[12]Equipment List'!$A$2:$A$2038,0)),"")</f>
        <v/>
      </c>
      <c r="E495" s="388"/>
      <c r="F495" s="374"/>
      <c r="G495" s="375"/>
      <c r="H495" s="397"/>
      <c r="I495" s="377"/>
      <c r="J495" s="378"/>
      <c r="K495" s="379"/>
      <c r="L495" s="387"/>
      <c r="M495" s="380" t="str">
        <f t="array" ref="M495">IF(L495="","",(MAX(IF(AN$15:AN$144=B495,AO$15:AO$144))/60))</f>
        <v/>
      </c>
      <c r="N495" s="387"/>
      <c r="O495" s="387"/>
      <c r="P495" s="381" t="str">
        <f t="shared" si="29"/>
        <v/>
      </c>
      <c r="Q495" s="382" t="str">
        <f t="array" ref="Q495">IFERROR(INDEX($D$13:$D$1000,MATCH(0,COUNTIF($Q$13:Q494,$D$13:$D$1000&amp;"")+IF($D$13:$D$1000="",1,0),0)),"")</f>
        <v/>
      </c>
      <c r="R495" s="356" t="str">
        <f t="shared" si="30"/>
        <v/>
      </c>
      <c r="S495" s="383" t="str">
        <f t="shared" si="32"/>
        <v/>
      </c>
      <c r="T495" s="384" t="str">
        <f t="shared" si="31"/>
        <v/>
      </c>
      <c r="U495" s="349"/>
      <c r="V495" s="385"/>
      <c r="W495" s="385"/>
      <c r="X495" s="386"/>
    </row>
    <row r="496" spans="2:24">
      <c r="B496" s="395"/>
      <c r="C496" s="371"/>
      <c r="D496" s="372" t="str">
        <f>IFERROR(INDEX('[12]Equipment List'!$B$2:$B$2038,MATCH(E496,'[12]Equipment List'!$A$2:$A$2038,0)),"")</f>
        <v/>
      </c>
      <c r="E496" s="388"/>
      <c r="F496" s="374"/>
      <c r="G496" s="375"/>
      <c r="H496" s="397"/>
      <c r="I496" s="377"/>
      <c r="J496" s="378"/>
      <c r="K496" s="379"/>
      <c r="L496" s="387"/>
      <c r="M496" s="380" t="str">
        <f t="array" ref="M496">IF(L496="","",(MAX(IF(AN$15:AN$144=B496,AO$15:AO$144))/60))</f>
        <v/>
      </c>
      <c r="N496" s="387"/>
      <c r="O496" s="387"/>
      <c r="P496" s="381" t="str">
        <f t="shared" si="29"/>
        <v/>
      </c>
      <c r="Q496" s="382" t="str">
        <f t="array" ref="Q496">IFERROR(INDEX($D$13:$D$1000,MATCH(0,COUNTIF($Q$13:Q495,$D$13:$D$1000&amp;"")+IF($D$13:$D$1000="",1,0),0)),"")</f>
        <v/>
      </c>
      <c r="R496" s="356" t="str">
        <f t="shared" si="30"/>
        <v/>
      </c>
      <c r="S496" s="383" t="str">
        <f t="shared" si="32"/>
        <v/>
      </c>
      <c r="T496" s="384" t="str">
        <f t="shared" si="31"/>
        <v/>
      </c>
      <c r="U496" s="349"/>
      <c r="V496" s="385"/>
      <c r="W496" s="385"/>
      <c r="X496" s="386"/>
    </row>
    <row r="497" spans="2:24">
      <c r="B497" s="395"/>
      <c r="C497" s="371"/>
      <c r="D497" s="372" t="str">
        <f>IFERROR(INDEX('[12]Equipment List'!$B$2:$B$2038,MATCH(E497,'[12]Equipment List'!$A$2:$A$2038,0)),"")</f>
        <v/>
      </c>
      <c r="E497" s="388"/>
      <c r="F497" s="374"/>
      <c r="G497" s="375"/>
      <c r="H497" s="397"/>
      <c r="I497" s="377"/>
      <c r="J497" s="378"/>
      <c r="K497" s="379"/>
      <c r="L497" s="387"/>
      <c r="M497" s="380" t="str">
        <f t="array" ref="M497">IF(L497="","",(MAX(IF(AN$15:AN$144=B497,AO$15:AO$144))/60))</f>
        <v/>
      </c>
      <c r="N497" s="387"/>
      <c r="O497" s="387"/>
      <c r="P497" s="381" t="str">
        <f t="shared" si="29"/>
        <v/>
      </c>
      <c r="Q497" s="382" t="str">
        <f t="array" ref="Q497">IFERROR(INDEX($D$13:$D$1000,MATCH(0,COUNTIF($Q$13:Q496,$D$13:$D$1000&amp;"")+IF($D$13:$D$1000="",1,0),0)),"")</f>
        <v/>
      </c>
      <c r="R497" s="356" t="str">
        <f t="shared" si="30"/>
        <v/>
      </c>
      <c r="S497" s="383" t="str">
        <f t="shared" si="32"/>
        <v/>
      </c>
      <c r="T497" s="384" t="str">
        <f t="shared" si="31"/>
        <v/>
      </c>
      <c r="U497" s="349"/>
      <c r="V497" s="385"/>
      <c r="W497" s="385"/>
      <c r="X497" s="386"/>
    </row>
    <row r="498" spans="2:24">
      <c r="B498" s="395"/>
      <c r="C498" s="371"/>
      <c r="D498" s="372" t="str">
        <f>IFERROR(INDEX('[12]Equipment List'!$B$2:$B$2038,MATCH(E498,'[12]Equipment List'!$A$2:$A$2038,0)),"")</f>
        <v/>
      </c>
      <c r="E498" s="388"/>
      <c r="F498" s="374"/>
      <c r="G498" s="375"/>
      <c r="H498" s="397"/>
      <c r="I498" s="377"/>
      <c r="J498" s="378"/>
      <c r="K498" s="379"/>
      <c r="L498" s="387"/>
      <c r="M498" s="380" t="str">
        <f t="array" ref="M498">IF(L498="","",(MAX(IF(AN$15:AN$144=B498,AO$15:AO$144))/60))</f>
        <v/>
      </c>
      <c r="N498" s="387"/>
      <c r="O498" s="387"/>
      <c r="P498" s="381" t="str">
        <f t="shared" si="29"/>
        <v/>
      </c>
      <c r="Q498" s="382" t="str">
        <f t="array" ref="Q498">IFERROR(INDEX($D$13:$D$1000,MATCH(0,COUNTIF($Q$13:Q497,$D$13:$D$1000&amp;"")+IF($D$13:$D$1000="",1,0),0)),"")</f>
        <v/>
      </c>
      <c r="R498" s="356" t="str">
        <f t="shared" si="30"/>
        <v/>
      </c>
      <c r="S498" s="383" t="str">
        <f t="shared" si="32"/>
        <v/>
      </c>
      <c r="T498" s="384" t="str">
        <f t="shared" si="31"/>
        <v/>
      </c>
      <c r="U498" s="349"/>
      <c r="V498" s="385"/>
      <c r="W498" s="385"/>
      <c r="X498" s="386"/>
    </row>
    <row r="499" spans="2:24">
      <c r="B499" s="395"/>
      <c r="C499" s="371"/>
      <c r="D499" s="372" t="str">
        <f>IFERROR(INDEX('[12]Equipment List'!$B$2:$B$2038,MATCH(E499,'[12]Equipment List'!$A$2:$A$2038,0)),"")</f>
        <v/>
      </c>
      <c r="E499" s="388"/>
      <c r="F499" s="374"/>
      <c r="G499" s="375"/>
      <c r="H499" s="397"/>
      <c r="I499" s="377"/>
      <c r="J499" s="378"/>
      <c r="K499" s="379"/>
      <c r="L499" s="387"/>
      <c r="M499" s="380" t="str">
        <f t="array" ref="M499">IF(L499="","",(MAX(IF(AN$15:AN$144=B499,AO$15:AO$144))/60))</f>
        <v/>
      </c>
      <c r="N499" s="387"/>
      <c r="O499" s="387"/>
      <c r="P499" s="381" t="str">
        <f t="shared" si="29"/>
        <v/>
      </c>
      <c r="Q499" s="382" t="str">
        <f t="array" ref="Q499">IFERROR(INDEX($D$13:$D$1000,MATCH(0,COUNTIF($Q$13:Q498,$D$13:$D$1000&amp;"")+IF($D$13:$D$1000="",1,0),0)),"")</f>
        <v/>
      </c>
      <c r="R499" s="356" t="str">
        <f t="shared" si="30"/>
        <v/>
      </c>
      <c r="S499" s="383" t="str">
        <f t="shared" si="32"/>
        <v/>
      </c>
      <c r="T499" s="384" t="str">
        <f t="shared" si="31"/>
        <v/>
      </c>
      <c r="U499" s="349"/>
      <c r="V499" s="385"/>
      <c r="W499" s="385"/>
      <c r="X499" s="386"/>
    </row>
    <row r="500" spans="2:24">
      <c r="B500" s="395"/>
      <c r="C500" s="371"/>
      <c r="D500" s="372" t="str">
        <f>IFERROR(INDEX('[12]Equipment List'!$B$2:$B$2038,MATCH(E500,'[12]Equipment List'!$A$2:$A$2038,0)),"")</f>
        <v/>
      </c>
      <c r="E500" s="388"/>
      <c r="F500" s="374"/>
      <c r="G500" s="375"/>
      <c r="H500" s="397"/>
      <c r="I500" s="377"/>
      <c r="J500" s="378"/>
      <c r="K500" s="379"/>
      <c r="L500" s="387"/>
      <c r="M500" s="380" t="str">
        <f t="array" ref="M500">IF(L500="","",(MAX(IF(AN$15:AN$144=B500,AO$15:AO$144))/60))</f>
        <v/>
      </c>
      <c r="N500" s="387"/>
      <c r="O500" s="387"/>
      <c r="P500" s="381" t="str">
        <f t="shared" si="29"/>
        <v/>
      </c>
      <c r="Q500" s="382" t="str">
        <f t="array" ref="Q500">IFERROR(INDEX($D$13:$D$1000,MATCH(0,COUNTIF($Q$13:Q499,$D$13:$D$1000&amp;"")+IF($D$13:$D$1000="",1,0),0)),"")</f>
        <v/>
      </c>
      <c r="R500" s="356" t="str">
        <f t="shared" si="30"/>
        <v/>
      </c>
      <c r="S500" s="383" t="str">
        <f t="shared" si="32"/>
        <v/>
      </c>
      <c r="T500" s="384" t="str">
        <f t="shared" si="31"/>
        <v/>
      </c>
      <c r="U500" s="349"/>
      <c r="V500" s="385"/>
      <c r="W500" s="385"/>
      <c r="X500" s="386"/>
    </row>
    <row r="501" spans="2:24">
      <c r="B501" s="395"/>
      <c r="C501" s="371"/>
      <c r="D501" s="372" t="str">
        <f>IFERROR(INDEX('[12]Equipment List'!$B$2:$B$2038,MATCH(E501,'[12]Equipment List'!$A$2:$A$2038,0)),"")</f>
        <v/>
      </c>
      <c r="E501" s="388"/>
      <c r="F501" s="374"/>
      <c r="G501" s="375"/>
      <c r="H501" s="397"/>
      <c r="I501" s="377"/>
      <c r="J501" s="378"/>
      <c r="K501" s="379"/>
      <c r="L501" s="387"/>
      <c r="M501" s="380" t="str">
        <f t="array" ref="M501">IF(L501="","",(MAX(IF(AN$15:AN$144=B501,AO$15:AO$144))/60))</f>
        <v/>
      </c>
      <c r="N501" s="387"/>
      <c r="O501" s="387"/>
      <c r="P501" s="381" t="str">
        <f t="shared" si="29"/>
        <v/>
      </c>
      <c r="Q501" s="382" t="str">
        <f t="array" ref="Q501">IFERROR(INDEX($D$13:$D$1000,MATCH(0,COUNTIF($Q$13:Q500,$D$13:$D$1000&amp;"")+IF($D$13:$D$1000="",1,0),0)),"")</f>
        <v/>
      </c>
      <c r="R501" s="356" t="str">
        <f t="shared" si="30"/>
        <v/>
      </c>
      <c r="S501" s="383" t="str">
        <f t="shared" si="32"/>
        <v/>
      </c>
      <c r="T501" s="384" t="str">
        <f t="shared" si="31"/>
        <v/>
      </c>
      <c r="U501" s="349"/>
      <c r="V501" s="385"/>
      <c r="W501" s="385"/>
      <c r="X501" s="386"/>
    </row>
    <row r="502" spans="2:24">
      <c r="B502" s="395"/>
      <c r="C502" s="371"/>
      <c r="D502" s="372" t="str">
        <f>IFERROR(INDEX('[12]Equipment List'!$B$2:$B$2038,MATCH(E502,'[12]Equipment List'!$A$2:$A$2038,0)),"")</f>
        <v/>
      </c>
      <c r="E502" s="388"/>
      <c r="F502" s="374"/>
      <c r="G502" s="375"/>
      <c r="H502" s="397"/>
      <c r="I502" s="377"/>
      <c r="J502" s="378"/>
      <c r="K502" s="379"/>
      <c r="L502" s="387"/>
      <c r="M502" s="380" t="str">
        <f t="array" ref="M502">IF(L502="","",(MAX(IF(AN$15:AN$144=B502,AO$15:AO$144))/60))</f>
        <v/>
      </c>
      <c r="N502" s="387"/>
      <c r="O502" s="387"/>
      <c r="P502" s="381" t="str">
        <f t="shared" si="29"/>
        <v/>
      </c>
      <c r="Q502" s="382" t="str">
        <f t="array" ref="Q502">IFERROR(INDEX($D$13:$D$1000,MATCH(0,COUNTIF($Q$13:Q501,$D$13:$D$1000&amp;"")+IF($D$13:$D$1000="",1,0),0)),"")</f>
        <v/>
      </c>
      <c r="R502" s="356" t="str">
        <f t="shared" si="30"/>
        <v/>
      </c>
      <c r="S502" s="383" t="str">
        <f t="shared" si="32"/>
        <v/>
      </c>
      <c r="T502" s="384" t="str">
        <f t="shared" si="31"/>
        <v/>
      </c>
      <c r="U502" s="349"/>
      <c r="V502" s="385"/>
      <c r="W502" s="385"/>
      <c r="X502" s="386"/>
    </row>
    <row r="503" spans="2:24">
      <c r="B503" s="395"/>
      <c r="C503" s="371"/>
      <c r="D503" s="372" t="str">
        <f>IFERROR(INDEX('[12]Equipment List'!$B$2:$B$2038,MATCH(E503,'[12]Equipment List'!$A$2:$A$2038,0)),"")</f>
        <v/>
      </c>
      <c r="E503" s="388"/>
      <c r="F503" s="374"/>
      <c r="G503" s="375"/>
      <c r="H503" s="397"/>
      <c r="I503" s="377"/>
      <c r="J503" s="378"/>
      <c r="K503" s="379"/>
      <c r="L503" s="387"/>
      <c r="M503" s="380" t="str">
        <f t="array" ref="M503">IF(L503="","",(MAX(IF(AN$15:AN$144=B503,AO$15:AO$144))/60))</f>
        <v/>
      </c>
      <c r="N503" s="387"/>
      <c r="O503" s="387"/>
      <c r="P503" s="381" t="str">
        <f t="shared" si="29"/>
        <v/>
      </c>
      <c r="Q503" s="382" t="str">
        <f t="array" ref="Q503">IFERROR(INDEX($D$13:$D$1000,MATCH(0,COUNTIF($Q$13:Q502,$D$13:$D$1000&amp;"")+IF($D$13:$D$1000="",1,0),0)),"")</f>
        <v/>
      </c>
      <c r="R503" s="356" t="str">
        <f t="shared" si="30"/>
        <v/>
      </c>
      <c r="S503" s="383" t="str">
        <f t="shared" si="32"/>
        <v/>
      </c>
      <c r="T503" s="384" t="str">
        <f t="shared" si="31"/>
        <v/>
      </c>
      <c r="U503" s="349"/>
      <c r="V503" s="385"/>
      <c r="W503" s="385"/>
      <c r="X503" s="386"/>
    </row>
    <row r="504" spans="2:24">
      <c r="B504" s="395"/>
      <c r="C504" s="371"/>
      <c r="D504" s="372" t="str">
        <f>IFERROR(INDEX('[12]Equipment List'!$B$2:$B$2038,MATCH(E504,'[12]Equipment List'!$A$2:$A$2038,0)),"")</f>
        <v/>
      </c>
      <c r="E504" s="388"/>
      <c r="F504" s="374"/>
      <c r="G504" s="375"/>
      <c r="H504" s="397"/>
      <c r="I504" s="377"/>
      <c r="J504" s="378"/>
      <c r="K504" s="379"/>
      <c r="L504" s="387"/>
      <c r="M504" s="380" t="str">
        <f t="array" ref="M504">IF(L504="","",(MAX(IF(AN$15:AN$144=B504,AO$15:AO$144))/60))</f>
        <v/>
      </c>
      <c r="N504" s="387"/>
      <c r="O504" s="387"/>
      <c r="P504" s="381" t="str">
        <f t="shared" si="29"/>
        <v/>
      </c>
      <c r="Q504" s="382" t="str">
        <f t="array" ref="Q504">IFERROR(INDEX($D$13:$D$1000,MATCH(0,COUNTIF($Q$13:Q503,$D$13:$D$1000&amp;"")+IF($D$13:$D$1000="",1,0),0)),"")</f>
        <v/>
      </c>
      <c r="R504" s="356" t="str">
        <f t="shared" si="30"/>
        <v/>
      </c>
      <c r="S504" s="383" t="str">
        <f t="shared" si="32"/>
        <v/>
      </c>
      <c r="T504" s="384" t="str">
        <f t="shared" si="31"/>
        <v/>
      </c>
      <c r="U504" s="349"/>
      <c r="V504" s="385"/>
      <c r="W504" s="385"/>
      <c r="X504" s="386"/>
    </row>
    <row r="505" spans="2:24">
      <c r="B505" s="395"/>
      <c r="C505" s="371"/>
      <c r="D505" s="372" t="str">
        <f>IFERROR(INDEX('[12]Equipment List'!$B$2:$B$2038,MATCH(E505,'[12]Equipment List'!$A$2:$A$2038,0)),"")</f>
        <v/>
      </c>
      <c r="E505" s="388"/>
      <c r="F505" s="374"/>
      <c r="G505" s="375"/>
      <c r="H505" s="397"/>
      <c r="I505" s="377"/>
      <c r="J505" s="378"/>
      <c r="K505" s="379"/>
      <c r="L505" s="387"/>
      <c r="M505" s="380" t="str">
        <f t="array" ref="M505">IF(L505="","",(MAX(IF(AN$15:AN$144=B505,AO$15:AO$144))/60))</f>
        <v/>
      </c>
      <c r="N505" s="387"/>
      <c r="O505" s="387"/>
      <c r="P505" s="381" t="str">
        <f t="shared" si="29"/>
        <v/>
      </c>
      <c r="Q505" s="382" t="str">
        <f t="array" ref="Q505">IFERROR(INDEX($D$13:$D$1000,MATCH(0,COUNTIF($Q$13:Q504,$D$13:$D$1000&amp;"")+IF($D$13:$D$1000="",1,0),0)),"")</f>
        <v/>
      </c>
      <c r="R505" s="356" t="str">
        <f t="shared" si="30"/>
        <v/>
      </c>
      <c r="S505" s="383" t="str">
        <f t="shared" si="32"/>
        <v/>
      </c>
      <c r="T505" s="384" t="str">
        <f t="shared" si="31"/>
        <v/>
      </c>
      <c r="U505" s="349"/>
      <c r="V505" s="385"/>
      <c r="W505" s="385"/>
      <c r="X505" s="386"/>
    </row>
    <row r="506" spans="2:24">
      <c r="B506" s="395"/>
      <c r="C506" s="371"/>
      <c r="D506" s="372" t="str">
        <f>IFERROR(INDEX('[12]Equipment List'!$B$2:$B$2038,MATCH(E506,'[12]Equipment List'!$A$2:$A$2038,0)),"")</f>
        <v/>
      </c>
      <c r="E506" s="388"/>
      <c r="F506" s="374"/>
      <c r="G506" s="375"/>
      <c r="H506" s="397"/>
      <c r="I506" s="377"/>
      <c r="J506" s="378"/>
      <c r="K506" s="379"/>
      <c r="L506" s="387"/>
      <c r="M506" s="380" t="str">
        <f t="array" ref="M506">IF(L506="","",(MAX(IF(AN$15:AN$144=B506,AO$15:AO$144))/60))</f>
        <v/>
      </c>
      <c r="N506" s="387"/>
      <c r="O506" s="387"/>
      <c r="P506" s="381" t="str">
        <f t="shared" si="29"/>
        <v/>
      </c>
      <c r="Q506" s="382" t="str">
        <f t="array" ref="Q506">IFERROR(INDEX($D$13:$D$1000,MATCH(0,COUNTIF($Q$13:Q505,$D$13:$D$1000&amp;"")+IF($D$13:$D$1000="",1,0),0)),"")</f>
        <v/>
      </c>
      <c r="R506" s="356" t="str">
        <f t="shared" si="30"/>
        <v/>
      </c>
      <c r="S506" s="383" t="str">
        <f t="shared" si="32"/>
        <v/>
      </c>
      <c r="T506" s="384" t="str">
        <f t="shared" si="31"/>
        <v/>
      </c>
      <c r="U506" s="349"/>
      <c r="V506" s="385"/>
      <c r="W506" s="385"/>
      <c r="X506" s="386"/>
    </row>
    <row r="507" spans="2:24">
      <c r="B507" s="395"/>
      <c r="C507" s="371"/>
      <c r="D507" s="372" t="str">
        <f>IFERROR(INDEX('[12]Equipment List'!$B$2:$B$2038,MATCH(E507,'[12]Equipment List'!$A$2:$A$2038,0)),"")</f>
        <v/>
      </c>
      <c r="E507" s="388"/>
      <c r="F507" s="374"/>
      <c r="G507" s="375"/>
      <c r="H507" s="397"/>
      <c r="I507" s="377"/>
      <c r="J507" s="378"/>
      <c r="K507" s="379"/>
      <c r="L507" s="387"/>
      <c r="M507" s="380" t="str">
        <f t="array" ref="M507">IF(L507="","",(MAX(IF(AN$15:AN$144=B507,AO$15:AO$144))/60))</f>
        <v/>
      </c>
      <c r="N507" s="387"/>
      <c r="O507" s="387"/>
      <c r="P507" s="381" t="str">
        <f t="shared" si="29"/>
        <v/>
      </c>
      <c r="Q507" s="382" t="str">
        <f t="array" ref="Q507">IFERROR(INDEX($D$13:$D$1000,MATCH(0,COUNTIF($Q$13:Q506,$D$13:$D$1000&amp;"")+IF($D$13:$D$1000="",1,0),0)),"")</f>
        <v/>
      </c>
      <c r="R507" s="356" t="str">
        <f t="shared" si="30"/>
        <v/>
      </c>
      <c r="S507" s="383" t="str">
        <f t="shared" si="32"/>
        <v/>
      </c>
      <c r="T507" s="384" t="str">
        <f t="shared" si="31"/>
        <v/>
      </c>
      <c r="U507" s="349"/>
      <c r="V507" s="385"/>
      <c r="W507" s="385"/>
      <c r="X507" s="386"/>
    </row>
    <row r="508" spans="2:24">
      <c r="B508" s="395"/>
      <c r="C508" s="371"/>
      <c r="D508" s="372" t="str">
        <f>IFERROR(INDEX('[12]Equipment List'!$B$2:$B$2038,MATCH(E508,'[12]Equipment List'!$A$2:$A$2038,0)),"")</f>
        <v/>
      </c>
      <c r="E508" s="388"/>
      <c r="F508" s="374"/>
      <c r="G508" s="375"/>
      <c r="H508" s="397"/>
      <c r="I508" s="377"/>
      <c r="J508" s="378"/>
      <c r="K508" s="379"/>
      <c r="L508" s="387"/>
      <c r="M508" s="380" t="str">
        <f t="array" ref="M508">IF(L508="","",(MAX(IF(AN$15:AN$144=B508,AO$15:AO$144))/60))</f>
        <v/>
      </c>
      <c r="N508" s="387"/>
      <c r="O508" s="387"/>
      <c r="P508" s="381" t="str">
        <f t="shared" si="29"/>
        <v/>
      </c>
      <c r="Q508" s="382" t="str">
        <f t="array" ref="Q508">IFERROR(INDEX($D$13:$D$1000,MATCH(0,COUNTIF($Q$13:Q507,$D$13:$D$1000&amp;"")+IF($D$13:$D$1000="",1,0),0)),"")</f>
        <v/>
      </c>
      <c r="R508" s="356" t="str">
        <f t="shared" si="30"/>
        <v/>
      </c>
      <c r="S508" s="383" t="str">
        <f t="shared" si="32"/>
        <v/>
      </c>
      <c r="T508" s="384" t="str">
        <f t="shared" si="31"/>
        <v/>
      </c>
      <c r="U508" s="349"/>
      <c r="V508" s="385"/>
      <c r="W508" s="385"/>
      <c r="X508" s="386"/>
    </row>
    <row r="509" spans="2:24">
      <c r="B509" s="395"/>
      <c r="C509" s="371"/>
      <c r="D509" s="372" t="str">
        <f>IFERROR(INDEX('[12]Equipment List'!$B$2:$B$2038,MATCH(E509,'[12]Equipment List'!$A$2:$A$2038,0)),"")</f>
        <v/>
      </c>
      <c r="E509" s="388"/>
      <c r="F509" s="374"/>
      <c r="G509" s="375"/>
      <c r="H509" s="397"/>
      <c r="I509" s="377"/>
      <c r="J509" s="378"/>
      <c r="K509" s="379"/>
      <c r="L509" s="387"/>
      <c r="M509" s="380" t="str">
        <f t="array" ref="M509">IF(L509="","",(MAX(IF(AN$15:AN$144=B509,AO$15:AO$144))/60))</f>
        <v/>
      </c>
      <c r="N509" s="387"/>
      <c r="O509" s="387"/>
      <c r="P509" s="381" t="str">
        <f t="shared" si="29"/>
        <v/>
      </c>
      <c r="Q509" s="382" t="str">
        <f t="array" ref="Q509">IFERROR(INDEX($D$13:$D$1000,MATCH(0,COUNTIF($Q$13:Q508,$D$13:$D$1000&amp;"")+IF($D$13:$D$1000="",1,0),0)),"")</f>
        <v/>
      </c>
      <c r="R509" s="356" t="str">
        <f t="shared" si="30"/>
        <v/>
      </c>
      <c r="S509" s="383" t="str">
        <f t="shared" si="32"/>
        <v/>
      </c>
      <c r="T509" s="384" t="str">
        <f t="shared" si="31"/>
        <v/>
      </c>
      <c r="U509" s="349"/>
      <c r="V509" s="385"/>
      <c r="W509" s="385"/>
      <c r="X509" s="386"/>
    </row>
    <row r="510" spans="2:24">
      <c r="B510" s="395"/>
      <c r="C510" s="371"/>
      <c r="D510" s="372" t="str">
        <f>IFERROR(INDEX('[12]Equipment List'!$B$2:$B$2038,MATCH(E510,'[12]Equipment List'!$A$2:$A$2038,0)),"")</f>
        <v/>
      </c>
      <c r="E510" s="388"/>
      <c r="F510" s="374"/>
      <c r="G510" s="375"/>
      <c r="H510" s="397"/>
      <c r="I510" s="377"/>
      <c r="J510" s="378"/>
      <c r="K510" s="379"/>
      <c r="L510" s="387"/>
      <c r="M510" s="380" t="str">
        <f t="array" ref="M510">IF(L510="","",(MAX(IF(AN$15:AN$144=B510,AO$15:AO$144))/60))</f>
        <v/>
      </c>
      <c r="N510" s="387"/>
      <c r="O510" s="387"/>
      <c r="P510" s="381" t="str">
        <f t="shared" si="29"/>
        <v/>
      </c>
      <c r="Q510" s="382" t="str">
        <f t="array" ref="Q510">IFERROR(INDEX($D$13:$D$1000,MATCH(0,COUNTIF($Q$13:Q509,$D$13:$D$1000&amp;"")+IF($D$13:$D$1000="",1,0),0)),"")</f>
        <v/>
      </c>
      <c r="R510" s="356" t="str">
        <f t="shared" si="30"/>
        <v/>
      </c>
      <c r="S510" s="383" t="str">
        <f t="shared" si="32"/>
        <v/>
      </c>
      <c r="T510" s="384" t="str">
        <f t="shared" si="31"/>
        <v/>
      </c>
      <c r="U510" s="349"/>
      <c r="V510" s="385"/>
      <c r="W510" s="385"/>
      <c r="X510" s="386"/>
    </row>
    <row r="511" spans="2:24">
      <c r="B511" s="395"/>
      <c r="C511" s="371"/>
      <c r="D511" s="372" t="str">
        <f>IFERROR(INDEX('[12]Equipment List'!$B$2:$B$2038,MATCH(E511,'[12]Equipment List'!$A$2:$A$2038,0)),"")</f>
        <v/>
      </c>
      <c r="E511" s="388"/>
      <c r="F511" s="374"/>
      <c r="G511" s="375"/>
      <c r="H511" s="397"/>
      <c r="I511" s="377"/>
      <c r="J511" s="378"/>
      <c r="K511" s="379"/>
      <c r="L511" s="387"/>
      <c r="M511" s="380" t="str">
        <f t="array" ref="M511">IF(L511="","",(MAX(IF(AN$15:AN$144=B511,AO$15:AO$144))/60))</f>
        <v/>
      </c>
      <c r="N511" s="387"/>
      <c r="O511" s="387"/>
      <c r="P511" s="381" t="str">
        <f t="shared" si="29"/>
        <v/>
      </c>
      <c r="Q511" s="382" t="str">
        <f t="array" ref="Q511">IFERROR(INDEX($D$13:$D$1000,MATCH(0,COUNTIF($Q$13:Q510,$D$13:$D$1000&amp;"")+IF($D$13:$D$1000="",1,0),0)),"")</f>
        <v/>
      </c>
      <c r="R511" s="356" t="str">
        <f t="shared" si="30"/>
        <v/>
      </c>
      <c r="S511" s="383" t="str">
        <f t="shared" si="32"/>
        <v/>
      </c>
      <c r="T511" s="384" t="str">
        <f t="shared" si="31"/>
        <v/>
      </c>
      <c r="U511" s="349"/>
      <c r="V511" s="385"/>
      <c r="W511" s="385"/>
      <c r="X511" s="386"/>
    </row>
    <row r="512" spans="2:24">
      <c r="B512" s="395"/>
      <c r="C512" s="371"/>
      <c r="D512" s="372" t="str">
        <f>IFERROR(INDEX('[12]Equipment List'!$B$2:$B$2038,MATCH(E512,'[12]Equipment List'!$A$2:$A$2038,0)),"")</f>
        <v/>
      </c>
      <c r="E512" s="388"/>
      <c r="F512" s="374"/>
      <c r="G512" s="375"/>
      <c r="H512" s="397"/>
      <c r="I512" s="377"/>
      <c r="J512" s="378"/>
      <c r="K512" s="379"/>
      <c r="L512" s="387"/>
      <c r="M512" s="380" t="str">
        <f t="array" ref="M512">IF(L512="","",(MAX(IF(AN$15:AN$144=B512,AO$15:AO$144))/60))</f>
        <v/>
      </c>
      <c r="N512" s="387"/>
      <c r="O512" s="387"/>
      <c r="P512" s="381" t="str">
        <f t="shared" si="29"/>
        <v/>
      </c>
      <c r="Q512" s="382" t="str">
        <f t="array" ref="Q512">IFERROR(INDEX($D$13:$D$1000,MATCH(0,COUNTIF($Q$13:Q511,$D$13:$D$1000&amp;"")+IF($D$13:$D$1000="",1,0),0)),"")</f>
        <v/>
      </c>
      <c r="R512" s="356" t="str">
        <f t="shared" si="30"/>
        <v/>
      </c>
      <c r="S512" s="383" t="str">
        <f t="shared" si="32"/>
        <v/>
      </c>
      <c r="T512" s="384" t="str">
        <f t="shared" si="31"/>
        <v/>
      </c>
      <c r="U512" s="349"/>
      <c r="V512" s="385"/>
      <c r="W512" s="385"/>
      <c r="X512" s="386"/>
    </row>
    <row r="513" spans="2:24">
      <c r="B513" s="395"/>
      <c r="C513" s="371"/>
      <c r="D513" s="372" t="str">
        <f>IFERROR(INDEX('[12]Equipment List'!$B$2:$B$2038,MATCH(E513,'[12]Equipment List'!$A$2:$A$2038,0)),"")</f>
        <v/>
      </c>
      <c r="E513" s="388"/>
      <c r="F513" s="374"/>
      <c r="G513" s="375"/>
      <c r="H513" s="397"/>
      <c r="I513" s="377"/>
      <c r="J513" s="378"/>
      <c r="K513" s="379"/>
      <c r="L513" s="387"/>
      <c r="M513" s="380" t="str">
        <f t="array" ref="M513">IF(L513="","",(MAX(IF(AN$15:AN$144=B513,AO$15:AO$144))/60))</f>
        <v/>
      </c>
      <c r="N513" s="387"/>
      <c r="O513" s="387"/>
      <c r="P513" s="381" t="str">
        <f t="shared" si="29"/>
        <v/>
      </c>
      <c r="Q513" s="382" t="str">
        <f t="array" ref="Q513">IFERROR(INDEX($D$13:$D$1000,MATCH(0,COUNTIF($Q$13:Q512,$D$13:$D$1000&amp;"")+IF($D$13:$D$1000="",1,0),0)),"")</f>
        <v/>
      </c>
      <c r="R513" s="356" t="str">
        <f t="shared" si="30"/>
        <v/>
      </c>
      <c r="S513" s="383" t="str">
        <f t="shared" si="32"/>
        <v/>
      </c>
      <c r="T513" s="384" t="str">
        <f t="shared" si="31"/>
        <v/>
      </c>
      <c r="U513" s="349"/>
      <c r="V513" s="385"/>
      <c r="W513" s="385"/>
      <c r="X513" s="386"/>
    </row>
    <row r="514" spans="2:24">
      <c r="B514" s="395"/>
      <c r="C514" s="371"/>
      <c r="D514" s="372" t="str">
        <f>IFERROR(INDEX('[12]Equipment List'!$B$2:$B$2038,MATCH(E514,'[12]Equipment List'!$A$2:$A$2038,0)),"")</f>
        <v/>
      </c>
      <c r="E514" s="388"/>
      <c r="F514" s="374"/>
      <c r="G514" s="375"/>
      <c r="H514" s="397"/>
      <c r="I514" s="377"/>
      <c r="J514" s="378"/>
      <c r="K514" s="379"/>
      <c r="L514" s="387"/>
      <c r="M514" s="380" t="str">
        <f t="array" ref="M514">IF(L514="","",(MAX(IF(AN$15:AN$144=B514,AO$15:AO$144))/60))</f>
        <v/>
      </c>
      <c r="N514" s="387"/>
      <c r="O514" s="387"/>
      <c r="P514" s="381" t="str">
        <f t="shared" si="29"/>
        <v/>
      </c>
      <c r="Q514" s="382" t="str">
        <f t="array" ref="Q514">IFERROR(INDEX($D$13:$D$1000,MATCH(0,COUNTIF($Q$13:Q513,$D$13:$D$1000&amp;"")+IF($D$13:$D$1000="",1,0),0)),"")</f>
        <v/>
      </c>
      <c r="R514" s="356" t="str">
        <f t="shared" si="30"/>
        <v/>
      </c>
      <c r="S514" s="383" t="str">
        <f t="shared" si="32"/>
        <v/>
      </c>
      <c r="T514" s="384" t="str">
        <f t="shared" si="31"/>
        <v/>
      </c>
      <c r="U514" s="349"/>
      <c r="V514" s="385"/>
      <c r="W514" s="385"/>
      <c r="X514" s="386"/>
    </row>
    <row r="515" spans="2:24">
      <c r="B515" s="395"/>
      <c r="C515" s="371"/>
      <c r="D515" s="372" t="str">
        <f>IFERROR(INDEX('[12]Equipment List'!$B$2:$B$2038,MATCH(E515,'[12]Equipment List'!$A$2:$A$2038,0)),"")</f>
        <v/>
      </c>
      <c r="E515" s="388"/>
      <c r="F515" s="374"/>
      <c r="G515" s="375"/>
      <c r="H515" s="397"/>
      <c r="I515" s="377"/>
      <c r="J515" s="378"/>
      <c r="K515" s="379"/>
      <c r="L515" s="387"/>
      <c r="M515" s="380" t="str">
        <f t="array" ref="M515">IF(L515="","",(MAX(IF(AN$15:AN$144=B515,AO$15:AO$144))/60))</f>
        <v/>
      </c>
      <c r="N515" s="387"/>
      <c r="O515" s="387"/>
      <c r="P515" s="381" t="str">
        <f t="shared" si="29"/>
        <v/>
      </c>
      <c r="Q515" s="382" t="str">
        <f t="array" ref="Q515">IFERROR(INDEX($D$13:$D$1000,MATCH(0,COUNTIF($Q$13:Q514,$D$13:$D$1000&amp;"")+IF($D$13:$D$1000="",1,0),0)),"")</f>
        <v/>
      </c>
      <c r="R515" s="356" t="str">
        <f t="shared" si="30"/>
        <v/>
      </c>
      <c r="S515" s="383" t="str">
        <f t="shared" si="32"/>
        <v/>
      </c>
      <c r="T515" s="384" t="str">
        <f t="shared" si="31"/>
        <v/>
      </c>
      <c r="U515" s="349"/>
      <c r="V515" s="385"/>
      <c r="W515" s="385"/>
      <c r="X515" s="386"/>
    </row>
    <row r="516" spans="2:24">
      <c r="B516" s="395"/>
      <c r="C516" s="371"/>
      <c r="D516" s="372" t="str">
        <f>IFERROR(INDEX('[12]Equipment List'!$B$2:$B$2038,MATCH(E516,'[12]Equipment List'!$A$2:$A$2038,0)),"")</f>
        <v/>
      </c>
      <c r="E516" s="388"/>
      <c r="F516" s="374"/>
      <c r="G516" s="375"/>
      <c r="H516" s="397"/>
      <c r="I516" s="377"/>
      <c r="J516" s="378"/>
      <c r="K516" s="379"/>
      <c r="L516" s="387"/>
      <c r="M516" s="380" t="str">
        <f t="array" ref="M516">IF(L516="","",(MAX(IF(AN$15:AN$144=B516,AO$15:AO$144))/60))</f>
        <v/>
      </c>
      <c r="N516" s="387"/>
      <c r="O516" s="387"/>
      <c r="P516" s="381" t="str">
        <f t="shared" si="29"/>
        <v/>
      </c>
      <c r="Q516" s="382" t="str">
        <f t="array" ref="Q516">IFERROR(INDEX($D$13:$D$1000,MATCH(0,COUNTIF($Q$13:Q515,$D$13:$D$1000&amp;"")+IF($D$13:$D$1000="",1,0),0)),"")</f>
        <v/>
      </c>
      <c r="R516" s="356" t="str">
        <f t="shared" si="30"/>
        <v/>
      </c>
      <c r="S516" s="383" t="str">
        <f t="shared" si="32"/>
        <v/>
      </c>
      <c r="T516" s="384" t="str">
        <f t="shared" si="31"/>
        <v/>
      </c>
      <c r="U516" s="349"/>
      <c r="V516" s="385"/>
      <c r="W516" s="385"/>
      <c r="X516" s="386"/>
    </row>
    <row r="517" spans="2:24">
      <c r="B517" s="395"/>
      <c r="C517" s="371"/>
      <c r="D517" s="372" t="str">
        <f>IFERROR(INDEX('[12]Equipment List'!$B$2:$B$2038,MATCH(E517,'[12]Equipment List'!$A$2:$A$2038,0)),"")</f>
        <v/>
      </c>
      <c r="E517" s="388"/>
      <c r="F517" s="374"/>
      <c r="G517" s="375"/>
      <c r="H517" s="397"/>
      <c r="I517" s="377"/>
      <c r="J517" s="378"/>
      <c r="K517" s="379"/>
      <c r="L517" s="387"/>
      <c r="M517" s="380" t="str">
        <f t="array" ref="M517">IF(L517="","",(MAX(IF(AN$15:AN$144=B517,AO$15:AO$144))/60))</f>
        <v/>
      </c>
      <c r="N517" s="387"/>
      <c r="O517" s="387"/>
      <c r="P517" s="381" t="str">
        <f t="shared" si="29"/>
        <v/>
      </c>
      <c r="Q517" s="382" t="str">
        <f t="array" ref="Q517">IFERROR(INDEX($D$13:$D$1000,MATCH(0,COUNTIF($Q$13:Q516,$D$13:$D$1000&amp;"")+IF($D$13:$D$1000="",1,0),0)),"")</f>
        <v/>
      </c>
      <c r="R517" s="356" t="str">
        <f t="shared" si="30"/>
        <v/>
      </c>
      <c r="S517" s="383" t="str">
        <f t="shared" si="32"/>
        <v/>
      </c>
      <c r="T517" s="384" t="str">
        <f t="shared" si="31"/>
        <v/>
      </c>
      <c r="U517" s="349"/>
      <c r="V517" s="385"/>
      <c r="W517" s="385"/>
      <c r="X517" s="386"/>
    </row>
    <row r="518" spans="2:24">
      <c r="B518" s="395"/>
      <c r="C518" s="371"/>
      <c r="D518" s="372" t="str">
        <f>IFERROR(INDEX('[12]Equipment List'!$B$2:$B$2038,MATCH(E518,'[12]Equipment List'!$A$2:$A$2038,0)),"")</f>
        <v/>
      </c>
      <c r="E518" s="388"/>
      <c r="F518" s="374"/>
      <c r="G518" s="375"/>
      <c r="H518" s="397"/>
      <c r="I518" s="377"/>
      <c r="J518" s="378"/>
      <c r="K518" s="379"/>
      <c r="L518" s="387"/>
      <c r="M518" s="380" t="str">
        <f t="array" ref="M518">IF(L518="","",(MAX(IF(AN$15:AN$144=B518,AO$15:AO$144))/60))</f>
        <v/>
      </c>
      <c r="N518" s="387"/>
      <c r="O518" s="387"/>
      <c r="P518" s="381" t="str">
        <f t="shared" si="29"/>
        <v/>
      </c>
      <c r="Q518" s="382" t="str">
        <f t="array" ref="Q518">IFERROR(INDEX($D$13:$D$1000,MATCH(0,COUNTIF($Q$13:Q517,$D$13:$D$1000&amp;"")+IF($D$13:$D$1000="",1,0),0)),"")</f>
        <v/>
      </c>
      <c r="R518" s="356" t="str">
        <f t="shared" si="30"/>
        <v/>
      </c>
      <c r="S518" s="383" t="str">
        <f t="shared" si="32"/>
        <v/>
      </c>
      <c r="T518" s="384" t="str">
        <f t="shared" si="31"/>
        <v/>
      </c>
      <c r="U518" s="349"/>
      <c r="V518" s="385"/>
      <c r="W518" s="385"/>
      <c r="X518" s="386"/>
    </row>
    <row r="519" spans="2:24">
      <c r="B519" s="395"/>
      <c r="C519" s="371"/>
      <c r="D519" s="372" t="str">
        <f>IFERROR(INDEX('[12]Equipment List'!$B$2:$B$2038,MATCH(E519,'[12]Equipment List'!$A$2:$A$2038,0)),"")</f>
        <v/>
      </c>
      <c r="E519" s="388"/>
      <c r="F519" s="374"/>
      <c r="G519" s="375"/>
      <c r="H519" s="397"/>
      <c r="I519" s="377"/>
      <c r="J519" s="378"/>
      <c r="K519" s="379"/>
      <c r="L519" s="387"/>
      <c r="M519" s="380" t="str">
        <f t="array" ref="M519">IF(L519="","",(MAX(IF(AN$15:AN$144=B519,AO$15:AO$144))/60))</f>
        <v/>
      </c>
      <c r="N519" s="387"/>
      <c r="O519" s="387"/>
      <c r="P519" s="381" t="str">
        <f t="shared" si="29"/>
        <v/>
      </c>
      <c r="Q519" s="382" t="str">
        <f t="array" ref="Q519">IFERROR(INDEX($D$13:$D$1000,MATCH(0,COUNTIF($Q$13:Q518,$D$13:$D$1000&amp;"")+IF($D$13:$D$1000="",1,0),0)),"")</f>
        <v/>
      </c>
      <c r="R519" s="356" t="str">
        <f t="shared" si="30"/>
        <v/>
      </c>
      <c r="S519" s="383" t="str">
        <f t="shared" si="32"/>
        <v/>
      </c>
      <c r="T519" s="384" t="str">
        <f t="shared" si="31"/>
        <v/>
      </c>
      <c r="U519" s="349"/>
      <c r="V519" s="385"/>
      <c r="W519" s="385"/>
      <c r="X519" s="386"/>
    </row>
    <row r="520" spans="2:24">
      <c r="B520" s="395"/>
      <c r="C520" s="371"/>
      <c r="D520" s="372" t="str">
        <f>IFERROR(INDEX('[12]Equipment List'!$B$2:$B$2038,MATCH(E520,'[12]Equipment List'!$A$2:$A$2038,0)),"")</f>
        <v/>
      </c>
      <c r="E520" s="388"/>
      <c r="F520" s="374"/>
      <c r="G520" s="375"/>
      <c r="H520" s="397"/>
      <c r="I520" s="377"/>
      <c r="J520" s="378"/>
      <c r="K520" s="379"/>
      <c r="L520" s="387"/>
      <c r="M520" s="380" t="str">
        <f t="array" ref="M520">IF(L520="","",(MAX(IF(AN$15:AN$144=B520,AO$15:AO$144))/60))</f>
        <v/>
      </c>
      <c r="N520" s="387"/>
      <c r="O520" s="387"/>
      <c r="P520" s="381" t="str">
        <f t="shared" si="29"/>
        <v/>
      </c>
      <c r="Q520" s="382" t="str">
        <f t="array" ref="Q520">IFERROR(INDEX($D$13:$D$1000,MATCH(0,COUNTIF($Q$13:Q519,$D$13:$D$1000&amp;"")+IF($D$13:$D$1000="",1,0),0)),"")</f>
        <v/>
      </c>
      <c r="R520" s="356" t="str">
        <f t="shared" si="30"/>
        <v/>
      </c>
      <c r="S520" s="383" t="str">
        <f t="shared" si="32"/>
        <v/>
      </c>
      <c r="T520" s="384" t="str">
        <f t="shared" si="31"/>
        <v/>
      </c>
      <c r="U520" s="349"/>
      <c r="V520" s="385"/>
      <c r="W520" s="385"/>
      <c r="X520" s="386"/>
    </row>
    <row r="521" spans="2:24">
      <c r="B521" s="395"/>
      <c r="C521" s="371"/>
      <c r="D521" s="372" t="str">
        <f>IFERROR(INDEX('[12]Equipment List'!$B$2:$B$2038,MATCH(E521,'[12]Equipment List'!$A$2:$A$2038,0)),"")</f>
        <v/>
      </c>
      <c r="E521" s="388"/>
      <c r="F521" s="374"/>
      <c r="G521" s="375"/>
      <c r="H521" s="397"/>
      <c r="I521" s="377"/>
      <c r="J521" s="378"/>
      <c r="K521" s="379"/>
      <c r="L521" s="387"/>
      <c r="M521" s="380" t="str">
        <f t="array" ref="M521">IF(L521="","",(MAX(IF(AN$15:AN$144=B521,AO$15:AO$144))/60))</f>
        <v/>
      </c>
      <c r="N521" s="387"/>
      <c r="O521" s="387"/>
      <c r="P521" s="381" t="str">
        <f t="shared" si="29"/>
        <v/>
      </c>
      <c r="Q521" s="382" t="str">
        <f t="array" ref="Q521">IFERROR(INDEX($D$13:$D$1000,MATCH(0,COUNTIF($Q$13:Q520,$D$13:$D$1000&amp;"")+IF($D$13:$D$1000="",1,0),0)),"")</f>
        <v/>
      </c>
      <c r="R521" s="356" t="str">
        <f t="shared" si="30"/>
        <v/>
      </c>
      <c r="S521" s="383" t="str">
        <f t="shared" si="32"/>
        <v/>
      </c>
      <c r="T521" s="384" t="str">
        <f t="shared" si="31"/>
        <v/>
      </c>
      <c r="U521" s="349"/>
      <c r="V521" s="385"/>
      <c r="W521" s="385"/>
      <c r="X521" s="386"/>
    </row>
    <row r="522" spans="2:24">
      <c r="B522" s="395"/>
      <c r="C522" s="371"/>
      <c r="D522" s="372" t="str">
        <f>IFERROR(INDEX('[12]Equipment List'!$B$2:$B$2038,MATCH(E522,'[12]Equipment List'!$A$2:$A$2038,0)),"")</f>
        <v/>
      </c>
      <c r="E522" s="388"/>
      <c r="F522" s="374"/>
      <c r="G522" s="375"/>
      <c r="H522" s="397"/>
      <c r="I522" s="377"/>
      <c r="J522" s="378"/>
      <c r="K522" s="379"/>
      <c r="L522" s="387"/>
      <c r="M522" s="380" t="str">
        <f t="array" ref="M522">IF(L522="","",(MAX(IF(AN$15:AN$144=B522,AO$15:AO$144))/60))</f>
        <v/>
      </c>
      <c r="N522" s="387"/>
      <c r="O522" s="387"/>
      <c r="P522" s="381" t="str">
        <f t="shared" si="29"/>
        <v/>
      </c>
      <c r="Q522" s="382" t="str">
        <f t="array" ref="Q522">IFERROR(INDEX($D$13:$D$1000,MATCH(0,COUNTIF($Q$13:Q521,$D$13:$D$1000&amp;"")+IF($D$13:$D$1000="",1,0),0)),"")</f>
        <v/>
      </c>
      <c r="R522" s="356" t="str">
        <f t="shared" si="30"/>
        <v/>
      </c>
      <c r="S522" s="383" t="str">
        <f t="shared" si="32"/>
        <v/>
      </c>
      <c r="T522" s="384" t="str">
        <f t="shared" si="31"/>
        <v/>
      </c>
      <c r="U522" s="349"/>
      <c r="V522" s="385"/>
      <c r="W522" s="385"/>
      <c r="X522" s="386"/>
    </row>
    <row r="523" spans="2:24">
      <c r="B523" s="395"/>
      <c r="C523" s="371"/>
      <c r="D523" s="372" t="str">
        <f>IFERROR(INDEX('[12]Equipment List'!$B$2:$B$2038,MATCH(E523,'[12]Equipment List'!$A$2:$A$2038,0)),"")</f>
        <v/>
      </c>
      <c r="E523" s="388"/>
      <c r="F523" s="374"/>
      <c r="G523" s="375"/>
      <c r="H523" s="397"/>
      <c r="I523" s="377"/>
      <c r="J523" s="378"/>
      <c r="K523" s="379"/>
      <c r="L523" s="387"/>
      <c r="M523" s="380" t="str">
        <f t="array" ref="M523">IF(L523="","",(MAX(IF(AN$15:AN$144=B523,AO$15:AO$144))/60))</f>
        <v/>
      </c>
      <c r="N523" s="387"/>
      <c r="O523" s="387"/>
      <c r="P523" s="381" t="str">
        <f t="shared" si="29"/>
        <v/>
      </c>
      <c r="Q523" s="382" t="str">
        <f t="array" ref="Q523">IFERROR(INDEX($D$13:$D$1000,MATCH(0,COUNTIF($Q$13:Q522,$D$13:$D$1000&amp;"")+IF($D$13:$D$1000="",1,0),0)),"")</f>
        <v/>
      </c>
      <c r="R523" s="356" t="str">
        <f t="shared" si="30"/>
        <v/>
      </c>
      <c r="S523" s="383" t="str">
        <f t="shared" si="32"/>
        <v/>
      </c>
      <c r="T523" s="384" t="str">
        <f t="shared" si="31"/>
        <v/>
      </c>
      <c r="U523" s="349"/>
      <c r="V523" s="385"/>
      <c r="W523" s="385"/>
      <c r="X523" s="386"/>
    </row>
    <row r="524" spans="2:24">
      <c r="B524" s="395"/>
      <c r="C524" s="371"/>
      <c r="D524" s="372" t="str">
        <f>IFERROR(INDEX('[12]Equipment List'!$B$2:$B$2038,MATCH(E524,'[12]Equipment List'!$A$2:$A$2038,0)),"")</f>
        <v/>
      </c>
      <c r="E524" s="388"/>
      <c r="F524" s="374"/>
      <c r="G524" s="375"/>
      <c r="H524" s="397"/>
      <c r="I524" s="377"/>
      <c r="J524" s="378"/>
      <c r="K524" s="379"/>
      <c r="L524" s="387"/>
      <c r="M524" s="380" t="str">
        <f t="array" ref="M524">IF(L524="","",(MAX(IF(AN$15:AN$144=B524,AO$15:AO$144))/60))</f>
        <v/>
      </c>
      <c r="N524" s="387"/>
      <c r="O524" s="387"/>
      <c r="P524" s="381" t="str">
        <f t="shared" ref="P524:P587" si="33">IFERROR((((K524/5/250/$F$8)+(N524*$F$9))/$S$4)*(M524/60),"")</f>
        <v/>
      </c>
      <c r="Q524" s="382" t="str">
        <f t="array" ref="Q524">IFERROR(INDEX($D$13:$D$1000,MATCH(0,COUNTIF($Q$13:Q523,$D$13:$D$1000&amp;"")+IF($D$13:$D$1000="",1,0),0)),"")</f>
        <v/>
      </c>
      <c r="R524" s="356" t="str">
        <f t="shared" si="30"/>
        <v/>
      </c>
      <c r="S524" s="383" t="str">
        <f t="shared" si="32"/>
        <v/>
      </c>
      <c r="T524" s="384" t="str">
        <f t="shared" si="31"/>
        <v/>
      </c>
      <c r="U524" s="349"/>
      <c r="V524" s="385"/>
      <c r="W524" s="385"/>
      <c r="X524" s="386"/>
    </row>
    <row r="525" spans="2:24">
      <c r="B525" s="395"/>
      <c r="C525" s="371"/>
      <c r="D525" s="372" t="str">
        <f>IFERROR(INDEX('[12]Equipment List'!$B$2:$B$2038,MATCH(E525,'[12]Equipment List'!$A$2:$A$2038,0)),"")</f>
        <v/>
      </c>
      <c r="E525" s="388"/>
      <c r="F525" s="374"/>
      <c r="G525" s="375"/>
      <c r="H525" s="397"/>
      <c r="I525" s="377"/>
      <c r="J525" s="378"/>
      <c r="K525" s="379"/>
      <c r="L525" s="387"/>
      <c r="M525" s="380" t="str">
        <f t="array" ref="M525">IF(L525="","",(MAX(IF(AN$15:AN$144=B525,AO$15:AO$144))/60))</f>
        <v/>
      </c>
      <c r="N525" s="387"/>
      <c r="O525" s="387"/>
      <c r="P525" s="381" t="str">
        <f t="shared" si="33"/>
        <v/>
      </c>
      <c r="Q525" s="382" t="str">
        <f t="array" ref="Q525">IFERROR(INDEX($D$13:$D$1000,MATCH(0,COUNTIF($Q$13:Q524,$D$13:$D$1000&amp;"")+IF($D$13:$D$1000="",1,0),0)),"")</f>
        <v/>
      </c>
      <c r="R525" s="356" t="str">
        <f t="shared" ref="R525:R588" si="34">IF(Q525="","",COUNTIF($D$13:$D$1000,$Q525))</f>
        <v/>
      </c>
      <c r="S525" s="383" t="str">
        <f t="shared" si="32"/>
        <v/>
      </c>
      <c r="T525" s="384" t="str">
        <f t="shared" ref="T525:T588" si="35">IF($Q525="","",SUMIF($D$13:$D$1000,$Q525,N$13:N$1000))</f>
        <v/>
      </c>
      <c r="U525" s="349"/>
      <c r="V525" s="385"/>
      <c r="W525" s="385"/>
      <c r="X525" s="386"/>
    </row>
    <row r="526" spans="2:24">
      <c r="B526" s="395"/>
      <c r="C526" s="371"/>
      <c r="D526" s="372" t="str">
        <f>IFERROR(INDEX('[12]Equipment List'!$B$2:$B$2038,MATCH(E526,'[12]Equipment List'!$A$2:$A$2038,0)),"")</f>
        <v/>
      </c>
      <c r="E526" s="388"/>
      <c r="F526" s="374"/>
      <c r="G526" s="375"/>
      <c r="H526" s="397"/>
      <c r="I526" s="377"/>
      <c r="J526" s="378"/>
      <c r="K526" s="379"/>
      <c r="L526" s="387"/>
      <c r="M526" s="380" t="str">
        <f t="array" ref="M526">IF(L526="","",(MAX(IF(AN$15:AN$144=B526,AO$15:AO$144))/60))</f>
        <v/>
      </c>
      <c r="N526" s="387"/>
      <c r="O526" s="387"/>
      <c r="P526" s="381" t="str">
        <f t="shared" si="33"/>
        <v/>
      </c>
      <c r="Q526" s="382" t="str">
        <f t="array" ref="Q526">IFERROR(INDEX($D$13:$D$1000,MATCH(0,COUNTIF($Q$13:Q525,$D$13:$D$1000&amp;"")+IF($D$13:$D$1000="",1,0),0)),"")</f>
        <v/>
      </c>
      <c r="R526" s="356" t="str">
        <f t="shared" si="34"/>
        <v/>
      </c>
      <c r="S526" s="383" t="str">
        <f t="shared" si="32"/>
        <v/>
      </c>
      <c r="T526" s="384" t="str">
        <f t="shared" si="35"/>
        <v/>
      </c>
      <c r="U526" s="349"/>
      <c r="V526" s="385"/>
      <c r="W526" s="385"/>
      <c r="X526" s="386"/>
    </row>
    <row r="527" spans="2:24">
      <c r="B527" s="395"/>
      <c r="C527" s="371"/>
      <c r="D527" s="372" t="str">
        <f>IFERROR(INDEX('[12]Equipment List'!$B$2:$B$2038,MATCH(E527,'[12]Equipment List'!$A$2:$A$2038,0)),"")</f>
        <v/>
      </c>
      <c r="E527" s="388"/>
      <c r="F527" s="374"/>
      <c r="G527" s="375"/>
      <c r="H527" s="397"/>
      <c r="I527" s="377"/>
      <c r="J527" s="378"/>
      <c r="K527" s="379"/>
      <c r="L527" s="387"/>
      <c r="M527" s="380" t="str">
        <f t="array" ref="M527">IF(L527="","",(MAX(IF(AN$15:AN$144=B527,AO$15:AO$144))/60))</f>
        <v/>
      </c>
      <c r="N527" s="387"/>
      <c r="O527" s="387"/>
      <c r="P527" s="381" t="str">
        <f t="shared" si="33"/>
        <v/>
      </c>
      <c r="Q527" s="382" t="str">
        <f t="array" ref="Q527">IFERROR(INDEX($D$13:$D$1000,MATCH(0,COUNTIF($Q$13:Q526,$D$13:$D$1000&amp;"")+IF($D$13:$D$1000="",1,0),0)),"")</f>
        <v/>
      </c>
      <c r="R527" s="356" t="str">
        <f t="shared" si="34"/>
        <v/>
      </c>
      <c r="S527" s="383" t="str">
        <f t="shared" si="32"/>
        <v/>
      </c>
      <c r="T527" s="384" t="str">
        <f t="shared" si="35"/>
        <v/>
      </c>
      <c r="U527" s="349"/>
      <c r="V527" s="385"/>
      <c r="W527" s="385"/>
      <c r="X527" s="386"/>
    </row>
    <row r="528" spans="2:24">
      <c r="B528" s="395"/>
      <c r="C528" s="371"/>
      <c r="D528" s="372" t="str">
        <f>IFERROR(INDEX('[12]Equipment List'!$B$2:$B$2038,MATCH(E528,'[12]Equipment List'!$A$2:$A$2038,0)),"")</f>
        <v/>
      </c>
      <c r="E528" s="388"/>
      <c r="F528" s="374"/>
      <c r="G528" s="375"/>
      <c r="H528" s="397"/>
      <c r="I528" s="377"/>
      <c r="J528" s="378"/>
      <c r="K528" s="379"/>
      <c r="L528" s="387"/>
      <c r="M528" s="380" t="str">
        <f t="array" ref="M528">IF(L528="","",(MAX(IF(AN$15:AN$144=B528,AO$15:AO$144))/60))</f>
        <v/>
      </c>
      <c r="N528" s="387"/>
      <c r="O528" s="387"/>
      <c r="P528" s="381" t="str">
        <f t="shared" si="33"/>
        <v/>
      </c>
      <c r="Q528" s="382" t="str">
        <f t="array" ref="Q528">IFERROR(INDEX($D$13:$D$1000,MATCH(0,COUNTIF($Q$13:Q527,$D$13:$D$1000&amp;"")+IF($D$13:$D$1000="",1,0),0)),"")</f>
        <v/>
      </c>
      <c r="R528" s="356" t="str">
        <f t="shared" si="34"/>
        <v/>
      </c>
      <c r="S528" s="383" t="str">
        <f t="shared" si="32"/>
        <v/>
      </c>
      <c r="T528" s="384" t="str">
        <f t="shared" si="35"/>
        <v/>
      </c>
      <c r="U528" s="349"/>
      <c r="V528" s="385"/>
      <c r="W528" s="385"/>
      <c r="X528" s="386"/>
    </row>
    <row r="529" spans="2:24">
      <c r="B529" s="395"/>
      <c r="C529" s="371"/>
      <c r="D529" s="372" t="str">
        <f>IFERROR(INDEX('[12]Equipment List'!$B$2:$B$2038,MATCH(E529,'[12]Equipment List'!$A$2:$A$2038,0)),"")</f>
        <v/>
      </c>
      <c r="E529" s="388"/>
      <c r="F529" s="374"/>
      <c r="G529" s="375"/>
      <c r="H529" s="397"/>
      <c r="I529" s="377"/>
      <c r="J529" s="378"/>
      <c r="K529" s="379"/>
      <c r="L529" s="387"/>
      <c r="M529" s="380" t="str">
        <f t="array" ref="M529">IF(L529="","",(MAX(IF(AN$15:AN$144=B529,AO$15:AO$144))/60))</f>
        <v/>
      </c>
      <c r="N529" s="387"/>
      <c r="O529" s="387"/>
      <c r="P529" s="381" t="str">
        <f t="shared" si="33"/>
        <v/>
      </c>
      <c r="Q529" s="382" t="str">
        <f t="array" ref="Q529">IFERROR(INDEX($D$13:$D$1000,MATCH(0,COUNTIF($Q$13:Q528,$D$13:$D$1000&amp;"")+IF($D$13:$D$1000="",1,0),0)),"")</f>
        <v/>
      </c>
      <c r="R529" s="356" t="str">
        <f t="shared" si="34"/>
        <v/>
      </c>
      <c r="S529" s="383" t="str">
        <f t="shared" si="32"/>
        <v/>
      </c>
      <c r="T529" s="384" t="str">
        <f t="shared" si="35"/>
        <v/>
      </c>
      <c r="U529" s="349"/>
      <c r="V529" s="385"/>
      <c r="W529" s="385"/>
      <c r="X529" s="386"/>
    </row>
    <row r="530" spans="2:24">
      <c r="B530" s="395"/>
      <c r="C530" s="371"/>
      <c r="D530" s="372" t="str">
        <f>IFERROR(INDEX('[12]Equipment List'!$B$2:$B$2038,MATCH(E530,'[12]Equipment List'!$A$2:$A$2038,0)),"")</f>
        <v/>
      </c>
      <c r="E530" s="388"/>
      <c r="F530" s="374"/>
      <c r="G530" s="375"/>
      <c r="H530" s="397"/>
      <c r="I530" s="377"/>
      <c r="J530" s="378"/>
      <c r="K530" s="379"/>
      <c r="L530" s="387"/>
      <c r="M530" s="380" t="str">
        <f t="array" ref="M530">IF(L530="","",(MAX(IF(AN$15:AN$144=B530,AO$15:AO$144))/60))</f>
        <v/>
      </c>
      <c r="N530" s="387"/>
      <c r="O530" s="387"/>
      <c r="P530" s="381" t="str">
        <f t="shared" si="33"/>
        <v/>
      </c>
      <c r="Q530" s="382" t="str">
        <f t="array" ref="Q530">IFERROR(INDEX($D$13:$D$1000,MATCH(0,COUNTIF($Q$13:Q529,$D$13:$D$1000&amp;"")+IF($D$13:$D$1000="",1,0),0)),"")</f>
        <v/>
      </c>
      <c r="R530" s="356" t="str">
        <f t="shared" si="34"/>
        <v/>
      </c>
      <c r="S530" s="383" t="str">
        <f t="shared" si="32"/>
        <v/>
      </c>
      <c r="T530" s="384" t="str">
        <f t="shared" si="35"/>
        <v/>
      </c>
      <c r="U530" s="349"/>
      <c r="V530" s="385"/>
      <c r="W530" s="385"/>
      <c r="X530" s="386"/>
    </row>
    <row r="531" spans="2:24">
      <c r="B531" s="395"/>
      <c r="C531" s="371"/>
      <c r="D531" s="372" t="str">
        <f>IFERROR(INDEX('[12]Equipment List'!$B$2:$B$2038,MATCH(E531,'[12]Equipment List'!$A$2:$A$2038,0)),"")</f>
        <v/>
      </c>
      <c r="E531" s="388"/>
      <c r="F531" s="374"/>
      <c r="G531" s="375"/>
      <c r="H531" s="397"/>
      <c r="I531" s="377"/>
      <c r="J531" s="378"/>
      <c r="K531" s="379"/>
      <c r="L531" s="387"/>
      <c r="M531" s="380" t="str">
        <f t="array" ref="M531">IF(L531="","",(MAX(IF(AN$15:AN$144=B531,AO$15:AO$144))/60))</f>
        <v/>
      </c>
      <c r="N531" s="387"/>
      <c r="O531" s="387"/>
      <c r="P531" s="381" t="str">
        <f t="shared" si="33"/>
        <v/>
      </c>
      <c r="Q531" s="382" t="str">
        <f t="array" ref="Q531">IFERROR(INDEX($D$13:$D$1000,MATCH(0,COUNTIF($Q$13:Q530,$D$13:$D$1000&amp;"")+IF($D$13:$D$1000="",1,0),0)),"")</f>
        <v/>
      </c>
      <c r="R531" s="356" t="str">
        <f t="shared" si="34"/>
        <v/>
      </c>
      <c r="S531" s="383" t="str">
        <f t="shared" si="32"/>
        <v/>
      </c>
      <c r="T531" s="384" t="str">
        <f t="shared" si="35"/>
        <v/>
      </c>
      <c r="U531" s="349"/>
      <c r="V531" s="385"/>
      <c r="W531" s="385"/>
      <c r="X531" s="386"/>
    </row>
    <row r="532" spans="2:24">
      <c r="B532" s="395"/>
      <c r="C532" s="371"/>
      <c r="D532" s="372" t="str">
        <f>IFERROR(INDEX('[12]Equipment List'!$B$2:$B$2038,MATCH(E532,'[12]Equipment List'!$A$2:$A$2038,0)),"")</f>
        <v/>
      </c>
      <c r="E532" s="388"/>
      <c r="F532" s="374"/>
      <c r="G532" s="375"/>
      <c r="H532" s="397"/>
      <c r="I532" s="377"/>
      <c r="J532" s="378"/>
      <c r="K532" s="379"/>
      <c r="L532" s="387"/>
      <c r="M532" s="380" t="str">
        <f t="array" ref="M532">IF(L532="","",(MAX(IF(AN$15:AN$144=B532,AO$15:AO$144))/60))</f>
        <v/>
      </c>
      <c r="N532" s="387"/>
      <c r="O532" s="387"/>
      <c r="P532" s="381" t="str">
        <f t="shared" si="33"/>
        <v/>
      </c>
      <c r="Q532" s="382" t="str">
        <f t="array" ref="Q532">IFERROR(INDEX($D$13:$D$1000,MATCH(0,COUNTIF($Q$13:Q531,$D$13:$D$1000&amp;"")+IF($D$13:$D$1000="",1,0),0)),"")</f>
        <v/>
      </c>
      <c r="R532" s="356" t="str">
        <f t="shared" si="34"/>
        <v/>
      </c>
      <c r="S532" s="383" t="str">
        <f t="shared" si="32"/>
        <v/>
      </c>
      <c r="T532" s="384" t="str">
        <f t="shared" si="35"/>
        <v/>
      </c>
      <c r="U532" s="349"/>
      <c r="V532" s="385"/>
      <c r="W532" s="385"/>
      <c r="X532" s="386"/>
    </row>
    <row r="533" spans="2:24">
      <c r="B533" s="395"/>
      <c r="C533" s="371"/>
      <c r="D533" s="372" t="str">
        <f>IFERROR(INDEX('[12]Equipment List'!$B$2:$B$2038,MATCH(E533,'[12]Equipment List'!$A$2:$A$2038,0)),"")</f>
        <v/>
      </c>
      <c r="E533" s="388"/>
      <c r="F533" s="374"/>
      <c r="G533" s="375"/>
      <c r="H533" s="397"/>
      <c r="I533" s="377"/>
      <c r="J533" s="378"/>
      <c r="K533" s="379"/>
      <c r="L533" s="387"/>
      <c r="M533" s="380" t="str">
        <f t="array" ref="M533">IF(L533="","",(MAX(IF(AN$15:AN$144=B533,AO$15:AO$144))/60))</f>
        <v/>
      </c>
      <c r="N533" s="387"/>
      <c r="O533" s="387"/>
      <c r="P533" s="381" t="str">
        <f t="shared" si="33"/>
        <v/>
      </c>
      <c r="Q533" s="382" t="str">
        <f t="array" ref="Q533">IFERROR(INDEX($D$13:$D$1000,MATCH(0,COUNTIF($Q$13:Q532,$D$13:$D$1000&amp;"")+IF($D$13:$D$1000="",1,0),0)),"")</f>
        <v/>
      </c>
      <c r="R533" s="356" t="str">
        <f t="shared" si="34"/>
        <v/>
      </c>
      <c r="S533" s="383" t="str">
        <f t="shared" si="32"/>
        <v/>
      </c>
      <c r="T533" s="384" t="str">
        <f t="shared" si="35"/>
        <v/>
      </c>
      <c r="U533" s="349"/>
      <c r="V533" s="385"/>
      <c r="W533" s="385"/>
      <c r="X533" s="386"/>
    </row>
    <row r="534" spans="2:24">
      <c r="B534" s="395"/>
      <c r="C534" s="371"/>
      <c r="D534" s="372" t="str">
        <f>IFERROR(INDEX('[12]Equipment List'!$B$2:$B$2038,MATCH(E534,'[12]Equipment List'!$A$2:$A$2038,0)),"")</f>
        <v/>
      </c>
      <c r="E534" s="388"/>
      <c r="F534" s="374"/>
      <c r="G534" s="375"/>
      <c r="H534" s="397"/>
      <c r="I534" s="377"/>
      <c r="J534" s="378"/>
      <c r="K534" s="379"/>
      <c r="L534" s="387"/>
      <c r="M534" s="380" t="str">
        <f t="array" ref="M534">IF(L534="","",(MAX(IF(AN$15:AN$144=B534,AO$15:AO$144))/60))</f>
        <v/>
      </c>
      <c r="N534" s="387"/>
      <c r="O534" s="387"/>
      <c r="P534" s="381" t="str">
        <f t="shared" si="33"/>
        <v/>
      </c>
      <c r="Q534" s="382" t="str">
        <f t="array" ref="Q534">IFERROR(INDEX($D$13:$D$1000,MATCH(0,COUNTIF($Q$13:Q533,$D$13:$D$1000&amp;"")+IF($D$13:$D$1000="",1,0),0)),"")</f>
        <v/>
      </c>
      <c r="R534" s="356" t="str">
        <f t="shared" si="34"/>
        <v/>
      </c>
      <c r="S534" s="383" t="str">
        <f t="shared" si="32"/>
        <v/>
      </c>
      <c r="T534" s="384" t="str">
        <f t="shared" si="35"/>
        <v/>
      </c>
      <c r="U534" s="349"/>
      <c r="V534" s="385"/>
      <c r="W534" s="385"/>
      <c r="X534" s="386"/>
    </row>
    <row r="535" spans="2:24">
      <c r="B535" s="395"/>
      <c r="C535" s="371"/>
      <c r="D535" s="372" t="str">
        <f>IFERROR(INDEX('[12]Equipment List'!$B$2:$B$2038,MATCH(E535,'[12]Equipment List'!$A$2:$A$2038,0)),"")</f>
        <v/>
      </c>
      <c r="E535" s="388"/>
      <c r="F535" s="374"/>
      <c r="G535" s="375"/>
      <c r="H535" s="397"/>
      <c r="I535" s="377"/>
      <c r="J535" s="378"/>
      <c r="K535" s="379"/>
      <c r="L535" s="387"/>
      <c r="M535" s="380" t="str">
        <f t="array" ref="M535">IF(L535="","",(MAX(IF(AN$15:AN$144=B535,AO$15:AO$144))/60))</f>
        <v/>
      </c>
      <c r="N535" s="387"/>
      <c r="O535" s="387"/>
      <c r="P535" s="381" t="str">
        <f t="shared" si="33"/>
        <v/>
      </c>
      <c r="Q535" s="382" t="str">
        <f t="array" ref="Q535">IFERROR(INDEX($D$13:$D$1000,MATCH(0,COUNTIF($Q$13:Q534,$D$13:$D$1000&amp;"")+IF($D$13:$D$1000="",1,0),0)),"")</f>
        <v/>
      </c>
      <c r="R535" s="356" t="str">
        <f t="shared" si="34"/>
        <v/>
      </c>
      <c r="S535" s="383" t="str">
        <f t="shared" si="32"/>
        <v/>
      </c>
      <c r="T535" s="384" t="str">
        <f t="shared" si="35"/>
        <v/>
      </c>
      <c r="U535" s="349"/>
      <c r="V535" s="385"/>
      <c r="W535" s="385"/>
      <c r="X535" s="386"/>
    </row>
    <row r="536" spans="2:24">
      <c r="B536" s="395"/>
      <c r="C536" s="371"/>
      <c r="D536" s="372" t="str">
        <f>IFERROR(INDEX('[12]Equipment List'!$B$2:$B$2038,MATCH(E536,'[12]Equipment List'!$A$2:$A$2038,0)),"")</f>
        <v/>
      </c>
      <c r="E536" s="388"/>
      <c r="F536" s="374"/>
      <c r="G536" s="375"/>
      <c r="H536" s="397"/>
      <c r="I536" s="377"/>
      <c r="J536" s="378"/>
      <c r="K536" s="379"/>
      <c r="L536" s="387"/>
      <c r="M536" s="380" t="str">
        <f t="array" ref="M536">IF(L536="","",(MAX(IF(AN$15:AN$144=B536,AO$15:AO$144))/60))</f>
        <v/>
      </c>
      <c r="N536" s="387"/>
      <c r="O536" s="387"/>
      <c r="P536" s="381" t="str">
        <f t="shared" si="33"/>
        <v/>
      </c>
      <c r="Q536" s="382" t="str">
        <f t="array" ref="Q536">IFERROR(INDEX($D$13:$D$1000,MATCH(0,COUNTIF($Q$13:Q535,$D$13:$D$1000&amp;"")+IF($D$13:$D$1000="",1,0),0)),"")</f>
        <v/>
      </c>
      <c r="R536" s="356" t="str">
        <f t="shared" si="34"/>
        <v/>
      </c>
      <c r="S536" s="383" t="str">
        <f t="shared" si="32"/>
        <v/>
      </c>
      <c r="T536" s="384" t="str">
        <f t="shared" si="35"/>
        <v/>
      </c>
      <c r="U536" s="349"/>
      <c r="V536" s="385"/>
      <c r="W536" s="385"/>
      <c r="X536" s="386"/>
    </row>
    <row r="537" spans="2:24">
      <c r="B537" s="395"/>
      <c r="C537" s="371"/>
      <c r="D537" s="372" t="str">
        <f>IFERROR(INDEX('[12]Equipment List'!$B$2:$B$2038,MATCH(E537,'[12]Equipment List'!$A$2:$A$2038,0)),"")</f>
        <v/>
      </c>
      <c r="E537" s="388"/>
      <c r="F537" s="374"/>
      <c r="G537" s="375"/>
      <c r="H537" s="397"/>
      <c r="I537" s="377"/>
      <c r="J537" s="378"/>
      <c r="K537" s="379"/>
      <c r="L537" s="387"/>
      <c r="M537" s="380" t="str">
        <f t="array" ref="M537">IF(L537="","",(MAX(IF(AN$15:AN$144=B537,AO$15:AO$144))/60))</f>
        <v/>
      </c>
      <c r="N537" s="387"/>
      <c r="O537" s="387"/>
      <c r="P537" s="381" t="str">
        <f t="shared" si="33"/>
        <v/>
      </c>
      <c r="Q537" s="382" t="str">
        <f t="array" ref="Q537">IFERROR(INDEX($D$13:$D$1000,MATCH(0,COUNTIF($Q$13:Q536,$D$13:$D$1000&amp;"")+IF($D$13:$D$1000="",1,0),0)),"")</f>
        <v/>
      </c>
      <c r="R537" s="356" t="str">
        <f t="shared" si="34"/>
        <v/>
      </c>
      <c r="S537" s="383" t="str">
        <f t="shared" si="32"/>
        <v/>
      </c>
      <c r="T537" s="384" t="str">
        <f t="shared" si="35"/>
        <v/>
      </c>
      <c r="U537" s="349"/>
      <c r="V537" s="385"/>
      <c r="W537" s="385"/>
      <c r="X537" s="386"/>
    </row>
    <row r="538" spans="2:24">
      <c r="B538" s="395"/>
      <c r="C538" s="371"/>
      <c r="D538" s="372" t="str">
        <f>IFERROR(INDEX('[12]Equipment List'!$B$2:$B$2038,MATCH(E538,'[12]Equipment List'!$A$2:$A$2038,0)),"")</f>
        <v/>
      </c>
      <c r="E538" s="388"/>
      <c r="F538" s="374"/>
      <c r="G538" s="375"/>
      <c r="H538" s="397"/>
      <c r="I538" s="377"/>
      <c r="J538" s="378"/>
      <c r="K538" s="379"/>
      <c r="L538" s="387"/>
      <c r="M538" s="380" t="str">
        <f t="array" ref="M538">IF(L538="","",(MAX(IF(AN$15:AN$144=B538,AO$15:AO$144))/60))</f>
        <v/>
      </c>
      <c r="N538" s="387"/>
      <c r="O538" s="387"/>
      <c r="P538" s="381" t="str">
        <f t="shared" si="33"/>
        <v/>
      </c>
      <c r="Q538" s="382" t="str">
        <f t="array" ref="Q538">IFERROR(INDEX($D$13:$D$1000,MATCH(0,COUNTIF($Q$13:Q537,$D$13:$D$1000&amp;"")+IF($D$13:$D$1000="",1,0),0)),"")</f>
        <v/>
      </c>
      <c r="R538" s="356" t="str">
        <f t="shared" si="34"/>
        <v/>
      </c>
      <c r="S538" s="383" t="str">
        <f t="shared" si="32"/>
        <v/>
      </c>
      <c r="T538" s="384" t="str">
        <f t="shared" si="35"/>
        <v/>
      </c>
      <c r="U538" s="349"/>
      <c r="V538" s="385"/>
      <c r="W538" s="385"/>
      <c r="X538" s="386"/>
    </row>
    <row r="539" spans="2:24">
      <c r="B539" s="395"/>
      <c r="C539" s="371"/>
      <c r="D539" s="372" t="str">
        <f>IFERROR(INDEX('[12]Equipment List'!$B$2:$B$2038,MATCH(E539,'[12]Equipment List'!$A$2:$A$2038,0)),"")</f>
        <v/>
      </c>
      <c r="E539" s="388"/>
      <c r="F539" s="374"/>
      <c r="G539" s="375"/>
      <c r="H539" s="397"/>
      <c r="I539" s="377"/>
      <c r="J539" s="378"/>
      <c r="K539" s="379"/>
      <c r="L539" s="387"/>
      <c r="M539" s="380" t="str">
        <f t="array" ref="M539">IF(L539="","",(MAX(IF(AN$15:AN$144=B539,AO$15:AO$144))/60))</f>
        <v/>
      </c>
      <c r="N539" s="387"/>
      <c r="O539" s="387"/>
      <c r="P539" s="381" t="str">
        <f t="shared" si="33"/>
        <v/>
      </c>
      <c r="Q539" s="382" t="str">
        <f t="array" ref="Q539">IFERROR(INDEX($D$13:$D$1000,MATCH(0,COUNTIF($Q$13:Q538,$D$13:$D$1000&amp;"")+IF($D$13:$D$1000="",1,0),0)),"")</f>
        <v/>
      </c>
      <c r="R539" s="356" t="str">
        <f t="shared" si="34"/>
        <v/>
      </c>
      <c r="S539" s="383" t="str">
        <f t="shared" si="32"/>
        <v/>
      </c>
      <c r="T539" s="384" t="str">
        <f t="shared" si="35"/>
        <v/>
      </c>
      <c r="U539" s="349"/>
      <c r="V539" s="385"/>
      <c r="W539" s="385"/>
      <c r="X539" s="386"/>
    </row>
    <row r="540" spans="2:24">
      <c r="B540" s="395"/>
      <c r="C540" s="371"/>
      <c r="D540" s="372" t="str">
        <f>IFERROR(INDEX('[12]Equipment List'!$B$2:$B$2038,MATCH(E540,'[12]Equipment List'!$A$2:$A$2038,0)),"")</f>
        <v/>
      </c>
      <c r="E540" s="388"/>
      <c r="F540" s="374"/>
      <c r="G540" s="375"/>
      <c r="H540" s="397"/>
      <c r="I540" s="377"/>
      <c r="J540" s="378"/>
      <c r="K540" s="379"/>
      <c r="L540" s="387"/>
      <c r="M540" s="380" t="str">
        <f t="array" ref="M540">IF(L540="","",(MAX(IF(AN$15:AN$144=B540,AO$15:AO$144))/60))</f>
        <v/>
      </c>
      <c r="N540" s="387"/>
      <c r="O540" s="387"/>
      <c r="P540" s="381" t="str">
        <f t="shared" si="33"/>
        <v/>
      </c>
      <c r="Q540" s="382" t="str">
        <f t="array" ref="Q540">IFERROR(INDEX($D$13:$D$1000,MATCH(0,COUNTIF($Q$13:Q539,$D$13:$D$1000&amp;"")+IF($D$13:$D$1000="",1,0),0)),"")</f>
        <v/>
      </c>
      <c r="R540" s="356" t="str">
        <f t="shared" si="34"/>
        <v/>
      </c>
      <c r="S540" s="383" t="str">
        <f t="shared" si="32"/>
        <v/>
      </c>
      <c r="T540" s="384" t="str">
        <f t="shared" si="35"/>
        <v/>
      </c>
      <c r="U540" s="349"/>
      <c r="V540" s="385"/>
      <c r="W540" s="385"/>
      <c r="X540" s="386"/>
    </row>
    <row r="541" spans="2:24">
      <c r="B541" s="395"/>
      <c r="C541" s="371"/>
      <c r="D541" s="372" t="str">
        <f>IFERROR(INDEX('[12]Equipment List'!$B$2:$B$2038,MATCH(E541,'[12]Equipment List'!$A$2:$A$2038,0)),"")</f>
        <v/>
      </c>
      <c r="E541" s="388"/>
      <c r="F541" s="374"/>
      <c r="G541" s="375"/>
      <c r="H541" s="397"/>
      <c r="I541" s="377"/>
      <c r="J541" s="378"/>
      <c r="K541" s="379"/>
      <c r="L541" s="387"/>
      <c r="M541" s="380" t="str">
        <f t="array" ref="M541">IF(L541="","",(MAX(IF(AN$15:AN$144=B541,AO$15:AO$144))/60))</f>
        <v/>
      </c>
      <c r="N541" s="387"/>
      <c r="O541" s="387"/>
      <c r="P541" s="381" t="str">
        <f t="shared" si="33"/>
        <v/>
      </c>
      <c r="Q541" s="382" t="str">
        <f t="array" ref="Q541">IFERROR(INDEX($D$13:$D$1000,MATCH(0,COUNTIF($Q$13:Q540,$D$13:$D$1000&amp;"")+IF($D$13:$D$1000="",1,0),0)),"")</f>
        <v/>
      </c>
      <c r="R541" s="356" t="str">
        <f t="shared" si="34"/>
        <v/>
      </c>
      <c r="S541" s="383" t="str">
        <f t="shared" si="32"/>
        <v/>
      </c>
      <c r="T541" s="384" t="str">
        <f t="shared" si="35"/>
        <v/>
      </c>
      <c r="U541" s="349"/>
      <c r="V541" s="385"/>
      <c r="W541" s="385"/>
      <c r="X541" s="386"/>
    </row>
    <row r="542" spans="2:24">
      <c r="B542" s="395"/>
      <c r="C542" s="371"/>
      <c r="D542" s="372" t="str">
        <f>IFERROR(INDEX('[12]Equipment List'!$B$2:$B$2038,MATCH(E542,'[12]Equipment List'!$A$2:$A$2038,0)),"")</f>
        <v/>
      </c>
      <c r="E542" s="388"/>
      <c r="F542" s="374"/>
      <c r="G542" s="375"/>
      <c r="H542" s="397"/>
      <c r="I542" s="377"/>
      <c r="J542" s="378"/>
      <c r="K542" s="379"/>
      <c r="L542" s="387"/>
      <c r="M542" s="380" t="str">
        <f t="array" ref="M542">IF(L542="","",(MAX(IF(AN$15:AN$144=B542,AO$15:AO$144))/60))</f>
        <v/>
      </c>
      <c r="N542" s="387"/>
      <c r="O542" s="387"/>
      <c r="P542" s="381" t="str">
        <f t="shared" si="33"/>
        <v/>
      </c>
      <c r="Q542" s="382" t="str">
        <f t="array" ref="Q542">IFERROR(INDEX($D$13:$D$1000,MATCH(0,COUNTIF($Q$13:Q541,$D$13:$D$1000&amp;"")+IF($D$13:$D$1000="",1,0),0)),"")</f>
        <v/>
      </c>
      <c r="R542" s="356" t="str">
        <f t="shared" si="34"/>
        <v/>
      </c>
      <c r="S542" s="383" t="str">
        <f t="shared" si="32"/>
        <v/>
      </c>
      <c r="T542" s="384" t="str">
        <f t="shared" si="35"/>
        <v/>
      </c>
      <c r="U542" s="349"/>
      <c r="V542" s="385"/>
      <c r="W542" s="385"/>
      <c r="X542" s="386"/>
    </row>
    <row r="543" spans="2:24">
      <c r="B543" s="395"/>
      <c r="C543" s="371"/>
      <c r="D543" s="372" t="str">
        <f>IFERROR(INDEX('[12]Equipment List'!$B$2:$B$2038,MATCH(E543,'[12]Equipment List'!$A$2:$A$2038,0)),"")</f>
        <v/>
      </c>
      <c r="E543" s="388"/>
      <c r="F543" s="374"/>
      <c r="G543" s="375"/>
      <c r="H543" s="397"/>
      <c r="I543" s="377"/>
      <c r="J543" s="378"/>
      <c r="K543" s="379"/>
      <c r="L543" s="387"/>
      <c r="M543" s="380" t="str">
        <f t="array" ref="M543">IF(L543="","",(MAX(IF(AN$15:AN$144=B543,AO$15:AO$144))/60))</f>
        <v/>
      </c>
      <c r="N543" s="387"/>
      <c r="O543" s="387"/>
      <c r="P543" s="381" t="str">
        <f t="shared" si="33"/>
        <v/>
      </c>
      <c r="Q543" s="382" t="str">
        <f t="array" ref="Q543">IFERROR(INDEX($D$13:$D$1000,MATCH(0,COUNTIF($Q$13:Q542,$D$13:$D$1000&amp;"")+IF($D$13:$D$1000="",1,0),0)),"")</f>
        <v/>
      </c>
      <c r="R543" s="356" t="str">
        <f t="shared" si="34"/>
        <v/>
      </c>
      <c r="S543" s="383" t="str">
        <f t="shared" si="32"/>
        <v/>
      </c>
      <c r="T543" s="384" t="str">
        <f t="shared" si="35"/>
        <v/>
      </c>
      <c r="U543" s="349"/>
      <c r="V543" s="385"/>
      <c r="W543" s="385"/>
      <c r="X543" s="386"/>
    </row>
    <row r="544" spans="2:24">
      <c r="B544" s="395"/>
      <c r="C544" s="371"/>
      <c r="D544" s="372" t="str">
        <f>IFERROR(INDEX('[12]Equipment List'!$B$2:$B$2038,MATCH(E544,'[12]Equipment List'!$A$2:$A$2038,0)),"")</f>
        <v/>
      </c>
      <c r="E544" s="388"/>
      <c r="F544" s="374"/>
      <c r="G544" s="375"/>
      <c r="H544" s="397"/>
      <c r="I544" s="377"/>
      <c r="J544" s="378"/>
      <c r="K544" s="379"/>
      <c r="L544" s="387"/>
      <c r="M544" s="380" t="str">
        <f t="array" ref="M544">IF(L544="","",(MAX(IF(AN$15:AN$144=B544,AO$15:AO$144))/60))</f>
        <v/>
      </c>
      <c r="N544" s="387"/>
      <c r="O544" s="387"/>
      <c r="P544" s="381" t="str">
        <f t="shared" si="33"/>
        <v/>
      </c>
      <c r="Q544" s="382" t="str">
        <f t="array" ref="Q544">IFERROR(INDEX($D$13:$D$1000,MATCH(0,COUNTIF($Q$13:Q543,$D$13:$D$1000&amp;"")+IF($D$13:$D$1000="",1,0),0)),"")</f>
        <v/>
      </c>
      <c r="R544" s="356" t="str">
        <f t="shared" si="34"/>
        <v/>
      </c>
      <c r="S544" s="383" t="str">
        <f t="shared" si="32"/>
        <v/>
      </c>
      <c r="T544" s="384" t="str">
        <f t="shared" si="35"/>
        <v/>
      </c>
      <c r="U544" s="349"/>
      <c r="V544" s="385"/>
      <c r="W544" s="385"/>
      <c r="X544" s="386"/>
    </row>
    <row r="545" spans="2:24">
      <c r="B545" s="395"/>
      <c r="C545" s="371"/>
      <c r="D545" s="372" t="str">
        <f>IFERROR(INDEX('[12]Equipment List'!$B$2:$B$2038,MATCH(E545,'[12]Equipment List'!$A$2:$A$2038,0)),"")</f>
        <v/>
      </c>
      <c r="E545" s="388"/>
      <c r="F545" s="374"/>
      <c r="G545" s="375"/>
      <c r="H545" s="397"/>
      <c r="I545" s="377"/>
      <c r="J545" s="378"/>
      <c r="K545" s="379"/>
      <c r="L545" s="387"/>
      <c r="M545" s="380" t="str">
        <f t="array" ref="M545">IF(L545="","",(MAX(IF(AN$15:AN$144=B545,AO$15:AO$144))/60))</f>
        <v/>
      </c>
      <c r="N545" s="387"/>
      <c r="O545" s="387"/>
      <c r="P545" s="381" t="str">
        <f t="shared" si="33"/>
        <v/>
      </c>
      <c r="Q545" s="382" t="str">
        <f t="array" ref="Q545">IFERROR(INDEX($D$13:$D$1000,MATCH(0,COUNTIF($Q$13:Q544,$D$13:$D$1000&amp;"")+IF($D$13:$D$1000="",1,0),0)),"")</f>
        <v/>
      </c>
      <c r="R545" s="356" t="str">
        <f t="shared" si="34"/>
        <v/>
      </c>
      <c r="S545" s="383" t="str">
        <f t="shared" si="32"/>
        <v/>
      </c>
      <c r="T545" s="384" t="str">
        <f t="shared" si="35"/>
        <v/>
      </c>
      <c r="U545" s="349"/>
      <c r="V545" s="385"/>
      <c r="W545" s="385"/>
      <c r="X545" s="386"/>
    </row>
    <row r="546" spans="2:24">
      <c r="B546" s="395"/>
      <c r="C546" s="371"/>
      <c r="D546" s="372" t="str">
        <f>IFERROR(INDEX('[12]Equipment List'!$B$2:$B$2038,MATCH(E546,'[12]Equipment List'!$A$2:$A$2038,0)),"")</f>
        <v/>
      </c>
      <c r="E546" s="388"/>
      <c r="F546" s="374"/>
      <c r="G546" s="375"/>
      <c r="H546" s="397"/>
      <c r="I546" s="377"/>
      <c r="J546" s="378"/>
      <c r="K546" s="379"/>
      <c r="L546" s="387"/>
      <c r="M546" s="380" t="str">
        <f t="array" ref="M546">IF(L546="","",(MAX(IF(AN$15:AN$144=B546,AO$15:AO$144))/60))</f>
        <v/>
      </c>
      <c r="N546" s="387"/>
      <c r="O546" s="387"/>
      <c r="P546" s="381" t="str">
        <f t="shared" si="33"/>
        <v/>
      </c>
      <c r="Q546" s="382" t="str">
        <f t="array" ref="Q546">IFERROR(INDEX($D$13:$D$1000,MATCH(0,COUNTIF($Q$13:Q545,$D$13:$D$1000&amp;"")+IF($D$13:$D$1000="",1,0),0)),"")</f>
        <v/>
      </c>
      <c r="R546" s="356" t="str">
        <f t="shared" si="34"/>
        <v/>
      </c>
      <c r="S546" s="383" t="str">
        <f t="shared" si="32"/>
        <v/>
      </c>
      <c r="T546" s="384" t="str">
        <f t="shared" si="35"/>
        <v/>
      </c>
      <c r="U546" s="349"/>
      <c r="V546" s="385"/>
      <c r="W546" s="385"/>
      <c r="X546" s="386"/>
    </row>
    <row r="547" spans="2:24">
      <c r="B547" s="395"/>
      <c r="C547" s="371"/>
      <c r="D547" s="372" t="str">
        <f>IFERROR(INDEX('[12]Equipment List'!$B$2:$B$2038,MATCH(E547,'[12]Equipment List'!$A$2:$A$2038,0)),"")</f>
        <v/>
      </c>
      <c r="E547" s="388"/>
      <c r="F547" s="374"/>
      <c r="G547" s="375"/>
      <c r="H547" s="397"/>
      <c r="I547" s="377"/>
      <c r="J547" s="378"/>
      <c r="K547" s="379"/>
      <c r="L547" s="387"/>
      <c r="M547" s="380" t="str">
        <f t="array" ref="M547">IF(L547="","",(MAX(IF(AN$15:AN$144=B547,AO$15:AO$144))/60))</f>
        <v/>
      </c>
      <c r="N547" s="387"/>
      <c r="O547" s="387"/>
      <c r="P547" s="381" t="str">
        <f t="shared" si="33"/>
        <v/>
      </c>
      <c r="Q547" s="382" t="str">
        <f t="array" ref="Q547">IFERROR(INDEX($D$13:$D$1000,MATCH(0,COUNTIF($Q$13:Q546,$D$13:$D$1000&amp;"")+IF($D$13:$D$1000="",1,0),0)),"")</f>
        <v/>
      </c>
      <c r="R547" s="356" t="str">
        <f t="shared" si="34"/>
        <v/>
      </c>
      <c r="S547" s="383" t="str">
        <f t="shared" si="32"/>
        <v/>
      </c>
      <c r="T547" s="384" t="str">
        <f t="shared" si="35"/>
        <v/>
      </c>
      <c r="U547" s="349"/>
      <c r="V547" s="385"/>
      <c r="W547" s="385"/>
      <c r="X547" s="386"/>
    </row>
    <row r="548" spans="2:24">
      <c r="B548" s="395"/>
      <c r="C548" s="371"/>
      <c r="D548" s="372" t="str">
        <f>IFERROR(INDEX('[12]Equipment List'!$B$2:$B$2038,MATCH(E548,'[12]Equipment List'!$A$2:$A$2038,0)),"")</f>
        <v/>
      </c>
      <c r="E548" s="388"/>
      <c r="F548" s="374"/>
      <c r="G548" s="375"/>
      <c r="H548" s="397"/>
      <c r="I548" s="377"/>
      <c r="J548" s="378"/>
      <c r="K548" s="379"/>
      <c r="L548" s="387"/>
      <c r="M548" s="380" t="str">
        <f t="array" ref="M548">IF(L548="","",(MAX(IF(AN$15:AN$144=B548,AO$15:AO$144))/60))</f>
        <v/>
      </c>
      <c r="N548" s="387"/>
      <c r="O548" s="387"/>
      <c r="P548" s="381" t="str">
        <f t="shared" si="33"/>
        <v/>
      </c>
      <c r="Q548" s="382" t="str">
        <f t="array" ref="Q548">IFERROR(INDEX($D$13:$D$1000,MATCH(0,COUNTIF($Q$13:Q547,$D$13:$D$1000&amp;"")+IF($D$13:$D$1000="",1,0),0)),"")</f>
        <v/>
      </c>
      <c r="R548" s="356" t="str">
        <f t="shared" si="34"/>
        <v/>
      </c>
      <c r="S548" s="383" t="str">
        <f t="shared" si="32"/>
        <v/>
      </c>
      <c r="T548" s="384" t="str">
        <f t="shared" si="35"/>
        <v/>
      </c>
      <c r="U548" s="349"/>
      <c r="V548" s="385"/>
      <c r="W548" s="385"/>
      <c r="X548" s="386"/>
    </row>
    <row r="549" spans="2:24">
      <c r="B549" s="395"/>
      <c r="C549" s="371"/>
      <c r="D549" s="372" t="str">
        <f>IFERROR(INDEX('[12]Equipment List'!$B$2:$B$2038,MATCH(E549,'[12]Equipment List'!$A$2:$A$2038,0)),"")</f>
        <v/>
      </c>
      <c r="E549" s="388"/>
      <c r="F549" s="374"/>
      <c r="G549" s="375"/>
      <c r="H549" s="397"/>
      <c r="I549" s="377"/>
      <c r="J549" s="378"/>
      <c r="K549" s="379"/>
      <c r="L549" s="387"/>
      <c r="M549" s="380" t="str">
        <f t="array" ref="M549">IF(L549="","",(MAX(IF(AN$15:AN$144=B549,AO$15:AO$144))/60))</f>
        <v/>
      </c>
      <c r="N549" s="387"/>
      <c r="O549" s="387"/>
      <c r="P549" s="381" t="str">
        <f t="shared" si="33"/>
        <v/>
      </c>
      <c r="Q549" s="382" t="str">
        <f t="array" ref="Q549">IFERROR(INDEX($D$13:$D$1000,MATCH(0,COUNTIF($Q$13:Q548,$D$13:$D$1000&amp;"")+IF($D$13:$D$1000="",1,0),0)),"")</f>
        <v/>
      </c>
      <c r="R549" s="356" t="str">
        <f t="shared" si="34"/>
        <v/>
      </c>
      <c r="S549" s="383" t="str">
        <f t="shared" si="32"/>
        <v/>
      </c>
      <c r="T549" s="384" t="str">
        <f t="shared" si="35"/>
        <v/>
      </c>
      <c r="U549" s="349"/>
      <c r="V549" s="385"/>
      <c r="W549" s="385"/>
      <c r="X549" s="386"/>
    </row>
    <row r="550" spans="2:24">
      <c r="B550" s="395"/>
      <c r="C550" s="371"/>
      <c r="D550" s="372" t="str">
        <f>IFERROR(INDEX('[12]Equipment List'!$B$2:$B$2038,MATCH(E550,'[12]Equipment List'!$A$2:$A$2038,0)),"")</f>
        <v/>
      </c>
      <c r="E550" s="388"/>
      <c r="F550" s="374"/>
      <c r="G550" s="375"/>
      <c r="H550" s="397"/>
      <c r="I550" s="377"/>
      <c r="J550" s="378"/>
      <c r="K550" s="379"/>
      <c r="L550" s="387"/>
      <c r="M550" s="380" t="str">
        <f t="array" ref="M550">IF(L550="","",(MAX(IF(AN$15:AN$144=B550,AO$15:AO$144))/60))</f>
        <v/>
      </c>
      <c r="N550" s="387"/>
      <c r="O550" s="387"/>
      <c r="P550" s="381" t="str">
        <f t="shared" si="33"/>
        <v/>
      </c>
      <c r="Q550" s="382" t="str">
        <f t="array" ref="Q550">IFERROR(INDEX($D$13:$D$1000,MATCH(0,COUNTIF($Q$13:Q549,$D$13:$D$1000&amp;"")+IF($D$13:$D$1000="",1,0),0)),"")</f>
        <v/>
      </c>
      <c r="R550" s="356" t="str">
        <f t="shared" si="34"/>
        <v/>
      </c>
      <c r="S550" s="383" t="str">
        <f t="shared" si="32"/>
        <v/>
      </c>
      <c r="T550" s="384" t="str">
        <f t="shared" si="35"/>
        <v/>
      </c>
      <c r="U550" s="349"/>
      <c r="V550" s="385"/>
      <c r="W550" s="385"/>
      <c r="X550" s="386"/>
    </row>
    <row r="551" spans="2:24">
      <c r="B551" s="395"/>
      <c r="C551" s="371"/>
      <c r="D551" s="372" t="str">
        <f>IFERROR(INDEX('[12]Equipment List'!$B$2:$B$2038,MATCH(E551,'[12]Equipment List'!$A$2:$A$2038,0)),"")</f>
        <v/>
      </c>
      <c r="E551" s="388"/>
      <c r="F551" s="374"/>
      <c r="G551" s="375"/>
      <c r="H551" s="397"/>
      <c r="I551" s="377"/>
      <c r="J551" s="378"/>
      <c r="K551" s="379"/>
      <c r="L551" s="387"/>
      <c r="M551" s="380" t="str">
        <f t="array" ref="M551">IF(L551="","",(MAX(IF(AN$15:AN$144=B551,AO$15:AO$144))/60))</f>
        <v/>
      </c>
      <c r="N551" s="387"/>
      <c r="O551" s="387"/>
      <c r="P551" s="381" t="str">
        <f t="shared" si="33"/>
        <v/>
      </c>
      <c r="Q551" s="382" t="str">
        <f t="array" ref="Q551">IFERROR(INDEX($D$13:$D$1000,MATCH(0,COUNTIF($Q$13:Q550,$D$13:$D$1000&amp;"")+IF($D$13:$D$1000="",1,0),0)),"")</f>
        <v/>
      </c>
      <c r="R551" s="356" t="str">
        <f t="shared" si="34"/>
        <v/>
      </c>
      <c r="S551" s="383" t="str">
        <f t="shared" si="32"/>
        <v/>
      </c>
      <c r="T551" s="384" t="str">
        <f t="shared" si="35"/>
        <v/>
      </c>
      <c r="U551" s="349"/>
      <c r="V551" s="385"/>
      <c r="W551" s="385"/>
      <c r="X551" s="386"/>
    </row>
    <row r="552" spans="2:24">
      <c r="B552" s="395"/>
      <c r="C552" s="371"/>
      <c r="D552" s="372" t="str">
        <f>IFERROR(INDEX('[12]Equipment List'!$B$2:$B$2038,MATCH(E552,'[12]Equipment List'!$A$2:$A$2038,0)),"")</f>
        <v/>
      </c>
      <c r="E552" s="388"/>
      <c r="F552" s="374"/>
      <c r="G552" s="375"/>
      <c r="H552" s="397"/>
      <c r="I552" s="377"/>
      <c r="J552" s="378"/>
      <c r="K552" s="379"/>
      <c r="L552" s="387"/>
      <c r="M552" s="380" t="str">
        <f t="array" ref="M552">IF(L552="","",(MAX(IF(AN$15:AN$144=B552,AO$15:AO$144))/60))</f>
        <v/>
      </c>
      <c r="N552" s="387"/>
      <c r="O552" s="387"/>
      <c r="P552" s="381" t="str">
        <f t="shared" si="33"/>
        <v/>
      </c>
      <c r="Q552" s="382" t="str">
        <f t="array" ref="Q552">IFERROR(INDEX($D$13:$D$1000,MATCH(0,COUNTIF($Q$13:Q551,$D$13:$D$1000&amp;"")+IF($D$13:$D$1000="",1,0),0)),"")</f>
        <v/>
      </c>
      <c r="R552" s="356" t="str">
        <f t="shared" si="34"/>
        <v/>
      </c>
      <c r="S552" s="383" t="str">
        <f t="shared" si="32"/>
        <v/>
      </c>
      <c r="T552" s="384" t="str">
        <f t="shared" si="35"/>
        <v/>
      </c>
      <c r="U552" s="349"/>
      <c r="V552" s="385"/>
      <c r="W552" s="385"/>
      <c r="X552" s="386"/>
    </row>
    <row r="553" spans="2:24">
      <c r="B553" s="395"/>
      <c r="C553" s="371"/>
      <c r="D553" s="372" t="str">
        <f>IFERROR(INDEX('[12]Equipment List'!$B$2:$B$2038,MATCH(E553,'[12]Equipment List'!$A$2:$A$2038,0)),"")</f>
        <v/>
      </c>
      <c r="E553" s="388"/>
      <c r="F553" s="374"/>
      <c r="G553" s="375"/>
      <c r="H553" s="397"/>
      <c r="I553" s="377"/>
      <c r="J553" s="378"/>
      <c r="K553" s="379"/>
      <c r="L553" s="387"/>
      <c r="M553" s="380" t="str">
        <f t="array" ref="M553">IF(L553="","",(MAX(IF(AN$15:AN$144=B553,AO$15:AO$144))/60))</f>
        <v/>
      </c>
      <c r="N553" s="387"/>
      <c r="O553" s="387"/>
      <c r="P553" s="381" t="str">
        <f t="shared" si="33"/>
        <v/>
      </c>
      <c r="Q553" s="382" t="str">
        <f t="array" ref="Q553">IFERROR(INDEX($D$13:$D$1000,MATCH(0,COUNTIF($Q$13:Q552,$D$13:$D$1000&amp;"")+IF($D$13:$D$1000="",1,0),0)),"")</f>
        <v/>
      </c>
      <c r="R553" s="356" t="str">
        <f t="shared" si="34"/>
        <v/>
      </c>
      <c r="S553" s="383" t="str">
        <f t="shared" si="32"/>
        <v/>
      </c>
      <c r="T553" s="384" t="str">
        <f t="shared" si="35"/>
        <v/>
      </c>
      <c r="U553" s="349"/>
      <c r="V553" s="385"/>
      <c r="W553" s="385"/>
      <c r="X553" s="386"/>
    </row>
    <row r="554" spans="2:24">
      <c r="B554" s="395"/>
      <c r="C554" s="371"/>
      <c r="D554" s="372" t="str">
        <f>IFERROR(INDEX('[12]Equipment List'!$B$2:$B$2038,MATCH(E554,'[12]Equipment List'!$A$2:$A$2038,0)),"")</f>
        <v/>
      </c>
      <c r="E554" s="388"/>
      <c r="F554" s="374"/>
      <c r="G554" s="375"/>
      <c r="H554" s="397"/>
      <c r="I554" s="377"/>
      <c r="J554" s="378"/>
      <c r="K554" s="379"/>
      <c r="L554" s="387"/>
      <c r="M554" s="380" t="str">
        <f t="array" ref="M554">IF(L554="","",(MAX(IF(AN$15:AN$144=B554,AO$15:AO$144))/60))</f>
        <v/>
      </c>
      <c r="N554" s="387"/>
      <c r="O554" s="387"/>
      <c r="P554" s="381" t="str">
        <f t="shared" si="33"/>
        <v/>
      </c>
      <c r="Q554" s="382" t="str">
        <f t="array" ref="Q554">IFERROR(INDEX($D$13:$D$1000,MATCH(0,COUNTIF($Q$13:Q553,$D$13:$D$1000&amp;"")+IF($D$13:$D$1000="",1,0),0)),"")</f>
        <v/>
      </c>
      <c r="R554" s="356" t="str">
        <f t="shared" si="34"/>
        <v/>
      </c>
      <c r="S554" s="383" t="str">
        <f t="shared" si="32"/>
        <v/>
      </c>
      <c r="T554" s="384" t="str">
        <f t="shared" si="35"/>
        <v/>
      </c>
      <c r="U554" s="349"/>
      <c r="V554" s="385"/>
      <c r="W554" s="385"/>
      <c r="X554" s="386"/>
    </row>
    <row r="555" spans="2:24">
      <c r="B555" s="395"/>
      <c r="C555" s="371"/>
      <c r="D555" s="372" t="str">
        <f>IFERROR(INDEX('[12]Equipment List'!$B$2:$B$2038,MATCH(E555,'[12]Equipment List'!$A$2:$A$2038,0)),"")</f>
        <v/>
      </c>
      <c r="E555" s="388"/>
      <c r="F555" s="374"/>
      <c r="G555" s="375"/>
      <c r="H555" s="397"/>
      <c r="I555" s="377"/>
      <c r="J555" s="378"/>
      <c r="K555" s="379"/>
      <c r="L555" s="387"/>
      <c r="M555" s="380" t="str">
        <f t="array" ref="M555">IF(L555="","",(MAX(IF(AN$15:AN$144=B555,AO$15:AO$144))/60))</f>
        <v/>
      </c>
      <c r="N555" s="387"/>
      <c r="O555" s="387"/>
      <c r="P555" s="381" t="str">
        <f t="shared" si="33"/>
        <v/>
      </c>
      <c r="Q555" s="382" t="str">
        <f t="array" ref="Q555">IFERROR(INDEX($D$13:$D$1000,MATCH(0,COUNTIF($Q$13:Q554,$D$13:$D$1000&amp;"")+IF($D$13:$D$1000="",1,0),0)),"")</f>
        <v/>
      </c>
      <c r="R555" s="356" t="str">
        <f t="shared" si="34"/>
        <v/>
      </c>
      <c r="S555" s="383" t="str">
        <f t="shared" ref="S555:S618" si="36">IF($Q555="","",SUMIF($D$13:$D$1000,$Q555,I$13:I$1000))</f>
        <v/>
      </c>
      <c r="T555" s="384" t="str">
        <f t="shared" si="35"/>
        <v/>
      </c>
      <c r="U555" s="349"/>
      <c r="V555" s="385"/>
      <c r="W555" s="385"/>
      <c r="X555" s="386"/>
    </row>
    <row r="556" spans="2:24">
      <c r="B556" s="395"/>
      <c r="C556" s="371"/>
      <c r="D556" s="372" t="str">
        <f>IFERROR(INDEX('[12]Equipment List'!$B$2:$B$2038,MATCH(E556,'[12]Equipment List'!$A$2:$A$2038,0)),"")</f>
        <v/>
      </c>
      <c r="E556" s="388"/>
      <c r="F556" s="374"/>
      <c r="G556" s="375"/>
      <c r="H556" s="397"/>
      <c r="I556" s="377"/>
      <c r="J556" s="378"/>
      <c r="K556" s="379"/>
      <c r="L556" s="387"/>
      <c r="M556" s="380" t="str">
        <f t="array" ref="M556">IF(L556="","",(MAX(IF(AN$15:AN$144=B556,AO$15:AO$144))/60))</f>
        <v/>
      </c>
      <c r="N556" s="387"/>
      <c r="O556" s="387"/>
      <c r="P556" s="381" t="str">
        <f t="shared" si="33"/>
        <v/>
      </c>
      <c r="Q556" s="382" t="str">
        <f t="array" ref="Q556">IFERROR(INDEX($D$13:$D$1000,MATCH(0,COUNTIF($Q$13:Q555,$D$13:$D$1000&amp;"")+IF($D$13:$D$1000="",1,0),0)),"")</f>
        <v/>
      </c>
      <c r="R556" s="356" t="str">
        <f t="shared" si="34"/>
        <v/>
      </c>
      <c r="S556" s="383" t="str">
        <f t="shared" si="36"/>
        <v/>
      </c>
      <c r="T556" s="384" t="str">
        <f t="shared" si="35"/>
        <v/>
      </c>
      <c r="U556" s="349"/>
      <c r="V556" s="385"/>
      <c r="W556" s="385"/>
      <c r="X556" s="386"/>
    </row>
    <row r="557" spans="2:24">
      <c r="B557" s="395"/>
      <c r="C557" s="371"/>
      <c r="D557" s="372" t="str">
        <f>IFERROR(INDEX('[12]Equipment List'!$B$2:$B$2038,MATCH(E557,'[12]Equipment List'!$A$2:$A$2038,0)),"")</f>
        <v/>
      </c>
      <c r="E557" s="388"/>
      <c r="F557" s="374"/>
      <c r="G557" s="375"/>
      <c r="H557" s="397"/>
      <c r="I557" s="377"/>
      <c r="J557" s="378"/>
      <c r="K557" s="379"/>
      <c r="L557" s="387"/>
      <c r="M557" s="380" t="str">
        <f t="array" ref="M557">IF(L557="","",(MAX(IF(AN$15:AN$144=B557,AO$15:AO$144))/60))</f>
        <v/>
      </c>
      <c r="N557" s="387"/>
      <c r="O557" s="387"/>
      <c r="P557" s="381" t="str">
        <f t="shared" si="33"/>
        <v/>
      </c>
      <c r="Q557" s="382" t="str">
        <f t="array" ref="Q557">IFERROR(INDEX($D$13:$D$1000,MATCH(0,COUNTIF($Q$13:Q556,$D$13:$D$1000&amp;"")+IF($D$13:$D$1000="",1,0),0)),"")</f>
        <v/>
      </c>
      <c r="R557" s="356" t="str">
        <f t="shared" si="34"/>
        <v/>
      </c>
      <c r="S557" s="383" t="str">
        <f t="shared" si="36"/>
        <v/>
      </c>
      <c r="T557" s="384" t="str">
        <f t="shared" si="35"/>
        <v/>
      </c>
      <c r="U557" s="349"/>
      <c r="V557" s="385"/>
      <c r="W557" s="385"/>
      <c r="X557" s="386"/>
    </row>
    <row r="558" spans="2:24">
      <c r="B558" s="395"/>
      <c r="C558" s="371"/>
      <c r="D558" s="372" t="str">
        <f>IFERROR(INDEX('[12]Equipment List'!$B$2:$B$2038,MATCH(E558,'[12]Equipment List'!$A$2:$A$2038,0)),"")</f>
        <v/>
      </c>
      <c r="E558" s="388"/>
      <c r="F558" s="374"/>
      <c r="G558" s="375"/>
      <c r="H558" s="397"/>
      <c r="I558" s="377"/>
      <c r="J558" s="378"/>
      <c r="K558" s="379"/>
      <c r="L558" s="387"/>
      <c r="M558" s="380" t="str">
        <f t="array" ref="M558">IF(L558="","",(MAX(IF(AN$15:AN$144=B558,AO$15:AO$144))/60))</f>
        <v/>
      </c>
      <c r="N558" s="387"/>
      <c r="O558" s="387"/>
      <c r="P558" s="381" t="str">
        <f t="shared" si="33"/>
        <v/>
      </c>
      <c r="Q558" s="382" t="str">
        <f t="array" ref="Q558">IFERROR(INDEX($D$13:$D$1000,MATCH(0,COUNTIF($Q$13:Q557,$D$13:$D$1000&amp;"")+IF($D$13:$D$1000="",1,0),0)),"")</f>
        <v/>
      </c>
      <c r="R558" s="356" t="str">
        <f t="shared" si="34"/>
        <v/>
      </c>
      <c r="S558" s="383" t="str">
        <f t="shared" si="36"/>
        <v/>
      </c>
      <c r="T558" s="384" t="str">
        <f t="shared" si="35"/>
        <v/>
      </c>
      <c r="U558" s="349"/>
      <c r="V558" s="385"/>
      <c r="W558" s="385"/>
      <c r="X558" s="386"/>
    </row>
    <row r="559" spans="2:24">
      <c r="B559" s="395"/>
      <c r="C559" s="371"/>
      <c r="D559" s="372" t="str">
        <f>IFERROR(INDEX('[12]Equipment List'!$B$2:$B$2038,MATCH(E559,'[12]Equipment List'!$A$2:$A$2038,0)),"")</f>
        <v/>
      </c>
      <c r="E559" s="388"/>
      <c r="F559" s="374"/>
      <c r="G559" s="375"/>
      <c r="H559" s="397"/>
      <c r="I559" s="377"/>
      <c r="J559" s="378"/>
      <c r="K559" s="379"/>
      <c r="L559" s="387"/>
      <c r="M559" s="380" t="str">
        <f t="array" ref="M559">IF(L559="","",(MAX(IF(AN$15:AN$144=B559,AO$15:AO$144))/60))</f>
        <v/>
      </c>
      <c r="N559" s="387"/>
      <c r="O559" s="387"/>
      <c r="P559" s="381" t="str">
        <f t="shared" si="33"/>
        <v/>
      </c>
      <c r="Q559" s="382" t="str">
        <f t="array" ref="Q559">IFERROR(INDEX($D$13:$D$1000,MATCH(0,COUNTIF($Q$13:Q558,$D$13:$D$1000&amp;"")+IF($D$13:$D$1000="",1,0),0)),"")</f>
        <v/>
      </c>
      <c r="R559" s="356" t="str">
        <f t="shared" si="34"/>
        <v/>
      </c>
      <c r="S559" s="383" t="str">
        <f t="shared" si="36"/>
        <v/>
      </c>
      <c r="T559" s="384" t="str">
        <f t="shared" si="35"/>
        <v/>
      </c>
      <c r="U559" s="349"/>
      <c r="V559" s="385"/>
      <c r="W559" s="385"/>
      <c r="X559" s="386"/>
    </row>
    <row r="560" spans="2:24">
      <c r="B560" s="395"/>
      <c r="C560" s="371"/>
      <c r="D560" s="372" t="str">
        <f>IFERROR(INDEX('[12]Equipment List'!$B$2:$B$2038,MATCH(E560,'[12]Equipment List'!$A$2:$A$2038,0)),"")</f>
        <v/>
      </c>
      <c r="E560" s="388"/>
      <c r="F560" s="374"/>
      <c r="G560" s="375"/>
      <c r="H560" s="397"/>
      <c r="I560" s="377"/>
      <c r="J560" s="378"/>
      <c r="K560" s="379"/>
      <c r="L560" s="387"/>
      <c r="M560" s="380" t="str">
        <f t="array" ref="M560">IF(L560="","",(MAX(IF(AN$15:AN$144=B560,AO$15:AO$144))/60))</f>
        <v/>
      </c>
      <c r="N560" s="387"/>
      <c r="O560" s="387"/>
      <c r="P560" s="381" t="str">
        <f t="shared" si="33"/>
        <v/>
      </c>
      <c r="Q560" s="382" t="str">
        <f t="array" ref="Q560">IFERROR(INDEX($D$13:$D$1000,MATCH(0,COUNTIF($Q$13:Q559,$D$13:$D$1000&amp;"")+IF($D$13:$D$1000="",1,0),0)),"")</f>
        <v/>
      </c>
      <c r="R560" s="356" t="str">
        <f t="shared" si="34"/>
        <v/>
      </c>
      <c r="S560" s="383" t="str">
        <f t="shared" si="36"/>
        <v/>
      </c>
      <c r="T560" s="384" t="str">
        <f t="shared" si="35"/>
        <v/>
      </c>
      <c r="U560" s="349"/>
      <c r="V560" s="385"/>
      <c r="W560" s="385"/>
      <c r="X560" s="386"/>
    </row>
    <row r="561" spans="2:24">
      <c r="B561" s="395"/>
      <c r="C561" s="371"/>
      <c r="D561" s="372" t="str">
        <f>IFERROR(INDEX('[12]Equipment List'!$B$2:$B$2038,MATCH(E561,'[12]Equipment List'!$A$2:$A$2038,0)),"")</f>
        <v/>
      </c>
      <c r="E561" s="388"/>
      <c r="F561" s="374"/>
      <c r="G561" s="375"/>
      <c r="H561" s="397"/>
      <c r="I561" s="377"/>
      <c r="J561" s="378"/>
      <c r="K561" s="379"/>
      <c r="L561" s="387"/>
      <c r="M561" s="380" t="str">
        <f t="array" ref="M561">IF(L561="","",(MAX(IF(AN$15:AN$144=B561,AO$15:AO$144))/60))</f>
        <v/>
      </c>
      <c r="N561" s="387"/>
      <c r="O561" s="387"/>
      <c r="P561" s="381" t="str">
        <f t="shared" si="33"/>
        <v/>
      </c>
      <c r="Q561" s="382" t="str">
        <f t="array" ref="Q561">IFERROR(INDEX($D$13:$D$1000,MATCH(0,COUNTIF($Q$13:Q560,$D$13:$D$1000&amp;"")+IF($D$13:$D$1000="",1,0),0)),"")</f>
        <v/>
      </c>
      <c r="R561" s="356" t="str">
        <f t="shared" si="34"/>
        <v/>
      </c>
      <c r="S561" s="383" t="str">
        <f t="shared" si="36"/>
        <v/>
      </c>
      <c r="T561" s="384" t="str">
        <f t="shared" si="35"/>
        <v/>
      </c>
      <c r="U561" s="349"/>
      <c r="V561" s="385"/>
      <c r="W561" s="385"/>
      <c r="X561" s="386"/>
    </row>
    <row r="562" spans="2:24">
      <c r="B562" s="395"/>
      <c r="C562" s="371"/>
      <c r="D562" s="372" t="str">
        <f>IFERROR(INDEX('[12]Equipment List'!$B$2:$B$2038,MATCH(E562,'[12]Equipment List'!$A$2:$A$2038,0)),"")</f>
        <v/>
      </c>
      <c r="E562" s="388"/>
      <c r="F562" s="374"/>
      <c r="G562" s="375"/>
      <c r="H562" s="397"/>
      <c r="I562" s="377"/>
      <c r="J562" s="378"/>
      <c r="K562" s="379"/>
      <c r="L562" s="387"/>
      <c r="M562" s="380" t="str">
        <f t="array" ref="M562">IF(L562="","",(MAX(IF(AN$15:AN$144=B562,AO$15:AO$144))/60))</f>
        <v/>
      </c>
      <c r="N562" s="387"/>
      <c r="O562" s="387"/>
      <c r="P562" s="381" t="str">
        <f t="shared" si="33"/>
        <v/>
      </c>
      <c r="Q562" s="382" t="str">
        <f t="array" ref="Q562">IFERROR(INDEX($D$13:$D$1000,MATCH(0,COUNTIF($Q$13:Q561,$D$13:$D$1000&amp;"")+IF($D$13:$D$1000="",1,0),0)),"")</f>
        <v/>
      </c>
      <c r="R562" s="356" t="str">
        <f t="shared" si="34"/>
        <v/>
      </c>
      <c r="S562" s="383" t="str">
        <f t="shared" si="36"/>
        <v/>
      </c>
      <c r="T562" s="384" t="str">
        <f t="shared" si="35"/>
        <v/>
      </c>
      <c r="U562" s="349"/>
      <c r="V562" s="385"/>
      <c r="W562" s="385"/>
      <c r="X562" s="386"/>
    </row>
    <row r="563" spans="2:24">
      <c r="B563" s="395"/>
      <c r="C563" s="371"/>
      <c r="D563" s="372" t="str">
        <f>IFERROR(INDEX('[12]Equipment List'!$B$2:$B$2038,MATCH(E563,'[12]Equipment List'!$A$2:$A$2038,0)),"")</f>
        <v/>
      </c>
      <c r="E563" s="388"/>
      <c r="F563" s="374"/>
      <c r="G563" s="375"/>
      <c r="H563" s="397"/>
      <c r="I563" s="377"/>
      <c r="J563" s="378"/>
      <c r="K563" s="379"/>
      <c r="L563" s="387"/>
      <c r="M563" s="380" t="str">
        <f t="array" ref="M563">IF(L563="","",(MAX(IF(AN$15:AN$144=B563,AO$15:AO$144))/60))</f>
        <v/>
      </c>
      <c r="N563" s="387"/>
      <c r="O563" s="387"/>
      <c r="P563" s="381" t="str">
        <f t="shared" si="33"/>
        <v/>
      </c>
      <c r="Q563" s="382" t="str">
        <f t="array" ref="Q563">IFERROR(INDEX($D$13:$D$1000,MATCH(0,COUNTIF($Q$13:Q562,$D$13:$D$1000&amp;"")+IF($D$13:$D$1000="",1,0),0)),"")</f>
        <v/>
      </c>
      <c r="R563" s="356" t="str">
        <f t="shared" si="34"/>
        <v/>
      </c>
      <c r="S563" s="383" t="str">
        <f t="shared" si="36"/>
        <v/>
      </c>
      <c r="T563" s="384" t="str">
        <f t="shared" si="35"/>
        <v/>
      </c>
      <c r="U563" s="349"/>
      <c r="V563" s="385"/>
      <c r="W563" s="385"/>
      <c r="X563" s="386"/>
    </row>
    <row r="564" spans="2:24">
      <c r="B564" s="395"/>
      <c r="C564" s="371"/>
      <c r="D564" s="372" t="str">
        <f>IFERROR(INDEX('[12]Equipment List'!$B$2:$B$2038,MATCH(E564,'[12]Equipment List'!$A$2:$A$2038,0)),"")</f>
        <v/>
      </c>
      <c r="E564" s="388"/>
      <c r="F564" s="374"/>
      <c r="G564" s="375"/>
      <c r="H564" s="397"/>
      <c r="I564" s="377"/>
      <c r="J564" s="378"/>
      <c r="K564" s="379"/>
      <c r="L564" s="387"/>
      <c r="M564" s="380" t="str">
        <f t="array" ref="M564">IF(L564="","",(MAX(IF(AN$15:AN$144=B564,AO$15:AO$144))/60))</f>
        <v/>
      </c>
      <c r="N564" s="387"/>
      <c r="O564" s="387"/>
      <c r="P564" s="381" t="str">
        <f t="shared" si="33"/>
        <v/>
      </c>
      <c r="Q564" s="382" t="str">
        <f t="array" ref="Q564">IFERROR(INDEX($D$13:$D$1000,MATCH(0,COUNTIF($Q$13:Q563,$D$13:$D$1000&amp;"")+IF($D$13:$D$1000="",1,0),0)),"")</f>
        <v/>
      </c>
      <c r="R564" s="356" t="str">
        <f t="shared" si="34"/>
        <v/>
      </c>
      <c r="S564" s="383" t="str">
        <f t="shared" si="36"/>
        <v/>
      </c>
      <c r="T564" s="384" t="str">
        <f t="shared" si="35"/>
        <v/>
      </c>
      <c r="U564" s="349"/>
      <c r="V564" s="385"/>
      <c r="W564" s="385"/>
      <c r="X564" s="386"/>
    </row>
    <row r="565" spans="2:24">
      <c r="B565" s="395"/>
      <c r="C565" s="371"/>
      <c r="D565" s="372" t="str">
        <f>IFERROR(INDEX('[12]Equipment List'!$B$2:$B$2038,MATCH(E565,'[12]Equipment List'!$A$2:$A$2038,0)),"")</f>
        <v/>
      </c>
      <c r="E565" s="388"/>
      <c r="F565" s="374"/>
      <c r="G565" s="375"/>
      <c r="H565" s="397"/>
      <c r="I565" s="377"/>
      <c r="J565" s="378"/>
      <c r="K565" s="379"/>
      <c r="L565" s="387"/>
      <c r="M565" s="380" t="str">
        <f t="array" ref="M565">IF(L565="","",(MAX(IF(AN$15:AN$144=B565,AO$15:AO$144))/60))</f>
        <v/>
      </c>
      <c r="N565" s="387"/>
      <c r="O565" s="387"/>
      <c r="P565" s="381" t="str">
        <f t="shared" si="33"/>
        <v/>
      </c>
      <c r="Q565" s="382" t="str">
        <f t="array" ref="Q565">IFERROR(INDEX($D$13:$D$1000,MATCH(0,COUNTIF($Q$13:Q564,$D$13:$D$1000&amp;"")+IF($D$13:$D$1000="",1,0),0)),"")</f>
        <v/>
      </c>
      <c r="R565" s="356" t="str">
        <f t="shared" si="34"/>
        <v/>
      </c>
      <c r="S565" s="383" t="str">
        <f t="shared" si="36"/>
        <v/>
      </c>
      <c r="T565" s="384" t="str">
        <f t="shared" si="35"/>
        <v/>
      </c>
      <c r="U565" s="349"/>
      <c r="V565" s="385"/>
      <c r="W565" s="385"/>
      <c r="X565" s="386"/>
    </row>
    <row r="566" spans="2:24">
      <c r="B566" s="395"/>
      <c r="C566" s="371"/>
      <c r="D566" s="372" t="str">
        <f>IFERROR(INDEX('[12]Equipment List'!$B$2:$B$2038,MATCH(E566,'[12]Equipment List'!$A$2:$A$2038,0)),"")</f>
        <v/>
      </c>
      <c r="E566" s="388"/>
      <c r="F566" s="374"/>
      <c r="G566" s="375"/>
      <c r="H566" s="397"/>
      <c r="I566" s="377"/>
      <c r="J566" s="378"/>
      <c r="K566" s="379"/>
      <c r="L566" s="387"/>
      <c r="M566" s="380" t="str">
        <f t="array" ref="M566">IF(L566="","",(MAX(IF(AN$15:AN$144=B566,AO$15:AO$144))/60))</f>
        <v/>
      </c>
      <c r="N566" s="387"/>
      <c r="O566" s="387"/>
      <c r="P566" s="381" t="str">
        <f t="shared" si="33"/>
        <v/>
      </c>
      <c r="Q566" s="382" t="str">
        <f t="array" ref="Q566">IFERROR(INDEX($D$13:$D$1000,MATCH(0,COUNTIF($Q$13:Q565,$D$13:$D$1000&amp;"")+IF($D$13:$D$1000="",1,0),0)),"")</f>
        <v/>
      </c>
      <c r="R566" s="356" t="str">
        <f t="shared" si="34"/>
        <v/>
      </c>
      <c r="S566" s="383" t="str">
        <f t="shared" si="36"/>
        <v/>
      </c>
      <c r="T566" s="384" t="str">
        <f t="shared" si="35"/>
        <v/>
      </c>
      <c r="U566" s="349"/>
      <c r="V566" s="385"/>
      <c r="W566" s="385"/>
      <c r="X566" s="386"/>
    </row>
    <row r="567" spans="2:24">
      <c r="B567" s="395"/>
      <c r="C567" s="371"/>
      <c r="D567" s="372" t="str">
        <f>IFERROR(INDEX('[12]Equipment List'!$B$2:$B$2038,MATCH(E567,'[12]Equipment List'!$A$2:$A$2038,0)),"")</f>
        <v/>
      </c>
      <c r="E567" s="388"/>
      <c r="F567" s="374"/>
      <c r="G567" s="375"/>
      <c r="H567" s="397"/>
      <c r="I567" s="377"/>
      <c r="J567" s="378"/>
      <c r="K567" s="379"/>
      <c r="L567" s="387"/>
      <c r="M567" s="380" t="str">
        <f t="array" ref="M567">IF(L567="","",(MAX(IF(AN$15:AN$144=B567,AO$15:AO$144))/60))</f>
        <v/>
      </c>
      <c r="N567" s="387"/>
      <c r="O567" s="387"/>
      <c r="P567" s="381" t="str">
        <f t="shared" si="33"/>
        <v/>
      </c>
      <c r="Q567" s="382" t="str">
        <f t="array" ref="Q567">IFERROR(INDEX($D$13:$D$1000,MATCH(0,COUNTIF($Q$13:Q566,$D$13:$D$1000&amp;"")+IF($D$13:$D$1000="",1,0),0)),"")</f>
        <v/>
      </c>
      <c r="R567" s="356" t="str">
        <f t="shared" si="34"/>
        <v/>
      </c>
      <c r="S567" s="383" t="str">
        <f t="shared" si="36"/>
        <v/>
      </c>
      <c r="T567" s="384" t="str">
        <f t="shared" si="35"/>
        <v/>
      </c>
      <c r="U567" s="349"/>
      <c r="V567" s="385"/>
      <c r="W567" s="385"/>
      <c r="X567" s="386"/>
    </row>
    <row r="568" spans="2:24">
      <c r="B568" s="395"/>
      <c r="C568" s="371"/>
      <c r="D568" s="372" t="str">
        <f>IFERROR(INDEX('[12]Equipment List'!$B$2:$B$2038,MATCH(E568,'[12]Equipment List'!$A$2:$A$2038,0)),"")</f>
        <v/>
      </c>
      <c r="E568" s="388"/>
      <c r="F568" s="374"/>
      <c r="G568" s="375"/>
      <c r="H568" s="397"/>
      <c r="I568" s="377"/>
      <c r="J568" s="378"/>
      <c r="K568" s="379"/>
      <c r="L568" s="387"/>
      <c r="M568" s="380" t="str">
        <f t="array" ref="M568">IF(L568="","",(MAX(IF(AN$15:AN$144=B568,AO$15:AO$144))/60))</f>
        <v/>
      </c>
      <c r="N568" s="387"/>
      <c r="O568" s="387"/>
      <c r="P568" s="381" t="str">
        <f t="shared" si="33"/>
        <v/>
      </c>
      <c r="Q568" s="382" t="str">
        <f t="array" ref="Q568">IFERROR(INDEX($D$13:$D$1000,MATCH(0,COUNTIF($Q$13:Q567,$D$13:$D$1000&amp;"")+IF($D$13:$D$1000="",1,0),0)),"")</f>
        <v/>
      </c>
      <c r="R568" s="356" t="str">
        <f t="shared" si="34"/>
        <v/>
      </c>
      <c r="S568" s="383" t="str">
        <f t="shared" si="36"/>
        <v/>
      </c>
      <c r="T568" s="384" t="str">
        <f t="shared" si="35"/>
        <v/>
      </c>
      <c r="U568" s="349"/>
      <c r="V568" s="385"/>
      <c r="W568" s="385"/>
      <c r="X568" s="386"/>
    </row>
    <row r="569" spans="2:24">
      <c r="B569" s="395"/>
      <c r="C569" s="371"/>
      <c r="D569" s="372" t="str">
        <f>IFERROR(INDEX('[12]Equipment List'!$B$2:$B$2038,MATCH(E569,'[12]Equipment List'!$A$2:$A$2038,0)),"")</f>
        <v/>
      </c>
      <c r="E569" s="388"/>
      <c r="F569" s="374"/>
      <c r="G569" s="375"/>
      <c r="H569" s="397"/>
      <c r="I569" s="377"/>
      <c r="J569" s="378"/>
      <c r="K569" s="379"/>
      <c r="L569" s="387"/>
      <c r="M569" s="380" t="str">
        <f t="array" ref="M569">IF(L569="","",(MAX(IF(AN$15:AN$144=B569,AO$15:AO$144))/60))</f>
        <v/>
      </c>
      <c r="N569" s="387"/>
      <c r="O569" s="387"/>
      <c r="P569" s="381" t="str">
        <f t="shared" si="33"/>
        <v/>
      </c>
      <c r="Q569" s="382" t="str">
        <f t="array" ref="Q569">IFERROR(INDEX($D$13:$D$1000,MATCH(0,COUNTIF($Q$13:Q568,$D$13:$D$1000&amp;"")+IF($D$13:$D$1000="",1,0),0)),"")</f>
        <v/>
      </c>
      <c r="R569" s="356" t="str">
        <f t="shared" si="34"/>
        <v/>
      </c>
      <c r="S569" s="383" t="str">
        <f t="shared" si="36"/>
        <v/>
      </c>
      <c r="T569" s="384" t="str">
        <f t="shared" si="35"/>
        <v/>
      </c>
      <c r="U569" s="349"/>
      <c r="V569" s="385"/>
      <c r="W569" s="385"/>
      <c r="X569" s="386"/>
    </row>
    <row r="570" spans="2:24">
      <c r="B570" s="395"/>
      <c r="C570" s="371"/>
      <c r="D570" s="372" t="str">
        <f>IFERROR(INDEX('[12]Equipment List'!$B$2:$B$2038,MATCH(E570,'[12]Equipment List'!$A$2:$A$2038,0)),"")</f>
        <v/>
      </c>
      <c r="E570" s="388"/>
      <c r="F570" s="374"/>
      <c r="G570" s="375"/>
      <c r="H570" s="397"/>
      <c r="I570" s="377"/>
      <c r="J570" s="378"/>
      <c r="K570" s="379"/>
      <c r="L570" s="387"/>
      <c r="M570" s="380" t="str">
        <f t="array" ref="M570">IF(L570="","",(MAX(IF(AN$15:AN$144=B570,AO$15:AO$144))/60))</f>
        <v/>
      </c>
      <c r="N570" s="387"/>
      <c r="O570" s="387"/>
      <c r="P570" s="381" t="str">
        <f t="shared" si="33"/>
        <v/>
      </c>
      <c r="Q570" s="382" t="str">
        <f t="array" ref="Q570">IFERROR(INDEX($D$13:$D$1000,MATCH(0,COUNTIF($Q$13:Q569,$D$13:$D$1000&amp;"")+IF($D$13:$D$1000="",1,0),0)),"")</f>
        <v/>
      </c>
      <c r="R570" s="356" t="str">
        <f t="shared" si="34"/>
        <v/>
      </c>
      <c r="S570" s="383" t="str">
        <f t="shared" si="36"/>
        <v/>
      </c>
      <c r="T570" s="384" t="str">
        <f t="shared" si="35"/>
        <v/>
      </c>
      <c r="U570" s="349"/>
      <c r="V570" s="385"/>
      <c r="W570" s="385"/>
      <c r="X570" s="386"/>
    </row>
    <row r="571" spans="2:24">
      <c r="B571" s="395"/>
      <c r="C571" s="371"/>
      <c r="D571" s="372" t="str">
        <f>IFERROR(INDEX('[12]Equipment List'!$B$2:$B$2038,MATCH(E571,'[12]Equipment List'!$A$2:$A$2038,0)),"")</f>
        <v/>
      </c>
      <c r="E571" s="388"/>
      <c r="F571" s="374"/>
      <c r="G571" s="375"/>
      <c r="H571" s="397"/>
      <c r="I571" s="377"/>
      <c r="J571" s="378"/>
      <c r="K571" s="379"/>
      <c r="L571" s="387"/>
      <c r="M571" s="380" t="str">
        <f t="array" ref="M571">IF(L571="","",(MAX(IF(AN$15:AN$144=B571,AO$15:AO$144))/60))</f>
        <v/>
      </c>
      <c r="N571" s="387"/>
      <c r="O571" s="387"/>
      <c r="P571" s="381" t="str">
        <f t="shared" si="33"/>
        <v/>
      </c>
      <c r="Q571" s="382" t="str">
        <f t="array" ref="Q571">IFERROR(INDEX($D$13:$D$1000,MATCH(0,COUNTIF($Q$13:Q570,$D$13:$D$1000&amp;"")+IF($D$13:$D$1000="",1,0),0)),"")</f>
        <v/>
      </c>
      <c r="R571" s="356" t="str">
        <f t="shared" si="34"/>
        <v/>
      </c>
      <c r="S571" s="383" t="str">
        <f t="shared" si="36"/>
        <v/>
      </c>
      <c r="T571" s="384" t="str">
        <f t="shared" si="35"/>
        <v/>
      </c>
      <c r="U571" s="349"/>
      <c r="V571" s="385"/>
      <c r="W571" s="385"/>
      <c r="X571" s="386"/>
    </row>
    <row r="572" spans="2:24">
      <c r="B572" s="395"/>
      <c r="C572" s="371"/>
      <c r="D572" s="372" t="str">
        <f>IFERROR(INDEX('[12]Equipment List'!$B$2:$B$2038,MATCH(E572,'[12]Equipment List'!$A$2:$A$2038,0)),"")</f>
        <v/>
      </c>
      <c r="E572" s="388"/>
      <c r="F572" s="374"/>
      <c r="G572" s="375"/>
      <c r="H572" s="397"/>
      <c r="I572" s="377"/>
      <c r="J572" s="378"/>
      <c r="K572" s="379"/>
      <c r="L572" s="387"/>
      <c r="M572" s="380" t="str">
        <f t="array" ref="M572">IF(L572="","",(MAX(IF(AN$15:AN$144=B572,AO$15:AO$144))/60))</f>
        <v/>
      </c>
      <c r="N572" s="387"/>
      <c r="O572" s="387"/>
      <c r="P572" s="381" t="str">
        <f t="shared" si="33"/>
        <v/>
      </c>
      <c r="Q572" s="382" t="str">
        <f t="array" ref="Q572">IFERROR(INDEX($D$13:$D$1000,MATCH(0,COUNTIF($Q$13:Q571,$D$13:$D$1000&amp;"")+IF($D$13:$D$1000="",1,0),0)),"")</f>
        <v/>
      </c>
      <c r="R572" s="356" t="str">
        <f t="shared" si="34"/>
        <v/>
      </c>
      <c r="S572" s="383" t="str">
        <f t="shared" si="36"/>
        <v/>
      </c>
      <c r="T572" s="384" t="str">
        <f t="shared" si="35"/>
        <v/>
      </c>
      <c r="U572" s="349"/>
      <c r="V572" s="385"/>
      <c r="W572" s="385"/>
      <c r="X572" s="386"/>
    </row>
    <row r="573" spans="2:24">
      <c r="B573" s="395"/>
      <c r="C573" s="371"/>
      <c r="D573" s="372" t="str">
        <f>IFERROR(INDEX('[12]Equipment List'!$B$2:$B$2038,MATCH(E573,'[12]Equipment List'!$A$2:$A$2038,0)),"")</f>
        <v/>
      </c>
      <c r="E573" s="388"/>
      <c r="F573" s="374"/>
      <c r="G573" s="375"/>
      <c r="H573" s="397"/>
      <c r="I573" s="377"/>
      <c r="J573" s="378"/>
      <c r="K573" s="379"/>
      <c r="L573" s="387"/>
      <c r="M573" s="380" t="str">
        <f t="array" ref="M573">IF(L573="","",(MAX(IF(AN$15:AN$144=B573,AO$15:AO$144))/60))</f>
        <v/>
      </c>
      <c r="N573" s="387"/>
      <c r="O573" s="387"/>
      <c r="P573" s="381" t="str">
        <f t="shared" si="33"/>
        <v/>
      </c>
      <c r="Q573" s="382" t="str">
        <f t="array" ref="Q573">IFERROR(INDEX($D$13:$D$1000,MATCH(0,COUNTIF($Q$13:Q572,$D$13:$D$1000&amp;"")+IF($D$13:$D$1000="",1,0),0)),"")</f>
        <v/>
      </c>
      <c r="R573" s="356" t="str">
        <f t="shared" si="34"/>
        <v/>
      </c>
      <c r="S573" s="383" t="str">
        <f t="shared" si="36"/>
        <v/>
      </c>
      <c r="T573" s="384" t="str">
        <f t="shared" si="35"/>
        <v/>
      </c>
      <c r="U573" s="349"/>
      <c r="V573" s="385"/>
      <c r="W573" s="385"/>
      <c r="X573" s="386"/>
    </row>
    <row r="574" spans="2:24">
      <c r="B574" s="395"/>
      <c r="C574" s="371"/>
      <c r="D574" s="372" t="str">
        <f>IFERROR(INDEX('[12]Equipment List'!$B$2:$B$2038,MATCH(E574,'[12]Equipment List'!$A$2:$A$2038,0)),"")</f>
        <v/>
      </c>
      <c r="E574" s="388"/>
      <c r="F574" s="374"/>
      <c r="G574" s="375"/>
      <c r="H574" s="397"/>
      <c r="I574" s="377"/>
      <c r="J574" s="378"/>
      <c r="K574" s="379"/>
      <c r="L574" s="387"/>
      <c r="M574" s="380" t="str">
        <f t="array" ref="M574">IF(L574="","",(MAX(IF(AN$15:AN$144=B574,AO$15:AO$144))/60))</f>
        <v/>
      </c>
      <c r="N574" s="387"/>
      <c r="O574" s="387"/>
      <c r="P574" s="381" t="str">
        <f t="shared" si="33"/>
        <v/>
      </c>
      <c r="Q574" s="382" t="str">
        <f t="array" ref="Q574">IFERROR(INDEX($D$13:$D$1000,MATCH(0,COUNTIF($Q$13:Q573,$D$13:$D$1000&amp;"")+IF($D$13:$D$1000="",1,0),0)),"")</f>
        <v/>
      </c>
      <c r="R574" s="356" t="str">
        <f t="shared" si="34"/>
        <v/>
      </c>
      <c r="S574" s="383" t="str">
        <f t="shared" si="36"/>
        <v/>
      </c>
      <c r="T574" s="384" t="str">
        <f t="shared" si="35"/>
        <v/>
      </c>
      <c r="U574" s="349"/>
      <c r="V574" s="385"/>
      <c r="W574" s="385"/>
      <c r="X574" s="386"/>
    </row>
    <row r="575" spans="2:24">
      <c r="B575" s="395"/>
      <c r="C575" s="371"/>
      <c r="D575" s="372" t="str">
        <f>IFERROR(INDEX('[12]Equipment List'!$B$2:$B$2038,MATCH(E575,'[12]Equipment List'!$A$2:$A$2038,0)),"")</f>
        <v/>
      </c>
      <c r="E575" s="388"/>
      <c r="F575" s="374"/>
      <c r="G575" s="375"/>
      <c r="H575" s="397"/>
      <c r="I575" s="377"/>
      <c r="J575" s="378"/>
      <c r="K575" s="379"/>
      <c r="L575" s="387"/>
      <c r="M575" s="380" t="str">
        <f t="array" ref="M575">IF(L575="","",(MAX(IF(AN$15:AN$144=B575,AO$15:AO$144))/60))</f>
        <v/>
      </c>
      <c r="N575" s="387"/>
      <c r="O575" s="387"/>
      <c r="P575" s="381" t="str">
        <f t="shared" si="33"/>
        <v/>
      </c>
      <c r="Q575" s="382" t="str">
        <f t="array" ref="Q575">IFERROR(INDEX($D$13:$D$1000,MATCH(0,COUNTIF($Q$13:Q574,$D$13:$D$1000&amp;"")+IF($D$13:$D$1000="",1,0),0)),"")</f>
        <v/>
      </c>
      <c r="R575" s="356" t="str">
        <f t="shared" si="34"/>
        <v/>
      </c>
      <c r="S575" s="383" t="str">
        <f t="shared" si="36"/>
        <v/>
      </c>
      <c r="T575" s="384" t="str">
        <f t="shared" si="35"/>
        <v/>
      </c>
      <c r="U575" s="349"/>
      <c r="V575" s="385"/>
      <c r="W575" s="385"/>
      <c r="X575" s="386"/>
    </row>
    <row r="576" spans="2:24">
      <c r="B576" s="395"/>
      <c r="C576" s="371"/>
      <c r="D576" s="372" t="str">
        <f>IFERROR(INDEX('[12]Equipment List'!$B$2:$B$2038,MATCH(E576,'[12]Equipment List'!$A$2:$A$2038,0)),"")</f>
        <v/>
      </c>
      <c r="E576" s="388"/>
      <c r="F576" s="374"/>
      <c r="G576" s="375"/>
      <c r="H576" s="397"/>
      <c r="I576" s="377"/>
      <c r="J576" s="378"/>
      <c r="K576" s="379"/>
      <c r="L576" s="387"/>
      <c r="M576" s="380" t="str">
        <f t="array" ref="M576">IF(L576="","",(MAX(IF(AN$15:AN$144=B576,AO$15:AO$144))/60))</f>
        <v/>
      </c>
      <c r="N576" s="387"/>
      <c r="O576" s="387"/>
      <c r="P576" s="381" t="str">
        <f t="shared" si="33"/>
        <v/>
      </c>
      <c r="Q576" s="382" t="str">
        <f t="array" ref="Q576">IFERROR(INDEX($D$13:$D$1000,MATCH(0,COUNTIF($Q$13:Q575,$D$13:$D$1000&amp;"")+IF($D$13:$D$1000="",1,0),0)),"")</f>
        <v/>
      </c>
      <c r="R576" s="356" t="str">
        <f t="shared" si="34"/>
        <v/>
      </c>
      <c r="S576" s="383" t="str">
        <f t="shared" si="36"/>
        <v/>
      </c>
      <c r="T576" s="384" t="str">
        <f t="shared" si="35"/>
        <v/>
      </c>
      <c r="U576" s="349"/>
      <c r="V576" s="385"/>
      <c r="W576" s="385"/>
      <c r="X576" s="386"/>
    </row>
    <row r="577" spans="2:24">
      <c r="B577" s="395"/>
      <c r="C577" s="371"/>
      <c r="D577" s="372" t="str">
        <f>IFERROR(INDEX('[12]Equipment List'!$B$2:$B$2038,MATCH(E577,'[12]Equipment List'!$A$2:$A$2038,0)),"")</f>
        <v/>
      </c>
      <c r="E577" s="388"/>
      <c r="F577" s="374"/>
      <c r="G577" s="375"/>
      <c r="H577" s="397"/>
      <c r="I577" s="377"/>
      <c r="J577" s="378"/>
      <c r="K577" s="379"/>
      <c r="L577" s="387"/>
      <c r="M577" s="380" t="str">
        <f t="array" ref="M577">IF(L577="","",(MAX(IF(AN$15:AN$144=B577,AO$15:AO$144))/60))</f>
        <v/>
      </c>
      <c r="N577" s="387"/>
      <c r="O577" s="387"/>
      <c r="P577" s="381" t="str">
        <f t="shared" si="33"/>
        <v/>
      </c>
      <c r="Q577" s="382" t="str">
        <f t="array" ref="Q577">IFERROR(INDEX($D$13:$D$1000,MATCH(0,COUNTIF($Q$13:Q576,$D$13:$D$1000&amp;"")+IF($D$13:$D$1000="",1,0),0)),"")</f>
        <v/>
      </c>
      <c r="R577" s="356" t="str">
        <f t="shared" si="34"/>
        <v/>
      </c>
      <c r="S577" s="383" t="str">
        <f t="shared" si="36"/>
        <v/>
      </c>
      <c r="T577" s="384" t="str">
        <f t="shared" si="35"/>
        <v/>
      </c>
      <c r="U577" s="349"/>
      <c r="V577" s="385"/>
      <c r="W577" s="385"/>
      <c r="X577" s="386"/>
    </row>
    <row r="578" spans="2:24">
      <c r="B578" s="395"/>
      <c r="C578" s="371"/>
      <c r="D578" s="372" t="str">
        <f>IFERROR(INDEX('[12]Equipment List'!$B$2:$B$2038,MATCH(E578,'[12]Equipment List'!$A$2:$A$2038,0)),"")</f>
        <v/>
      </c>
      <c r="E578" s="388"/>
      <c r="F578" s="374"/>
      <c r="G578" s="375"/>
      <c r="H578" s="397"/>
      <c r="I578" s="377"/>
      <c r="J578" s="378"/>
      <c r="K578" s="379"/>
      <c r="L578" s="387"/>
      <c r="M578" s="380" t="str">
        <f t="array" ref="M578">IF(L578="","",(MAX(IF(AN$15:AN$144=B578,AO$15:AO$144))/60))</f>
        <v/>
      </c>
      <c r="N578" s="387"/>
      <c r="O578" s="387"/>
      <c r="P578" s="381" t="str">
        <f t="shared" si="33"/>
        <v/>
      </c>
      <c r="Q578" s="382" t="str">
        <f t="array" ref="Q578">IFERROR(INDEX($D$13:$D$1000,MATCH(0,COUNTIF($Q$13:Q577,$D$13:$D$1000&amp;"")+IF($D$13:$D$1000="",1,0),0)),"")</f>
        <v/>
      </c>
      <c r="R578" s="356" t="str">
        <f t="shared" si="34"/>
        <v/>
      </c>
      <c r="S578" s="383" t="str">
        <f t="shared" si="36"/>
        <v/>
      </c>
      <c r="T578" s="384" t="str">
        <f t="shared" si="35"/>
        <v/>
      </c>
      <c r="U578" s="349"/>
      <c r="V578" s="385"/>
      <c r="W578" s="385"/>
      <c r="X578" s="386"/>
    </row>
    <row r="579" spans="2:24">
      <c r="B579" s="395"/>
      <c r="C579" s="371"/>
      <c r="D579" s="372" t="str">
        <f>IFERROR(INDEX('[12]Equipment List'!$B$2:$B$2038,MATCH(E579,'[12]Equipment List'!$A$2:$A$2038,0)),"")</f>
        <v/>
      </c>
      <c r="E579" s="388"/>
      <c r="F579" s="374"/>
      <c r="G579" s="375"/>
      <c r="H579" s="397"/>
      <c r="I579" s="377"/>
      <c r="J579" s="378"/>
      <c r="K579" s="379"/>
      <c r="L579" s="387"/>
      <c r="M579" s="380" t="str">
        <f t="array" ref="M579">IF(L579="","",(MAX(IF(AN$15:AN$144=B579,AO$15:AO$144))/60))</f>
        <v/>
      </c>
      <c r="N579" s="387"/>
      <c r="O579" s="387"/>
      <c r="P579" s="381" t="str">
        <f t="shared" si="33"/>
        <v/>
      </c>
      <c r="Q579" s="382" t="str">
        <f t="array" ref="Q579">IFERROR(INDEX($D$13:$D$1000,MATCH(0,COUNTIF($Q$13:Q578,$D$13:$D$1000&amp;"")+IF($D$13:$D$1000="",1,0),0)),"")</f>
        <v/>
      </c>
      <c r="R579" s="356" t="str">
        <f t="shared" si="34"/>
        <v/>
      </c>
      <c r="S579" s="383" t="str">
        <f t="shared" si="36"/>
        <v/>
      </c>
      <c r="T579" s="384" t="str">
        <f t="shared" si="35"/>
        <v/>
      </c>
      <c r="U579" s="349"/>
      <c r="V579" s="385"/>
      <c r="W579" s="385"/>
      <c r="X579" s="386"/>
    </row>
    <row r="580" spans="2:24">
      <c r="B580" s="395"/>
      <c r="C580" s="371"/>
      <c r="D580" s="372" t="str">
        <f>IFERROR(INDEX('[12]Equipment List'!$B$2:$B$2038,MATCH(E580,'[12]Equipment List'!$A$2:$A$2038,0)),"")</f>
        <v/>
      </c>
      <c r="E580" s="388"/>
      <c r="F580" s="374"/>
      <c r="G580" s="375"/>
      <c r="H580" s="397"/>
      <c r="I580" s="377"/>
      <c r="J580" s="378"/>
      <c r="K580" s="379"/>
      <c r="L580" s="387"/>
      <c r="M580" s="380" t="str">
        <f t="array" ref="M580">IF(L580="","",(MAX(IF(AN$15:AN$144=B580,AO$15:AO$144))/60))</f>
        <v/>
      </c>
      <c r="N580" s="387"/>
      <c r="O580" s="387"/>
      <c r="P580" s="381" t="str">
        <f t="shared" si="33"/>
        <v/>
      </c>
      <c r="Q580" s="382" t="str">
        <f t="array" ref="Q580">IFERROR(INDEX($D$13:$D$1000,MATCH(0,COUNTIF($Q$13:Q579,$D$13:$D$1000&amp;"")+IF($D$13:$D$1000="",1,0),0)),"")</f>
        <v/>
      </c>
      <c r="R580" s="356" t="str">
        <f t="shared" si="34"/>
        <v/>
      </c>
      <c r="S580" s="383" t="str">
        <f t="shared" si="36"/>
        <v/>
      </c>
      <c r="T580" s="384" t="str">
        <f t="shared" si="35"/>
        <v/>
      </c>
      <c r="U580" s="349"/>
      <c r="V580" s="385"/>
      <c r="W580" s="385"/>
      <c r="X580" s="386"/>
    </row>
    <row r="581" spans="2:24">
      <c r="B581" s="395"/>
      <c r="C581" s="371"/>
      <c r="D581" s="372" t="str">
        <f>IFERROR(INDEX('[12]Equipment List'!$B$2:$B$2038,MATCH(E581,'[12]Equipment List'!$A$2:$A$2038,0)),"")</f>
        <v/>
      </c>
      <c r="E581" s="388"/>
      <c r="F581" s="374"/>
      <c r="G581" s="375"/>
      <c r="H581" s="397"/>
      <c r="I581" s="377"/>
      <c r="J581" s="378"/>
      <c r="K581" s="379"/>
      <c r="L581" s="387"/>
      <c r="M581" s="380" t="str">
        <f t="array" ref="M581">IF(L581="","",(MAX(IF(AN$15:AN$144=B581,AO$15:AO$144))/60))</f>
        <v/>
      </c>
      <c r="N581" s="387"/>
      <c r="O581" s="387"/>
      <c r="P581" s="381" t="str">
        <f t="shared" si="33"/>
        <v/>
      </c>
      <c r="Q581" s="382" t="str">
        <f t="array" ref="Q581">IFERROR(INDEX($D$13:$D$1000,MATCH(0,COUNTIF($Q$13:Q580,$D$13:$D$1000&amp;"")+IF($D$13:$D$1000="",1,0),0)),"")</f>
        <v/>
      </c>
      <c r="R581" s="356" t="str">
        <f t="shared" si="34"/>
        <v/>
      </c>
      <c r="S581" s="383" t="str">
        <f t="shared" si="36"/>
        <v/>
      </c>
      <c r="T581" s="384" t="str">
        <f t="shared" si="35"/>
        <v/>
      </c>
      <c r="U581" s="349"/>
      <c r="V581" s="385"/>
      <c r="W581" s="385"/>
      <c r="X581" s="386"/>
    </row>
    <row r="582" spans="2:24">
      <c r="B582" s="395"/>
      <c r="C582" s="371"/>
      <c r="D582" s="372" t="str">
        <f>IFERROR(INDEX('[12]Equipment List'!$B$2:$B$2038,MATCH(E582,'[12]Equipment List'!$A$2:$A$2038,0)),"")</f>
        <v/>
      </c>
      <c r="E582" s="388"/>
      <c r="F582" s="374"/>
      <c r="G582" s="375"/>
      <c r="H582" s="397"/>
      <c r="I582" s="377"/>
      <c r="J582" s="378"/>
      <c r="K582" s="379"/>
      <c r="L582" s="387"/>
      <c r="M582" s="380" t="str">
        <f t="array" ref="M582">IF(L582="","",(MAX(IF(AN$15:AN$144=B582,AO$15:AO$144))/60))</f>
        <v/>
      </c>
      <c r="N582" s="387"/>
      <c r="O582" s="387"/>
      <c r="P582" s="381" t="str">
        <f t="shared" si="33"/>
        <v/>
      </c>
      <c r="Q582" s="382" t="str">
        <f t="array" ref="Q582">IFERROR(INDEX($D$13:$D$1000,MATCH(0,COUNTIF($Q$13:Q581,$D$13:$D$1000&amp;"")+IF($D$13:$D$1000="",1,0),0)),"")</f>
        <v/>
      </c>
      <c r="R582" s="356" t="str">
        <f t="shared" si="34"/>
        <v/>
      </c>
      <c r="S582" s="383" t="str">
        <f t="shared" si="36"/>
        <v/>
      </c>
      <c r="T582" s="384" t="str">
        <f t="shared" si="35"/>
        <v/>
      </c>
      <c r="U582" s="349"/>
      <c r="V582" s="385"/>
      <c r="W582" s="385"/>
      <c r="X582" s="386"/>
    </row>
    <row r="583" spans="2:24">
      <c r="B583" s="395"/>
      <c r="C583" s="371"/>
      <c r="D583" s="372" t="str">
        <f>IFERROR(INDEX('[12]Equipment List'!$B$2:$B$2038,MATCH(E583,'[12]Equipment List'!$A$2:$A$2038,0)),"")</f>
        <v/>
      </c>
      <c r="E583" s="388"/>
      <c r="F583" s="374"/>
      <c r="G583" s="375"/>
      <c r="H583" s="397"/>
      <c r="I583" s="377"/>
      <c r="J583" s="378"/>
      <c r="K583" s="379"/>
      <c r="L583" s="387"/>
      <c r="M583" s="380" t="str">
        <f t="array" ref="M583">IF(L583="","",(MAX(IF(AN$15:AN$144=B583,AO$15:AO$144))/60))</f>
        <v/>
      </c>
      <c r="N583" s="387"/>
      <c r="O583" s="387"/>
      <c r="P583" s="381" t="str">
        <f t="shared" si="33"/>
        <v/>
      </c>
      <c r="Q583" s="382" t="str">
        <f t="array" ref="Q583">IFERROR(INDEX($D$13:$D$1000,MATCH(0,COUNTIF($Q$13:Q582,$D$13:$D$1000&amp;"")+IF($D$13:$D$1000="",1,0),0)),"")</f>
        <v/>
      </c>
      <c r="R583" s="356" t="str">
        <f t="shared" si="34"/>
        <v/>
      </c>
      <c r="S583" s="383" t="str">
        <f t="shared" si="36"/>
        <v/>
      </c>
      <c r="T583" s="384" t="str">
        <f t="shared" si="35"/>
        <v/>
      </c>
      <c r="U583" s="349"/>
      <c r="V583" s="385"/>
      <c r="W583" s="385"/>
      <c r="X583" s="386"/>
    </row>
    <row r="584" spans="2:24">
      <c r="B584" s="395"/>
      <c r="C584" s="371"/>
      <c r="D584" s="372" t="str">
        <f>IFERROR(INDEX('[12]Equipment List'!$B$2:$B$2038,MATCH(E584,'[12]Equipment List'!$A$2:$A$2038,0)),"")</f>
        <v/>
      </c>
      <c r="E584" s="388"/>
      <c r="F584" s="374"/>
      <c r="G584" s="375"/>
      <c r="H584" s="397"/>
      <c r="I584" s="377"/>
      <c r="J584" s="378"/>
      <c r="K584" s="379"/>
      <c r="L584" s="387"/>
      <c r="M584" s="380" t="str">
        <f t="array" ref="M584">IF(L584="","",(MAX(IF(AN$15:AN$144=B584,AO$15:AO$144))/60))</f>
        <v/>
      </c>
      <c r="N584" s="387"/>
      <c r="O584" s="387"/>
      <c r="P584" s="381" t="str">
        <f t="shared" si="33"/>
        <v/>
      </c>
      <c r="Q584" s="382" t="str">
        <f t="array" ref="Q584">IFERROR(INDEX($D$13:$D$1000,MATCH(0,COUNTIF($Q$13:Q583,$D$13:$D$1000&amp;"")+IF($D$13:$D$1000="",1,0),0)),"")</f>
        <v/>
      </c>
      <c r="R584" s="356" t="str">
        <f t="shared" si="34"/>
        <v/>
      </c>
      <c r="S584" s="383" t="str">
        <f t="shared" si="36"/>
        <v/>
      </c>
      <c r="T584" s="384" t="str">
        <f t="shared" si="35"/>
        <v/>
      </c>
      <c r="U584" s="349"/>
      <c r="V584" s="385"/>
      <c r="W584" s="385"/>
      <c r="X584" s="386"/>
    </row>
    <row r="585" spans="2:24">
      <c r="B585" s="395"/>
      <c r="C585" s="371"/>
      <c r="D585" s="372" t="str">
        <f>IFERROR(INDEX('[12]Equipment List'!$B$2:$B$2038,MATCH(E585,'[12]Equipment List'!$A$2:$A$2038,0)),"")</f>
        <v/>
      </c>
      <c r="E585" s="388"/>
      <c r="F585" s="374"/>
      <c r="G585" s="375"/>
      <c r="H585" s="397"/>
      <c r="I585" s="377"/>
      <c r="J585" s="378"/>
      <c r="K585" s="379"/>
      <c r="L585" s="387"/>
      <c r="M585" s="380" t="str">
        <f t="array" ref="M585">IF(L585="","",(MAX(IF(AN$15:AN$144=B585,AO$15:AO$144))/60))</f>
        <v/>
      </c>
      <c r="N585" s="387"/>
      <c r="O585" s="387"/>
      <c r="P585" s="381" t="str">
        <f t="shared" si="33"/>
        <v/>
      </c>
      <c r="Q585" s="382" t="str">
        <f t="array" ref="Q585">IFERROR(INDEX($D$13:$D$1000,MATCH(0,COUNTIF($Q$13:Q584,$D$13:$D$1000&amp;"")+IF($D$13:$D$1000="",1,0),0)),"")</f>
        <v/>
      </c>
      <c r="R585" s="356" t="str">
        <f t="shared" si="34"/>
        <v/>
      </c>
      <c r="S585" s="383" t="str">
        <f t="shared" si="36"/>
        <v/>
      </c>
      <c r="T585" s="384" t="str">
        <f t="shared" si="35"/>
        <v/>
      </c>
      <c r="U585" s="349"/>
      <c r="V585" s="385"/>
      <c r="W585" s="385"/>
      <c r="X585" s="386"/>
    </row>
    <row r="586" spans="2:24">
      <c r="B586" s="395"/>
      <c r="C586" s="371"/>
      <c r="D586" s="372" t="str">
        <f>IFERROR(INDEX('[12]Equipment List'!$B$2:$B$2038,MATCH(E586,'[12]Equipment List'!$A$2:$A$2038,0)),"")</f>
        <v/>
      </c>
      <c r="E586" s="388"/>
      <c r="F586" s="374"/>
      <c r="G586" s="375"/>
      <c r="H586" s="397"/>
      <c r="I586" s="377"/>
      <c r="J586" s="378"/>
      <c r="K586" s="379"/>
      <c r="L586" s="387"/>
      <c r="M586" s="380" t="str">
        <f t="array" ref="M586">IF(L586="","",(MAX(IF(AN$15:AN$144=B586,AO$15:AO$144))/60))</f>
        <v/>
      </c>
      <c r="N586" s="387"/>
      <c r="O586" s="387"/>
      <c r="P586" s="381" t="str">
        <f t="shared" si="33"/>
        <v/>
      </c>
      <c r="Q586" s="382" t="str">
        <f t="array" ref="Q586">IFERROR(INDEX($D$13:$D$1000,MATCH(0,COUNTIF($Q$13:Q585,$D$13:$D$1000&amp;"")+IF($D$13:$D$1000="",1,0),0)),"")</f>
        <v/>
      </c>
      <c r="R586" s="356" t="str">
        <f t="shared" si="34"/>
        <v/>
      </c>
      <c r="S586" s="383" t="str">
        <f t="shared" si="36"/>
        <v/>
      </c>
      <c r="T586" s="384" t="str">
        <f t="shared" si="35"/>
        <v/>
      </c>
      <c r="U586" s="349"/>
      <c r="V586" s="385"/>
      <c r="W586" s="385"/>
      <c r="X586" s="386"/>
    </row>
    <row r="587" spans="2:24">
      <c r="B587" s="395"/>
      <c r="C587" s="371"/>
      <c r="D587" s="372" t="str">
        <f>IFERROR(INDEX('[12]Equipment List'!$B$2:$B$2038,MATCH(E587,'[12]Equipment List'!$A$2:$A$2038,0)),"")</f>
        <v/>
      </c>
      <c r="E587" s="388"/>
      <c r="F587" s="374"/>
      <c r="G587" s="375"/>
      <c r="H587" s="397"/>
      <c r="I587" s="377"/>
      <c r="J587" s="378"/>
      <c r="K587" s="379"/>
      <c r="L587" s="387"/>
      <c r="M587" s="380" t="str">
        <f t="array" ref="M587">IF(L587="","",(MAX(IF(AN$15:AN$144=B587,AO$15:AO$144))/60))</f>
        <v/>
      </c>
      <c r="N587" s="387"/>
      <c r="O587" s="387"/>
      <c r="P587" s="381" t="str">
        <f t="shared" si="33"/>
        <v/>
      </c>
      <c r="Q587" s="382" t="str">
        <f t="array" ref="Q587">IFERROR(INDEX($D$13:$D$1000,MATCH(0,COUNTIF($Q$13:Q586,$D$13:$D$1000&amp;"")+IF($D$13:$D$1000="",1,0),0)),"")</f>
        <v/>
      </c>
      <c r="R587" s="356" t="str">
        <f t="shared" si="34"/>
        <v/>
      </c>
      <c r="S587" s="383" t="str">
        <f t="shared" si="36"/>
        <v/>
      </c>
      <c r="T587" s="384" t="str">
        <f t="shared" si="35"/>
        <v/>
      </c>
      <c r="U587" s="349"/>
      <c r="V587" s="385"/>
      <c r="W587" s="385"/>
      <c r="X587" s="386"/>
    </row>
    <row r="588" spans="2:24">
      <c r="B588" s="395"/>
      <c r="C588" s="371"/>
      <c r="D588" s="372" t="str">
        <f>IFERROR(INDEX('[12]Equipment List'!$B$2:$B$2038,MATCH(E588,'[12]Equipment List'!$A$2:$A$2038,0)),"")</f>
        <v/>
      </c>
      <c r="E588" s="388"/>
      <c r="F588" s="374"/>
      <c r="G588" s="375"/>
      <c r="H588" s="397"/>
      <c r="I588" s="377"/>
      <c r="J588" s="378"/>
      <c r="K588" s="379"/>
      <c r="L588" s="387"/>
      <c r="M588" s="380" t="str">
        <f t="array" ref="M588">IF(L588="","",(MAX(IF(AN$15:AN$144=B588,AO$15:AO$144))/60))</f>
        <v/>
      </c>
      <c r="N588" s="387"/>
      <c r="O588" s="387"/>
      <c r="P588" s="381" t="str">
        <f t="shared" ref="P588:P651" si="37">IFERROR((((K588/5/250/$F$8)+(N588*$F$9))/$S$4)*(M588/60),"")</f>
        <v/>
      </c>
      <c r="Q588" s="382" t="str">
        <f t="array" ref="Q588">IFERROR(INDEX($D$13:$D$1000,MATCH(0,COUNTIF($Q$13:Q587,$D$13:$D$1000&amp;"")+IF($D$13:$D$1000="",1,0),0)),"")</f>
        <v/>
      </c>
      <c r="R588" s="356" t="str">
        <f t="shared" si="34"/>
        <v/>
      </c>
      <c r="S588" s="383" t="str">
        <f t="shared" si="36"/>
        <v/>
      </c>
      <c r="T588" s="384" t="str">
        <f t="shared" si="35"/>
        <v/>
      </c>
      <c r="U588" s="349"/>
      <c r="V588" s="385"/>
      <c r="W588" s="385"/>
      <c r="X588" s="386"/>
    </row>
    <row r="589" spans="2:24">
      <c r="B589" s="395"/>
      <c r="C589" s="371"/>
      <c r="D589" s="372" t="str">
        <f>IFERROR(INDEX('[12]Equipment List'!$B$2:$B$2038,MATCH(E589,'[12]Equipment List'!$A$2:$A$2038,0)),"")</f>
        <v/>
      </c>
      <c r="E589" s="388"/>
      <c r="F589" s="374"/>
      <c r="G589" s="375"/>
      <c r="H589" s="397"/>
      <c r="I589" s="377"/>
      <c r="J589" s="378"/>
      <c r="K589" s="379"/>
      <c r="L589" s="387"/>
      <c r="M589" s="380" t="str">
        <f t="array" ref="M589">IF(L589="","",(MAX(IF(AN$15:AN$144=B589,AO$15:AO$144))/60))</f>
        <v/>
      </c>
      <c r="N589" s="387"/>
      <c r="O589" s="387"/>
      <c r="P589" s="381" t="str">
        <f t="shared" si="37"/>
        <v/>
      </c>
      <c r="Q589" s="382" t="str">
        <f t="array" ref="Q589">IFERROR(INDEX($D$13:$D$1000,MATCH(0,COUNTIF($Q$13:Q588,$D$13:$D$1000&amp;"")+IF($D$13:$D$1000="",1,0),0)),"")</f>
        <v/>
      </c>
      <c r="R589" s="356" t="str">
        <f t="shared" ref="R589:R652" si="38">IF(Q589="","",COUNTIF($D$13:$D$1000,$Q589))</f>
        <v/>
      </c>
      <c r="S589" s="383" t="str">
        <f t="shared" si="36"/>
        <v/>
      </c>
      <c r="T589" s="384" t="str">
        <f t="shared" ref="T589:T652" si="39">IF($Q589="","",SUMIF($D$13:$D$1000,$Q589,N$13:N$1000))</f>
        <v/>
      </c>
      <c r="U589" s="349"/>
      <c r="V589" s="385"/>
      <c r="W589" s="385"/>
      <c r="X589" s="386"/>
    </row>
    <row r="590" spans="2:24">
      <c r="B590" s="395"/>
      <c r="C590" s="371"/>
      <c r="D590" s="372" t="str">
        <f>IFERROR(INDEX('[12]Equipment List'!$B$2:$B$2038,MATCH(E590,'[12]Equipment List'!$A$2:$A$2038,0)),"")</f>
        <v/>
      </c>
      <c r="E590" s="388"/>
      <c r="F590" s="374"/>
      <c r="G590" s="375"/>
      <c r="H590" s="397"/>
      <c r="I590" s="377"/>
      <c r="J590" s="378"/>
      <c r="K590" s="379"/>
      <c r="L590" s="387"/>
      <c r="M590" s="380" t="str">
        <f t="array" ref="M590">IF(L590="","",(MAX(IF(AN$15:AN$144=B590,AO$15:AO$144))/60))</f>
        <v/>
      </c>
      <c r="N590" s="387"/>
      <c r="O590" s="387"/>
      <c r="P590" s="381" t="str">
        <f t="shared" si="37"/>
        <v/>
      </c>
      <c r="Q590" s="382" t="str">
        <f t="array" ref="Q590">IFERROR(INDEX($D$13:$D$1000,MATCH(0,COUNTIF($Q$13:Q589,$D$13:$D$1000&amp;"")+IF($D$13:$D$1000="",1,0),0)),"")</f>
        <v/>
      </c>
      <c r="R590" s="356" t="str">
        <f t="shared" si="38"/>
        <v/>
      </c>
      <c r="S590" s="383" t="str">
        <f t="shared" si="36"/>
        <v/>
      </c>
      <c r="T590" s="384" t="str">
        <f t="shared" si="39"/>
        <v/>
      </c>
      <c r="U590" s="349"/>
      <c r="V590" s="385"/>
      <c r="W590" s="385"/>
      <c r="X590" s="386"/>
    </row>
    <row r="591" spans="2:24">
      <c r="B591" s="395"/>
      <c r="C591" s="371"/>
      <c r="D591" s="372" t="str">
        <f>IFERROR(INDEX('[12]Equipment List'!$B$2:$B$2038,MATCH(E591,'[12]Equipment List'!$A$2:$A$2038,0)),"")</f>
        <v/>
      </c>
      <c r="E591" s="388"/>
      <c r="F591" s="374"/>
      <c r="G591" s="375"/>
      <c r="H591" s="397"/>
      <c r="I591" s="377"/>
      <c r="J591" s="378"/>
      <c r="K591" s="379"/>
      <c r="L591" s="387"/>
      <c r="M591" s="380" t="str">
        <f t="array" ref="M591">IF(L591="","",(MAX(IF(AN$15:AN$144=B591,AO$15:AO$144))/60))</f>
        <v/>
      </c>
      <c r="N591" s="387"/>
      <c r="O591" s="387"/>
      <c r="P591" s="381" t="str">
        <f t="shared" si="37"/>
        <v/>
      </c>
      <c r="Q591" s="382" t="str">
        <f t="array" ref="Q591">IFERROR(INDEX($D$13:$D$1000,MATCH(0,COUNTIF($Q$13:Q590,$D$13:$D$1000&amp;"")+IF($D$13:$D$1000="",1,0),0)),"")</f>
        <v/>
      </c>
      <c r="R591" s="356" t="str">
        <f t="shared" si="38"/>
        <v/>
      </c>
      <c r="S591" s="383" t="str">
        <f t="shared" si="36"/>
        <v/>
      </c>
      <c r="T591" s="384" t="str">
        <f t="shared" si="39"/>
        <v/>
      </c>
      <c r="U591" s="349"/>
      <c r="V591" s="385"/>
      <c r="W591" s="385"/>
      <c r="X591" s="386"/>
    </row>
    <row r="592" spans="2:24">
      <c r="B592" s="395"/>
      <c r="C592" s="371"/>
      <c r="D592" s="372" t="str">
        <f>IFERROR(INDEX('[12]Equipment List'!$B$2:$B$2038,MATCH(E592,'[12]Equipment List'!$A$2:$A$2038,0)),"")</f>
        <v/>
      </c>
      <c r="E592" s="388"/>
      <c r="F592" s="374"/>
      <c r="G592" s="375"/>
      <c r="H592" s="397"/>
      <c r="I592" s="377"/>
      <c r="J592" s="378"/>
      <c r="K592" s="379"/>
      <c r="L592" s="387"/>
      <c r="M592" s="380" t="str">
        <f t="array" ref="M592">IF(L592="","",(MAX(IF(AN$15:AN$144=B592,AO$15:AO$144))/60))</f>
        <v/>
      </c>
      <c r="N592" s="387"/>
      <c r="O592" s="387"/>
      <c r="P592" s="381" t="str">
        <f t="shared" si="37"/>
        <v/>
      </c>
      <c r="Q592" s="382" t="str">
        <f t="array" ref="Q592">IFERROR(INDEX($D$13:$D$1000,MATCH(0,COUNTIF($Q$13:Q591,$D$13:$D$1000&amp;"")+IF($D$13:$D$1000="",1,0),0)),"")</f>
        <v/>
      </c>
      <c r="R592" s="356" t="str">
        <f t="shared" si="38"/>
        <v/>
      </c>
      <c r="S592" s="383" t="str">
        <f t="shared" si="36"/>
        <v/>
      </c>
      <c r="T592" s="384" t="str">
        <f t="shared" si="39"/>
        <v/>
      </c>
      <c r="U592" s="349"/>
      <c r="V592" s="385"/>
      <c r="W592" s="385"/>
      <c r="X592" s="386"/>
    </row>
    <row r="593" spans="2:24">
      <c r="B593" s="395"/>
      <c r="C593" s="371"/>
      <c r="D593" s="372" t="str">
        <f>IFERROR(INDEX('[12]Equipment List'!$B$2:$B$2038,MATCH(E593,'[12]Equipment List'!$A$2:$A$2038,0)),"")</f>
        <v/>
      </c>
      <c r="E593" s="388"/>
      <c r="F593" s="374"/>
      <c r="G593" s="375"/>
      <c r="H593" s="397"/>
      <c r="I593" s="377"/>
      <c r="J593" s="378"/>
      <c r="K593" s="379"/>
      <c r="L593" s="387"/>
      <c r="M593" s="380" t="str">
        <f t="array" ref="M593">IF(L593="","",(MAX(IF(AN$15:AN$144=B593,AO$15:AO$144))/60))</f>
        <v/>
      </c>
      <c r="N593" s="387"/>
      <c r="O593" s="387"/>
      <c r="P593" s="381" t="str">
        <f t="shared" si="37"/>
        <v/>
      </c>
      <c r="Q593" s="382" t="str">
        <f t="array" ref="Q593">IFERROR(INDEX($D$13:$D$1000,MATCH(0,COUNTIF($Q$13:Q592,$D$13:$D$1000&amp;"")+IF($D$13:$D$1000="",1,0),0)),"")</f>
        <v/>
      </c>
      <c r="R593" s="356" t="str">
        <f t="shared" si="38"/>
        <v/>
      </c>
      <c r="S593" s="383" t="str">
        <f t="shared" si="36"/>
        <v/>
      </c>
      <c r="T593" s="384" t="str">
        <f t="shared" si="39"/>
        <v/>
      </c>
      <c r="U593" s="349"/>
      <c r="V593" s="385"/>
      <c r="W593" s="385"/>
      <c r="X593" s="386"/>
    </row>
    <row r="594" spans="2:24">
      <c r="B594" s="395"/>
      <c r="C594" s="371"/>
      <c r="D594" s="372" t="str">
        <f>IFERROR(INDEX('[12]Equipment List'!$B$2:$B$2038,MATCH(E594,'[12]Equipment List'!$A$2:$A$2038,0)),"")</f>
        <v/>
      </c>
      <c r="E594" s="388"/>
      <c r="F594" s="374"/>
      <c r="G594" s="375"/>
      <c r="H594" s="397"/>
      <c r="I594" s="377"/>
      <c r="J594" s="378"/>
      <c r="K594" s="379"/>
      <c r="L594" s="387"/>
      <c r="M594" s="380" t="str">
        <f t="array" ref="M594">IF(L594="","",(MAX(IF(AN$15:AN$144=B594,AO$15:AO$144))/60))</f>
        <v/>
      </c>
      <c r="N594" s="387"/>
      <c r="O594" s="387"/>
      <c r="P594" s="381" t="str">
        <f t="shared" si="37"/>
        <v/>
      </c>
      <c r="Q594" s="382" t="str">
        <f t="array" ref="Q594">IFERROR(INDEX($D$13:$D$1000,MATCH(0,COUNTIF($Q$13:Q593,$D$13:$D$1000&amp;"")+IF($D$13:$D$1000="",1,0),0)),"")</f>
        <v/>
      </c>
      <c r="R594" s="356" t="str">
        <f t="shared" si="38"/>
        <v/>
      </c>
      <c r="S594" s="383" t="str">
        <f t="shared" si="36"/>
        <v/>
      </c>
      <c r="T594" s="384" t="str">
        <f t="shared" si="39"/>
        <v/>
      </c>
      <c r="U594" s="349"/>
      <c r="V594" s="385"/>
      <c r="W594" s="385"/>
      <c r="X594" s="386"/>
    </row>
    <row r="595" spans="2:24">
      <c r="B595" s="395"/>
      <c r="C595" s="371"/>
      <c r="D595" s="372" t="str">
        <f>IFERROR(INDEX('[12]Equipment List'!$B$2:$B$2038,MATCH(E595,'[12]Equipment List'!$A$2:$A$2038,0)),"")</f>
        <v/>
      </c>
      <c r="E595" s="388"/>
      <c r="F595" s="374"/>
      <c r="G595" s="375"/>
      <c r="H595" s="397"/>
      <c r="I595" s="377"/>
      <c r="J595" s="378"/>
      <c r="K595" s="379"/>
      <c r="L595" s="387"/>
      <c r="M595" s="380" t="str">
        <f t="array" ref="M595">IF(L595="","",(MAX(IF(AN$15:AN$144=B595,AO$15:AO$144))/60))</f>
        <v/>
      </c>
      <c r="N595" s="387"/>
      <c r="O595" s="387"/>
      <c r="P595" s="381" t="str">
        <f t="shared" si="37"/>
        <v/>
      </c>
      <c r="Q595" s="382" t="str">
        <f t="array" ref="Q595">IFERROR(INDEX($D$13:$D$1000,MATCH(0,COUNTIF($Q$13:Q594,$D$13:$D$1000&amp;"")+IF($D$13:$D$1000="",1,0),0)),"")</f>
        <v/>
      </c>
      <c r="R595" s="356" t="str">
        <f t="shared" si="38"/>
        <v/>
      </c>
      <c r="S595" s="383" t="str">
        <f t="shared" si="36"/>
        <v/>
      </c>
      <c r="T595" s="384" t="str">
        <f t="shared" si="39"/>
        <v/>
      </c>
      <c r="U595" s="349"/>
      <c r="V595" s="385"/>
      <c r="W595" s="385"/>
      <c r="X595" s="386"/>
    </row>
    <row r="596" spans="2:24">
      <c r="B596" s="395"/>
      <c r="C596" s="371"/>
      <c r="D596" s="372" t="str">
        <f>IFERROR(INDEX('[12]Equipment List'!$B$2:$B$2038,MATCH(E596,'[12]Equipment List'!$A$2:$A$2038,0)),"")</f>
        <v/>
      </c>
      <c r="E596" s="388"/>
      <c r="F596" s="374"/>
      <c r="G596" s="375"/>
      <c r="H596" s="397"/>
      <c r="I596" s="377"/>
      <c r="J596" s="378"/>
      <c r="K596" s="379"/>
      <c r="L596" s="387"/>
      <c r="M596" s="380" t="str">
        <f t="array" ref="M596">IF(L596="","",(MAX(IF(AN$15:AN$144=B596,AO$15:AO$144))/60))</f>
        <v/>
      </c>
      <c r="N596" s="387"/>
      <c r="O596" s="387"/>
      <c r="P596" s="381" t="str">
        <f t="shared" si="37"/>
        <v/>
      </c>
      <c r="Q596" s="382" t="str">
        <f t="array" ref="Q596">IFERROR(INDEX($D$13:$D$1000,MATCH(0,COUNTIF($Q$13:Q595,$D$13:$D$1000&amp;"")+IF($D$13:$D$1000="",1,0),0)),"")</f>
        <v/>
      </c>
      <c r="R596" s="356" t="str">
        <f t="shared" si="38"/>
        <v/>
      </c>
      <c r="S596" s="383" t="str">
        <f t="shared" si="36"/>
        <v/>
      </c>
      <c r="T596" s="384" t="str">
        <f t="shared" si="39"/>
        <v/>
      </c>
      <c r="U596" s="349"/>
      <c r="V596" s="385"/>
      <c r="W596" s="385"/>
      <c r="X596" s="386"/>
    </row>
    <row r="597" spans="2:24">
      <c r="B597" s="395"/>
      <c r="C597" s="371"/>
      <c r="D597" s="372" t="str">
        <f>IFERROR(INDEX('[12]Equipment List'!$B$2:$B$2038,MATCH(E597,'[12]Equipment List'!$A$2:$A$2038,0)),"")</f>
        <v/>
      </c>
      <c r="E597" s="388"/>
      <c r="F597" s="374"/>
      <c r="G597" s="375"/>
      <c r="H597" s="397"/>
      <c r="I597" s="377"/>
      <c r="J597" s="378"/>
      <c r="K597" s="379"/>
      <c r="L597" s="387"/>
      <c r="M597" s="380" t="str">
        <f t="array" ref="M597">IF(L597="","",(MAX(IF(AN$15:AN$144=B597,AO$15:AO$144))/60))</f>
        <v/>
      </c>
      <c r="N597" s="387"/>
      <c r="O597" s="387"/>
      <c r="P597" s="381" t="str">
        <f t="shared" si="37"/>
        <v/>
      </c>
      <c r="Q597" s="382" t="str">
        <f t="array" ref="Q597">IFERROR(INDEX($D$13:$D$1000,MATCH(0,COUNTIF($Q$13:Q596,$D$13:$D$1000&amp;"")+IF($D$13:$D$1000="",1,0),0)),"")</f>
        <v/>
      </c>
      <c r="R597" s="356" t="str">
        <f t="shared" si="38"/>
        <v/>
      </c>
      <c r="S597" s="383" t="str">
        <f t="shared" si="36"/>
        <v/>
      </c>
      <c r="T597" s="384" t="str">
        <f t="shared" si="39"/>
        <v/>
      </c>
      <c r="U597" s="349"/>
      <c r="V597" s="385"/>
      <c r="W597" s="385"/>
      <c r="X597" s="386"/>
    </row>
    <row r="598" spans="2:24">
      <c r="B598" s="395"/>
      <c r="C598" s="371"/>
      <c r="D598" s="372" t="str">
        <f>IFERROR(INDEX('[12]Equipment List'!$B$2:$B$2038,MATCH(E598,'[12]Equipment List'!$A$2:$A$2038,0)),"")</f>
        <v/>
      </c>
      <c r="E598" s="388"/>
      <c r="F598" s="374"/>
      <c r="G598" s="375"/>
      <c r="H598" s="397"/>
      <c r="I598" s="377"/>
      <c r="J598" s="378"/>
      <c r="K598" s="379"/>
      <c r="L598" s="387"/>
      <c r="M598" s="380" t="str">
        <f t="array" ref="M598">IF(L598="","",(MAX(IF(AN$15:AN$144=B598,AO$15:AO$144))/60))</f>
        <v/>
      </c>
      <c r="N598" s="387"/>
      <c r="O598" s="387"/>
      <c r="P598" s="381" t="str">
        <f t="shared" si="37"/>
        <v/>
      </c>
      <c r="Q598" s="382" t="str">
        <f t="array" ref="Q598">IFERROR(INDEX($D$13:$D$1000,MATCH(0,COUNTIF($Q$13:Q597,$D$13:$D$1000&amp;"")+IF($D$13:$D$1000="",1,0),0)),"")</f>
        <v/>
      </c>
      <c r="R598" s="356" t="str">
        <f t="shared" si="38"/>
        <v/>
      </c>
      <c r="S598" s="383" t="str">
        <f t="shared" si="36"/>
        <v/>
      </c>
      <c r="T598" s="384" t="str">
        <f t="shared" si="39"/>
        <v/>
      </c>
      <c r="U598" s="349"/>
      <c r="V598" s="385"/>
      <c r="W598" s="385"/>
      <c r="X598" s="386"/>
    </row>
    <row r="599" spans="2:24">
      <c r="B599" s="395"/>
      <c r="C599" s="371"/>
      <c r="D599" s="372" t="str">
        <f>IFERROR(INDEX('[12]Equipment List'!$B$2:$B$2038,MATCH(E599,'[12]Equipment List'!$A$2:$A$2038,0)),"")</f>
        <v/>
      </c>
      <c r="E599" s="388"/>
      <c r="F599" s="374"/>
      <c r="G599" s="375"/>
      <c r="H599" s="397"/>
      <c r="I599" s="377"/>
      <c r="J599" s="378"/>
      <c r="K599" s="379"/>
      <c r="L599" s="387"/>
      <c r="M599" s="380" t="str">
        <f t="array" ref="M599">IF(L599="","",(MAX(IF(AN$15:AN$144=B599,AO$15:AO$144))/60))</f>
        <v/>
      </c>
      <c r="N599" s="387"/>
      <c r="O599" s="387"/>
      <c r="P599" s="381" t="str">
        <f t="shared" si="37"/>
        <v/>
      </c>
      <c r="Q599" s="382" t="str">
        <f t="array" ref="Q599">IFERROR(INDEX($D$13:$D$1000,MATCH(0,COUNTIF($Q$13:Q598,$D$13:$D$1000&amp;"")+IF($D$13:$D$1000="",1,0),0)),"")</f>
        <v/>
      </c>
      <c r="R599" s="356" t="str">
        <f t="shared" si="38"/>
        <v/>
      </c>
      <c r="S599" s="383" t="str">
        <f t="shared" si="36"/>
        <v/>
      </c>
      <c r="T599" s="384" t="str">
        <f t="shared" si="39"/>
        <v/>
      </c>
      <c r="U599" s="349"/>
      <c r="V599" s="385"/>
      <c r="W599" s="385"/>
      <c r="X599" s="386"/>
    </row>
    <row r="600" spans="2:24">
      <c r="B600" s="395"/>
      <c r="C600" s="371"/>
      <c r="D600" s="372" t="str">
        <f>IFERROR(INDEX('[12]Equipment List'!$B$2:$B$2038,MATCH(E600,'[12]Equipment List'!$A$2:$A$2038,0)),"")</f>
        <v/>
      </c>
      <c r="E600" s="388"/>
      <c r="F600" s="374"/>
      <c r="G600" s="375"/>
      <c r="H600" s="397"/>
      <c r="I600" s="377"/>
      <c r="J600" s="378"/>
      <c r="K600" s="379"/>
      <c r="L600" s="387"/>
      <c r="M600" s="380" t="str">
        <f t="array" ref="M600">IF(L600="","",(MAX(IF(AN$15:AN$144=B600,AO$15:AO$144))/60))</f>
        <v/>
      </c>
      <c r="N600" s="387"/>
      <c r="O600" s="387"/>
      <c r="P600" s="381" t="str">
        <f t="shared" si="37"/>
        <v/>
      </c>
      <c r="Q600" s="382" t="str">
        <f t="array" ref="Q600">IFERROR(INDEX($D$13:$D$1000,MATCH(0,COUNTIF($Q$13:Q599,$D$13:$D$1000&amp;"")+IF($D$13:$D$1000="",1,0),0)),"")</f>
        <v/>
      </c>
      <c r="R600" s="356" t="str">
        <f t="shared" si="38"/>
        <v/>
      </c>
      <c r="S600" s="383" t="str">
        <f t="shared" si="36"/>
        <v/>
      </c>
      <c r="T600" s="384" t="str">
        <f t="shared" si="39"/>
        <v/>
      </c>
      <c r="U600" s="349"/>
      <c r="V600" s="385"/>
      <c r="W600" s="385"/>
      <c r="X600" s="386"/>
    </row>
    <row r="601" spans="2:24">
      <c r="B601" s="395"/>
      <c r="C601" s="371"/>
      <c r="D601" s="372" t="str">
        <f>IFERROR(INDEX('[12]Equipment List'!$B$2:$B$2038,MATCH(E601,'[12]Equipment List'!$A$2:$A$2038,0)),"")</f>
        <v/>
      </c>
      <c r="E601" s="388"/>
      <c r="F601" s="374"/>
      <c r="G601" s="375"/>
      <c r="H601" s="397"/>
      <c r="I601" s="377"/>
      <c r="J601" s="378"/>
      <c r="K601" s="379"/>
      <c r="L601" s="387"/>
      <c r="M601" s="380" t="str">
        <f t="array" ref="M601">IF(L601="","",(MAX(IF(AN$15:AN$144=B601,AO$15:AO$144))/60))</f>
        <v/>
      </c>
      <c r="N601" s="387"/>
      <c r="O601" s="387"/>
      <c r="P601" s="381" t="str">
        <f t="shared" si="37"/>
        <v/>
      </c>
      <c r="Q601" s="382" t="str">
        <f t="array" ref="Q601">IFERROR(INDEX($D$13:$D$1000,MATCH(0,COUNTIF($Q$13:Q600,$D$13:$D$1000&amp;"")+IF($D$13:$D$1000="",1,0),0)),"")</f>
        <v/>
      </c>
      <c r="R601" s="356" t="str">
        <f t="shared" si="38"/>
        <v/>
      </c>
      <c r="S601" s="383" t="str">
        <f t="shared" si="36"/>
        <v/>
      </c>
      <c r="T601" s="384" t="str">
        <f t="shared" si="39"/>
        <v/>
      </c>
      <c r="U601" s="349"/>
      <c r="V601" s="385"/>
      <c r="W601" s="385"/>
      <c r="X601" s="386"/>
    </row>
    <row r="602" spans="2:24">
      <c r="B602" s="395"/>
      <c r="C602" s="371"/>
      <c r="D602" s="372" t="str">
        <f>IFERROR(INDEX('[12]Equipment List'!$B$2:$B$2038,MATCH(E602,'[12]Equipment List'!$A$2:$A$2038,0)),"")</f>
        <v/>
      </c>
      <c r="E602" s="388"/>
      <c r="F602" s="374"/>
      <c r="G602" s="375"/>
      <c r="H602" s="397"/>
      <c r="I602" s="377"/>
      <c r="J602" s="378"/>
      <c r="K602" s="379"/>
      <c r="L602" s="387"/>
      <c r="M602" s="380" t="str">
        <f t="array" ref="M602">IF(L602="","",(MAX(IF(AN$15:AN$144=B602,AO$15:AO$144))/60))</f>
        <v/>
      </c>
      <c r="N602" s="387"/>
      <c r="O602" s="387"/>
      <c r="P602" s="381" t="str">
        <f t="shared" si="37"/>
        <v/>
      </c>
      <c r="Q602" s="382" t="str">
        <f t="array" ref="Q602">IFERROR(INDEX($D$13:$D$1000,MATCH(0,COUNTIF($Q$13:Q601,$D$13:$D$1000&amp;"")+IF($D$13:$D$1000="",1,0),0)),"")</f>
        <v/>
      </c>
      <c r="R602" s="356" t="str">
        <f t="shared" si="38"/>
        <v/>
      </c>
      <c r="S602" s="383" t="str">
        <f t="shared" si="36"/>
        <v/>
      </c>
      <c r="T602" s="384" t="str">
        <f t="shared" si="39"/>
        <v/>
      </c>
      <c r="U602" s="349"/>
      <c r="V602" s="385"/>
      <c r="W602" s="385"/>
      <c r="X602" s="386"/>
    </row>
    <row r="603" spans="2:24">
      <c r="B603" s="395"/>
      <c r="C603" s="371"/>
      <c r="D603" s="372" t="str">
        <f>IFERROR(INDEX('[12]Equipment List'!$B$2:$B$2038,MATCH(E603,'[12]Equipment List'!$A$2:$A$2038,0)),"")</f>
        <v/>
      </c>
      <c r="E603" s="388"/>
      <c r="F603" s="374"/>
      <c r="G603" s="375"/>
      <c r="H603" s="397"/>
      <c r="I603" s="377"/>
      <c r="J603" s="378"/>
      <c r="K603" s="379"/>
      <c r="L603" s="387"/>
      <c r="M603" s="380" t="str">
        <f t="array" ref="M603">IF(L603="","",(MAX(IF(AN$15:AN$144=B603,AO$15:AO$144))/60))</f>
        <v/>
      </c>
      <c r="N603" s="387"/>
      <c r="O603" s="387"/>
      <c r="P603" s="381" t="str">
        <f t="shared" si="37"/>
        <v/>
      </c>
      <c r="Q603" s="382" t="str">
        <f t="array" ref="Q603">IFERROR(INDEX($D$13:$D$1000,MATCH(0,COUNTIF($Q$13:Q602,$D$13:$D$1000&amp;"")+IF($D$13:$D$1000="",1,0),0)),"")</f>
        <v/>
      </c>
      <c r="R603" s="356" t="str">
        <f t="shared" si="38"/>
        <v/>
      </c>
      <c r="S603" s="383" t="str">
        <f t="shared" si="36"/>
        <v/>
      </c>
      <c r="T603" s="384" t="str">
        <f t="shared" si="39"/>
        <v/>
      </c>
      <c r="U603" s="349"/>
      <c r="V603" s="385"/>
      <c r="W603" s="385"/>
      <c r="X603" s="386"/>
    </row>
    <row r="604" spans="2:24">
      <c r="B604" s="395"/>
      <c r="C604" s="371"/>
      <c r="D604" s="372" t="str">
        <f>IFERROR(INDEX('[12]Equipment List'!$B$2:$B$2038,MATCH(E604,'[12]Equipment List'!$A$2:$A$2038,0)),"")</f>
        <v/>
      </c>
      <c r="E604" s="388"/>
      <c r="F604" s="374"/>
      <c r="G604" s="375"/>
      <c r="H604" s="397"/>
      <c r="I604" s="377"/>
      <c r="J604" s="378"/>
      <c r="K604" s="379"/>
      <c r="L604" s="387"/>
      <c r="M604" s="380" t="str">
        <f t="array" ref="M604">IF(L604="","",(MAX(IF(AN$15:AN$144=B604,AO$15:AO$144))/60))</f>
        <v/>
      </c>
      <c r="N604" s="387"/>
      <c r="O604" s="387"/>
      <c r="P604" s="381" t="str">
        <f t="shared" si="37"/>
        <v/>
      </c>
      <c r="Q604" s="382" t="str">
        <f t="array" ref="Q604">IFERROR(INDEX($D$13:$D$1000,MATCH(0,COUNTIF($Q$13:Q603,$D$13:$D$1000&amp;"")+IF($D$13:$D$1000="",1,0),0)),"")</f>
        <v/>
      </c>
      <c r="R604" s="356" t="str">
        <f t="shared" si="38"/>
        <v/>
      </c>
      <c r="S604" s="383" t="str">
        <f t="shared" si="36"/>
        <v/>
      </c>
      <c r="T604" s="384" t="str">
        <f t="shared" si="39"/>
        <v/>
      </c>
      <c r="U604" s="349"/>
      <c r="V604" s="385"/>
      <c r="W604" s="385"/>
      <c r="X604" s="386"/>
    </row>
    <row r="605" spans="2:24">
      <c r="B605" s="395"/>
      <c r="C605" s="371"/>
      <c r="D605" s="372" t="str">
        <f>IFERROR(INDEX('[12]Equipment List'!$B$2:$B$2038,MATCH(E605,'[12]Equipment List'!$A$2:$A$2038,0)),"")</f>
        <v/>
      </c>
      <c r="E605" s="388"/>
      <c r="F605" s="374"/>
      <c r="G605" s="375"/>
      <c r="H605" s="397"/>
      <c r="I605" s="377"/>
      <c r="J605" s="378"/>
      <c r="K605" s="379"/>
      <c r="L605" s="387"/>
      <c r="M605" s="380" t="str">
        <f t="array" ref="M605">IF(L605="","",(MAX(IF(AN$15:AN$144=B605,AO$15:AO$144))/60))</f>
        <v/>
      </c>
      <c r="N605" s="387"/>
      <c r="O605" s="387"/>
      <c r="P605" s="381" t="str">
        <f t="shared" si="37"/>
        <v/>
      </c>
      <c r="Q605" s="382" t="str">
        <f t="array" ref="Q605">IFERROR(INDEX($D$13:$D$1000,MATCH(0,COUNTIF($Q$13:Q604,$D$13:$D$1000&amp;"")+IF($D$13:$D$1000="",1,0),0)),"")</f>
        <v/>
      </c>
      <c r="R605" s="356" t="str">
        <f t="shared" si="38"/>
        <v/>
      </c>
      <c r="S605" s="383" t="str">
        <f t="shared" si="36"/>
        <v/>
      </c>
      <c r="T605" s="384" t="str">
        <f t="shared" si="39"/>
        <v/>
      </c>
      <c r="U605" s="349"/>
      <c r="V605" s="385"/>
      <c r="W605" s="385"/>
      <c r="X605" s="386"/>
    </row>
    <row r="606" spans="2:24">
      <c r="B606" s="395"/>
      <c r="C606" s="371"/>
      <c r="D606" s="372" t="str">
        <f>IFERROR(INDEX('[12]Equipment List'!$B$2:$B$2038,MATCH(E606,'[12]Equipment List'!$A$2:$A$2038,0)),"")</f>
        <v/>
      </c>
      <c r="E606" s="388"/>
      <c r="F606" s="374"/>
      <c r="G606" s="375"/>
      <c r="H606" s="397"/>
      <c r="I606" s="377"/>
      <c r="J606" s="378"/>
      <c r="K606" s="379"/>
      <c r="L606" s="387"/>
      <c r="M606" s="380" t="str">
        <f t="array" ref="M606">IF(L606="","",(MAX(IF(AN$15:AN$144=B606,AO$15:AO$144))/60))</f>
        <v/>
      </c>
      <c r="N606" s="387"/>
      <c r="O606" s="387"/>
      <c r="P606" s="381" t="str">
        <f t="shared" si="37"/>
        <v/>
      </c>
      <c r="Q606" s="382" t="str">
        <f t="array" ref="Q606">IFERROR(INDEX($D$13:$D$1000,MATCH(0,COUNTIF($Q$13:Q605,$D$13:$D$1000&amp;"")+IF($D$13:$D$1000="",1,0),0)),"")</f>
        <v/>
      </c>
      <c r="R606" s="356" t="str">
        <f t="shared" si="38"/>
        <v/>
      </c>
      <c r="S606" s="383" t="str">
        <f t="shared" si="36"/>
        <v/>
      </c>
      <c r="T606" s="384" t="str">
        <f t="shared" si="39"/>
        <v/>
      </c>
      <c r="U606" s="349"/>
      <c r="V606" s="385"/>
      <c r="W606" s="385"/>
      <c r="X606" s="386"/>
    </row>
    <row r="607" spans="2:24">
      <c r="B607" s="395"/>
      <c r="C607" s="371"/>
      <c r="D607" s="372" t="str">
        <f>IFERROR(INDEX('[12]Equipment List'!$B$2:$B$2038,MATCH(E607,'[12]Equipment List'!$A$2:$A$2038,0)),"")</f>
        <v/>
      </c>
      <c r="E607" s="388"/>
      <c r="F607" s="374"/>
      <c r="G607" s="375"/>
      <c r="H607" s="397"/>
      <c r="I607" s="377"/>
      <c r="J607" s="378"/>
      <c r="K607" s="379"/>
      <c r="L607" s="387"/>
      <c r="M607" s="380" t="str">
        <f t="array" ref="M607">IF(L607="","",(MAX(IF(AN$15:AN$144=B607,AO$15:AO$144))/60))</f>
        <v/>
      </c>
      <c r="N607" s="387"/>
      <c r="O607" s="387"/>
      <c r="P607" s="381" t="str">
        <f t="shared" si="37"/>
        <v/>
      </c>
      <c r="Q607" s="382" t="str">
        <f t="array" ref="Q607">IFERROR(INDEX($D$13:$D$1000,MATCH(0,COUNTIF($Q$13:Q606,$D$13:$D$1000&amp;"")+IF($D$13:$D$1000="",1,0),0)),"")</f>
        <v/>
      </c>
      <c r="R607" s="356" t="str">
        <f t="shared" si="38"/>
        <v/>
      </c>
      <c r="S607" s="383" t="str">
        <f t="shared" si="36"/>
        <v/>
      </c>
      <c r="T607" s="384" t="str">
        <f t="shared" si="39"/>
        <v/>
      </c>
      <c r="U607" s="349"/>
      <c r="V607" s="385"/>
      <c r="W607" s="385"/>
      <c r="X607" s="386"/>
    </row>
    <row r="608" spans="2:24">
      <c r="B608" s="395"/>
      <c r="C608" s="371"/>
      <c r="D608" s="372" t="str">
        <f>IFERROR(INDEX('[12]Equipment List'!$B$2:$B$2038,MATCH(E608,'[12]Equipment List'!$A$2:$A$2038,0)),"")</f>
        <v/>
      </c>
      <c r="E608" s="388"/>
      <c r="F608" s="374"/>
      <c r="G608" s="375"/>
      <c r="H608" s="397"/>
      <c r="I608" s="377"/>
      <c r="J608" s="378"/>
      <c r="K608" s="379"/>
      <c r="L608" s="387"/>
      <c r="M608" s="380" t="str">
        <f t="array" ref="M608">IF(L608="","",(MAX(IF(AN$15:AN$144=B608,AO$15:AO$144))/60))</f>
        <v/>
      </c>
      <c r="N608" s="387"/>
      <c r="O608" s="387"/>
      <c r="P608" s="381" t="str">
        <f t="shared" si="37"/>
        <v/>
      </c>
      <c r="Q608" s="382" t="str">
        <f t="array" ref="Q608">IFERROR(INDEX($D$13:$D$1000,MATCH(0,COUNTIF($Q$13:Q607,$D$13:$D$1000&amp;"")+IF($D$13:$D$1000="",1,0),0)),"")</f>
        <v/>
      </c>
      <c r="R608" s="356" t="str">
        <f t="shared" si="38"/>
        <v/>
      </c>
      <c r="S608" s="383" t="str">
        <f t="shared" si="36"/>
        <v/>
      </c>
      <c r="T608" s="384" t="str">
        <f t="shared" si="39"/>
        <v/>
      </c>
      <c r="U608" s="349"/>
      <c r="V608" s="385"/>
      <c r="W608" s="385"/>
      <c r="X608" s="386"/>
    </row>
    <row r="609" spans="2:24">
      <c r="B609" s="395"/>
      <c r="C609" s="371"/>
      <c r="D609" s="372" t="str">
        <f>IFERROR(INDEX('[12]Equipment List'!$B$2:$B$2038,MATCH(E609,'[12]Equipment List'!$A$2:$A$2038,0)),"")</f>
        <v/>
      </c>
      <c r="E609" s="388"/>
      <c r="F609" s="374"/>
      <c r="G609" s="375"/>
      <c r="H609" s="397"/>
      <c r="I609" s="377"/>
      <c r="J609" s="378"/>
      <c r="K609" s="379"/>
      <c r="L609" s="387"/>
      <c r="M609" s="380" t="str">
        <f t="array" ref="M609">IF(L609="","",(MAX(IF(AN$15:AN$144=B609,AO$15:AO$144))/60))</f>
        <v/>
      </c>
      <c r="N609" s="387"/>
      <c r="O609" s="387"/>
      <c r="P609" s="381" t="str">
        <f t="shared" si="37"/>
        <v/>
      </c>
      <c r="Q609" s="382" t="str">
        <f t="array" ref="Q609">IFERROR(INDEX($D$13:$D$1000,MATCH(0,COUNTIF($Q$13:Q608,$D$13:$D$1000&amp;"")+IF($D$13:$D$1000="",1,0),0)),"")</f>
        <v/>
      </c>
      <c r="R609" s="356" t="str">
        <f t="shared" si="38"/>
        <v/>
      </c>
      <c r="S609" s="383" t="str">
        <f t="shared" si="36"/>
        <v/>
      </c>
      <c r="T609" s="384" t="str">
        <f t="shared" si="39"/>
        <v/>
      </c>
      <c r="U609" s="349"/>
      <c r="V609" s="385"/>
      <c r="W609" s="385"/>
      <c r="X609" s="386"/>
    </row>
    <row r="610" spans="2:24">
      <c r="B610" s="395"/>
      <c r="C610" s="371"/>
      <c r="D610" s="372" t="str">
        <f>IFERROR(INDEX('[12]Equipment List'!$B$2:$B$2038,MATCH(E610,'[12]Equipment List'!$A$2:$A$2038,0)),"")</f>
        <v/>
      </c>
      <c r="E610" s="388"/>
      <c r="F610" s="374"/>
      <c r="G610" s="375"/>
      <c r="H610" s="397"/>
      <c r="I610" s="377"/>
      <c r="J610" s="378"/>
      <c r="K610" s="379"/>
      <c r="L610" s="387"/>
      <c r="M610" s="380" t="str">
        <f t="array" ref="M610">IF(L610="","",(MAX(IF(AN$15:AN$144=B610,AO$15:AO$144))/60))</f>
        <v/>
      </c>
      <c r="N610" s="387"/>
      <c r="O610" s="387"/>
      <c r="P610" s="381" t="str">
        <f t="shared" si="37"/>
        <v/>
      </c>
      <c r="Q610" s="382" t="str">
        <f t="array" ref="Q610">IFERROR(INDEX($D$13:$D$1000,MATCH(0,COUNTIF($Q$13:Q609,$D$13:$D$1000&amp;"")+IF($D$13:$D$1000="",1,0),0)),"")</f>
        <v/>
      </c>
      <c r="R610" s="356" t="str">
        <f t="shared" si="38"/>
        <v/>
      </c>
      <c r="S610" s="383" t="str">
        <f t="shared" si="36"/>
        <v/>
      </c>
      <c r="T610" s="384" t="str">
        <f t="shared" si="39"/>
        <v/>
      </c>
      <c r="U610" s="349"/>
      <c r="V610" s="385"/>
      <c r="W610" s="385"/>
      <c r="X610" s="386"/>
    </row>
    <row r="611" spans="2:24">
      <c r="B611" s="395"/>
      <c r="C611" s="371"/>
      <c r="D611" s="372" t="str">
        <f>IFERROR(INDEX('[12]Equipment List'!$B$2:$B$2038,MATCH(E611,'[12]Equipment List'!$A$2:$A$2038,0)),"")</f>
        <v/>
      </c>
      <c r="E611" s="388"/>
      <c r="F611" s="374"/>
      <c r="G611" s="375"/>
      <c r="H611" s="397"/>
      <c r="I611" s="377"/>
      <c r="J611" s="378"/>
      <c r="K611" s="379"/>
      <c r="L611" s="387"/>
      <c r="M611" s="380" t="str">
        <f t="array" ref="M611">IF(L611="","",(MAX(IF(AN$15:AN$144=B611,AO$15:AO$144))/60))</f>
        <v/>
      </c>
      <c r="N611" s="387"/>
      <c r="O611" s="387"/>
      <c r="P611" s="381" t="str">
        <f t="shared" si="37"/>
        <v/>
      </c>
      <c r="Q611" s="382" t="str">
        <f t="array" ref="Q611">IFERROR(INDEX($D$13:$D$1000,MATCH(0,COUNTIF($Q$13:Q610,$D$13:$D$1000&amp;"")+IF($D$13:$D$1000="",1,0),0)),"")</f>
        <v/>
      </c>
      <c r="R611" s="356" t="str">
        <f t="shared" si="38"/>
        <v/>
      </c>
      <c r="S611" s="383" t="str">
        <f t="shared" si="36"/>
        <v/>
      </c>
      <c r="T611" s="384" t="str">
        <f t="shared" si="39"/>
        <v/>
      </c>
      <c r="U611" s="349"/>
      <c r="V611" s="385"/>
      <c r="W611" s="385"/>
      <c r="X611" s="386"/>
    </row>
    <row r="612" spans="2:24">
      <c r="B612" s="395"/>
      <c r="C612" s="371"/>
      <c r="D612" s="372" t="str">
        <f>IFERROR(INDEX('[12]Equipment List'!$B$2:$B$2038,MATCH(E612,'[12]Equipment List'!$A$2:$A$2038,0)),"")</f>
        <v/>
      </c>
      <c r="E612" s="388"/>
      <c r="F612" s="374"/>
      <c r="G612" s="375"/>
      <c r="H612" s="397"/>
      <c r="I612" s="377"/>
      <c r="J612" s="378"/>
      <c r="K612" s="379"/>
      <c r="L612" s="387"/>
      <c r="M612" s="380" t="str">
        <f t="array" ref="M612">IF(L612="","",(MAX(IF(AN$15:AN$144=B612,AO$15:AO$144))/60))</f>
        <v/>
      </c>
      <c r="N612" s="387"/>
      <c r="O612" s="387"/>
      <c r="P612" s="381" t="str">
        <f t="shared" si="37"/>
        <v/>
      </c>
      <c r="Q612" s="382" t="str">
        <f t="array" ref="Q612">IFERROR(INDEX($D$13:$D$1000,MATCH(0,COUNTIF($Q$13:Q611,$D$13:$D$1000&amp;"")+IF($D$13:$D$1000="",1,0),0)),"")</f>
        <v/>
      </c>
      <c r="R612" s="356" t="str">
        <f t="shared" si="38"/>
        <v/>
      </c>
      <c r="S612" s="383" t="str">
        <f t="shared" si="36"/>
        <v/>
      </c>
      <c r="T612" s="384" t="str">
        <f t="shared" si="39"/>
        <v/>
      </c>
      <c r="U612" s="349"/>
      <c r="V612" s="385"/>
      <c r="W612" s="385"/>
      <c r="X612" s="386"/>
    </row>
    <row r="613" spans="2:24">
      <c r="B613" s="395"/>
      <c r="C613" s="371"/>
      <c r="D613" s="372" t="str">
        <f>IFERROR(INDEX('[12]Equipment List'!$B$2:$B$2038,MATCH(E613,'[12]Equipment List'!$A$2:$A$2038,0)),"")</f>
        <v/>
      </c>
      <c r="E613" s="388"/>
      <c r="F613" s="374"/>
      <c r="G613" s="375"/>
      <c r="H613" s="397"/>
      <c r="I613" s="377"/>
      <c r="J613" s="378"/>
      <c r="K613" s="379"/>
      <c r="L613" s="387"/>
      <c r="M613" s="380" t="str">
        <f t="array" ref="M613">IF(L613="","",(MAX(IF(AN$15:AN$144=B613,AO$15:AO$144))/60))</f>
        <v/>
      </c>
      <c r="N613" s="387"/>
      <c r="O613" s="387"/>
      <c r="P613" s="381" t="str">
        <f t="shared" si="37"/>
        <v/>
      </c>
      <c r="Q613" s="382" t="str">
        <f t="array" ref="Q613">IFERROR(INDEX($D$13:$D$1000,MATCH(0,COUNTIF($Q$13:Q612,$D$13:$D$1000&amp;"")+IF($D$13:$D$1000="",1,0),0)),"")</f>
        <v/>
      </c>
      <c r="R613" s="356" t="str">
        <f t="shared" si="38"/>
        <v/>
      </c>
      <c r="S613" s="383" t="str">
        <f t="shared" si="36"/>
        <v/>
      </c>
      <c r="T613" s="384" t="str">
        <f t="shared" si="39"/>
        <v/>
      </c>
      <c r="U613" s="349"/>
      <c r="V613" s="385"/>
      <c r="W613" s="385"/>
      <c r="X613" s="386"/>
    </row>
    <row r="614" spans="2:24">
      <c r="B614" s="395"/>
      <c r="C614" s="371"/>
      <c r="D614" s="372" t="str">
        <f>IFERROR(INDEX('[12]Equipment List'!$B$2:$B$2038,MATCH(E614,'[12]Equipment List'!$A$2:$A$2038,0)),"")</f>
        <v/>
      </c>
      <c r="E614" s="388"/>
      <c r="F614" s="374"/>
      <c r="G614" s="375"/>
      <c r="H614" s="397"/>
      <c r="I614" s="377"/>
      <c r="J614" s="378"/>
      <c r="K614" s="379"/>
      <c r="L614" s="387"/>
      <c r="M614" s="380" t="str">
        <f t="array" ref="M614">IF(L614="","",(MAX(IF(AN$15:AN$144=B614,AO$15:AO$144))/60))</f>
        <v/>
      </c>
      <c r="N614" s="387"/>
      <c r="O614" s="387"/>
      <c r="P614" s="381" t="str">
        <f t="shared" si="37"/>
        <v/>
      </c>
      <c r="Q614" s="382" t="str">
        <f t="array" ref="Q614">IFERROR(INDEX($D$13:$D$1000,MATCH(0,COUNTIF($Q$13:Q613,$D$13:$D$1000&amp;"")+IF($D$13:$D$1000="",1,0),0)),"")</f>
        <v/>
      </c>
      <c r="R614" s="356" t="str">
        <f t="shared" si="38"/>
        <v/>
      </c>
      <c r="S614" s="383" t="str">
        <f t="shared" si="36"/>
        <v/>
      </c>
      <c r="T614" s="384" t="str">
        <f t="shared" si="39"/>
        <v/>
      </c>
      <c r="U614" s="349"/>
      <c r="V614" s="385"/>
      <c r="W614" s="385"/>
      <c r="X614" s="386"/>
    </row>
    <row r="615" spans="2:24">
      <c r="B615" s="395"/>
      <c r="C615" s="371"/>
      <c r="D615" s="372" t="str">
        <f>IFERROR(INDEX('[12]Equipment List'!$B$2:$B$2038,MATCH(E615,'[12]Equipment List'!$A$2:$A$2038,0)),"")</f>
        <v/>
      </c>
      <c r="E615" s="388"/>
      <c r="F615" s="374"/>
      <c r="G615" s="375"/>
      <c r="H615" s="397"/>
      <c r="I615" s="377"/>
      <c r="J615" s="378"/>
      <c r="K615" s="379"/>
      <c r="L615" s="387"/>
      <c r="M615" s="380" t="str">
        <f t="array" ref="M615">IF(L615="","",(MAX(IF(AN$15:AN$144=B615,AO$15:AO$144))/60))</f>
        <v/>
      </c>
      <c r="N615" s="387"/>
      <c r="O615" s="387"/>
      <c r="P615" s="381" t="str">
        <f t="shared" si="37"/>
        <v/>
      </c>
      <c r="Q615" s="382" t="str">
        <f t="array" ref="Q615">IFERROR(INDEX($D$13:$D$1000,MATCH(0,COUNTIF($Q$13:Q614,$D$13:$D$1000&amp;"")+IF($D$13:$D$1000="",1,0),0)),"")</f>
        <v/>
      </c>
      <c r="R615" s="356" t="str">
        <f t="shared" si="38"/>
        <v/>
      </c>
      <c r="S615" s="383" t="str">
        <f t="shared" si="36"/>
        <v/>
      </c>
      <c r="T615" s="384" t="str">
        <f t="shared" si="39"/>
        <v/>
      </c>
      <c r="U615" s="349"/>
      <c r="V615" s="385"/>
      <c r="W615" s="385"/>
      <c r="X615" s="386"/>
    </row>
    <row r="616" spans="2:24">
      <c r="B616" s="395"/>
      <c r="C616" s="371"/>
      <c r="D616" s="372" t="str">
        <f>IFERROR(INDEX('[12]Equipment List'!$B$2:$B$2038,MATCH(E616,'[12]Equipment List'!$A$2:$A$2038,0)),"")</f>
        <v/>
      </c>
      <c r="E616" s="388"/>
      <c r="F616" s="374"/>
      <c r="G616" s="375"/>
      <c r="H616" s="397"/>
      <c r="I616" s="377"/>
      <c r="J616" s="378"/>
      <c r="K616" s="379"/>
      <c r="L616" s="387"/>
      <c r="M616" s="380" t="str">
        <f t="array" ref="M616">IF(L616="","",(MAX(IF(AN$15:AN$144=B616,AO$15:AO$144))/60))</f>
        <v/>
      </c>
      <c r="N616" s="387"/>
      <c r="O616" s="387"/>
      <c r="P616" s="381" t="str">
        <f t="shared" si="37"/>
        <v/>
      </c>
      <c r="Q616" s="382" t="str">
        <f t="array" ref="Q616">IFERROR(INDEX($D$13:$D$1000,MATCH(0,COUNTIF($Q$13:Q615,$D$13:$D$1000&amp;"")+IF($D$13:$D$1000="",1,0),0)),"")</f>
        <v/>
      </c>
      <c r="R616" s="356" t="str">
        <f t="shared" si="38"/>
        <v/>
      </c>
      <c r="S616" s="383" t="str">
        <f t="shared" si="36"/>
        <v/>
      </c>
      <c r="T616" s="384" t="str">
        <f t="shared" si="39"/>
        <v/>
      </c>
      <c r="U616" s="349"/>
      <c r="V616" s="385"/>
      <c r="W616" s="385"/>
      <c r="X616" s="386"/>
    </row>
    <row r="617" spans="2:24">
      <c r="B617" s="395"/>
      <c r="C617" s="371"/>
      <c r="D617" s="372" t="str">
        <f>IFERROR(INDEX('[12]Equipment List'!$B$2:$B$2038,MATCH(E617,'[12]Equipment List'!$A$2:$A$2038,0)),"")</f>
        <v/>
      </c>
      <c r="E617" s="388"/>
      <c r="F617" s="374"/>
      <c r="G617" s="375"/>
      <c r="H617" s="397"/>
      <c r="I617" s="377"/>
      <c r="J617" s="378"/>
      <c r="K617" s="379"/>
      <c r="L617" s="387"/>
      <c r="M617" s="380" t="str">
        <f t="array" ref="M617">IF(L617="","",(MAX(IF(AN$15:AN$144=B617,AO$15:AO$144))/60))</f>
        <v/>
      </c>
      <c r="N617" s="387"/>
      <c r="O617" s="387"/>
      <c r="P617" s="381" t="str">
        <f t="shared" si="37"/>
        <v/>
      </c>
      <c r="Q617" s="382" t="str">
        <f t="array" ref="Q617">IFERROR(INDEX($D$13:$D$1000,MATCH(0,COUNTIF($Q$13:Q616,$D$13:$D$1000&amp;"")+IF($D$13:$D$1000="",1,0),0)),"")</f>
        <v/>
      </c>
      <c r="R617" s="356" t="str">
        <f t="shared" si="38"/>
        <v/>
      </c>
      <c r="S617" s="383" t="str">
        <f t="shared" si="36"/>
        <v/>
      </c>
      <c r="T617" s="384" t="str">
        <f t="shared" si="39"/>
        <v/>
      </c>
      <c r="U617" s="349"/>
      <c r="V617" s="385"/>
      <c r="W617" s="385"/>
      <c r="X617" s="386"/>
    </row>
    <row r="618" spans="2:24">
      <c r="B618" s="395"/>
      <c r="C618" s="371"/>
      <c r="D618" s="372" t="str">
        <f>IFERROR(INDEX('[12]Equipment List'!$B$2:$B$2038,MATCH(E618,'[12]Equipment List'!$A$2:$A$2038,0)),"")</f>
        <v/>
      </c>
      <c r="E618" s="388"/>
      <c r="F618" s="374"/>
      <c r="G618" s="375"/>
      <c r="H618" s="397"/>
      <c r="I618" s="377"/>
      <c r="J618" s="378"/>
      <c r="K618" s="379"/>
      <c r="L618" s="387"/>
      <c r="M618" s="380" t="str">
        <f t="array" ref="M618">IF(L618="","",(MAX(IF(AN$15:AN$144=B618,AO$15:AO$144))/60))</f>
        <v/>
      </c>
      <c r="N618" s="387"/>
      <c r="O618" s="387"/>
      <c r="P618" s="381" t="str">
        <f t="shared" si="37"/>
        <v/>
      </c>
      <c r="Q618" s="382" t="str">
        <f t="array" ref="Q618">IFERROR(INDEX($D$13:$D$1000,MATCH(0,COUNTIF($Q$13:Q617,$D$13:$D$1000&amp;"")+IF($D$13:$D$1000="",1,0),0)),"")</f>
        <v/>
      </c>
      <c r="R618" s="356" t="str">
        <f t="shared" si="38"/>
        <v/>
      </c>
      <c r="S618" s="383" t="str">
        <f t="shared" si="36"/>
        <v/>
      </c>
      <c r="T618" s="384" t="str">
        <f t="shared" si="39"/>
        <v/>
      </c>
      <c r="U618" s="349"/>
      <c r="V618" s="385"/>
      <c r="W618" s="385"/>
      <c r="X618" s="386"/>
    </row>
    <row r="619" spans="2:24">
      <c r="B619" s="395"/>
      <c r="C619" s="371"/>
      <c r="D619" s="372" t="str">
        <f>IFERROR(INDEX('[12]Equipment List'!$B$2:$B$2038,MATCH(E619,'[12]Equipment List'!$A$2:$A$2038,0)),"")</f>
        <v/>
      </c>
      <c r="E619" s="388"/>
      <c r="F619" s="374"/>
      <c r="G619" s="375"/>
      <c r="H619" s="397"/>
      <c r="I619" s="377"/>
      <c r="J619" s="378"/>
      <c r="K619" s="379"/>
      <c r="L619" s="387"/>
      <c r="M619" s="380" t="str">
        <f t="array" ref="M619">IF(L619="","",(MAX(IF(AN$15:AN$144=B619,AO$15:AO$144))/60))</f>
        <v/>
      </c>
      <c r="N619" s="387"/>
      <c r="O619" s="387"/>
      <c r="P619" s="381" t="str">
        <f t="shared" si="37"/>
        <v/>
      </c>
      <c r="Q619" s="382" t="str">
        <f t="array" ref="Q619">IFERROR(INDEX($D$13:$D$1000,MATCH(0,COUNTIF($Q$13:Q618,$D$13:$D$1000&amp;"")+IF($D$13:$D$1000="",1,0),0)),"")</f>
        <v/>
      </c>
      <c r="R619" s="356" t="str">
        <f t="shared" si="38"/>
        <v/>
      </c>
      <c r="S619" s="383" t="str">
        <f t="shared" ref="S619:S682" si="40">IF($Q619="","",SUMIF($D$13:$D$1000,$Q619,I$13:I$1000))</f>
        <v/>
      </c>
      <c r="T619" s="384" t="str">
        <f t="shared" si="39"/>
        <v/>
      </c>
      <c r="U619" s="349"/>
      <c r="V619" s="385"/>
      <c r="W619" s="385"/>
      <c r="X619" s="386"/>
    </row>
    <row r="620" spans="2:24">
      <c r="B620" s="395"/>
      <c r="C620" s="371"/>
      <c r="D620" s="372" t="str">
        <f>IFERROR(INDEX('[12]Equipment List'!$B$2:$B$2038,MATCH(E620,'[12]Equipment List'!$A$2:$A$2038,0)),"")</f>
        <v/>
      </c>
      <c r="E620" s="388"/>
      <c r="F620" s="374"/>
      <c r="G620" s="375"/>
      <c r="H620" s="397"/>
      <c r="I620" s="377"/>
      <c r="J620" s="378"/>
      <c r="K620" s="379"/>
      <c r="L620" s="387"/>
      <c r="M620" s="380" t="str">
        <f t="array" ref="M620">IF(L620="","",(MAX(IF(AN$15:AN$144=B620,AO$15:AO$144))/60))</f>
        <v/>
      </c>
      <c r="N620" s="387"/>
      <c r="O620" s="387"/>
      <c r="P620" s="381" t="str">
        <f t="shared" si="37"/>
        <v/>
      </c>
      <c r="Q620" s="382" t="str">
        <f t="array" ref="Q620">IFERROR(INDEX($D$13:$D$1000,MATCH(0,COUNTIF($Q$13:Q619,$D$13:$D$1000&amp;"")+IF($D$13:$D$1000="",1,0),0)),"")</f>
        <v/>
      </c>
      <c r="R620" s="356" t="str">
        <f t="shared" si="38"/>
        <v/>
      </c>
      <c r="S620" s="383" t="str">
        <f t="shared" si="40"/>
        <v/>
      </c>
      <c r="T620" s="384" t="str">
        <f t="shared" si="39"/>
        <v/>
      </c>
      <c r="U620" s="349"/>
      <c r="V620" s="385"/>
      <c r="W620" s="385"/>
      <c r="X620" s="386"/>
    </row>
    <row r="621" spans="2:24">
      <c r="B621" s="395"/>
      <c r="C621" s="371"/>
      <c r="D621" s="372" t="str">
        <f>IFERROR(INDEX('[12]Equipment List'!$B$2:$B$2038,MATCH(E621,'[12]Equipment List'!$A$2:$A$2038,0)),"")</f>
        <v/>
      </c>
      <c r="E621" s="388"/>
      <c r="F621" s="374"/>
      <c r="G621" s="375"/>
      <c r="H621" s="397"/>
      <c r="I621" s="377"/>
      <c r="J621" s="378"/>
      <c r="K621" s="379"/>
      <c r="L621" s="387"/>
      <c r="M621" s="380" t="str">
        <f t="array" ref="M621">IF(L621="","",(MAX(IF(AN$15:AN$144=B621,AO$15:AO$144))/60))</f>
        <v/>
      </c>
      <c r="N621" s="387"/>
      <c r="O621" s="387"/>
      <c r="P621" s="381" t="str">
        <f t="shared" si="37"/>
        <v/>
      </c>
      <c r="Q621" s="382" t="str">
        <f t="array" ref="Q621">IFERROR(INDEX($D$13:$D$1000,MATCH(0,COUNTIF($Q$13:Q620,$D$13:$D$1000&amp;"")+IF($D$13:$D$1000="",1,0),0)),"")</f>
        <v/>
      </c>
      <c r="R621" s="356" t="str">
        <f t="shared" si="38"/>
        <v/>
      </c>
      <c r="S621" s="383" t="str">
        <f t="shared" si="40"/>
        <v/>
      </c>
      <c r="T621" s="384" t="str">
        <f t="shared" si="39"/>
        <v/>
      </c>
      <c r="U621" s="349"/>
      <c r="V621" s="385"/>
      <c r="W621" s="385"/>
      <c r="X621" s="386"/>
    </row>
    <row r="622" spans="2:24">
      <c r="B622" s="395"/>
      <c r="C622" s="371"/>
      <c r="D622" s="372" t="str">
        <f>IFERROR(INDEX('[12]Equipment List'!$B$2:$B$2038,MATCH(E622,'[12]Equipment List'!$A$2:$A$2038,0)),"")</f>
        <v/>
      </c>
      <c r="E622" s="388"/>
      <c r="F622" s="374"/>
      <c r="G622" s="375"/>
      <c r="H622" s="397"/>
      <c r="I622" s="377"/>
      <c r="J622" s="378"/>
      <c r="K622" s="379"/>
      <c r="L622" s="387"/>
      <c r="M622" s="380" t="str">
        <f t="array" ref="M622">IF(L622="","",(MAX(IF(AN$15:AN$144=B622,AO$15:AO$144))/60))</f>
        <v/>
      </c>
      <c r="N622" s="387"/>
      <c r="O622" s="387"/>
      <c r="P622" s="381" t="str">
        <f t="shared" si="37"/>
        <v/>
      </c>
      <c r="Q622" s="382" t="str">
        <f t="array" ref="Q622">IFERROR(INDEX($D$13:$D$1000,MATCH(0,COUNTIF($Q$13:Q621,$D$13:$D$1000&amp;"")+IF($D$13:$D$1000="",1,0),0)),"")</f>
        <v/>
      </c>
      <c r="R622" s="356" t="str">
        <f t="shared" si="38"/>
        <v/>
      </c>
      <c r="S622" s="383" t="str">
        <f t="shared" si="40"/>
        <v/>
      </c>
      <c r="T622" s="384" t="str">
        <f t="shared" si="39"/>
        <v/>
      </c>
      <c r="U622" s="349"/>
      <c r="V622" s="385"/>
      <c r="W622" s="385"/>
      <c r="X622" s="386"/>
    </row>
    <row r="623" spans="2:24">
      <c r="B623" s="395"/>
      <c r="C623" s="371"/>
      <c r="D623" s="372" t="str">
        <f>IFERROR(INDEX('[12]Equipment List'!$B$2:$B$2038,MATCH(E623,'[12]Equipment List'!$A$2:$A$2038,0)),"")</f>
        <v/>
      </c>
      <c r="E623" s="388"/>
      <c r="F623" s="374"/>
      <c r="G623" s="375"/>
      <c r="H623" s="397"/>
      <c r="I623" s="377"/>
      <c r="J623" s="378"/>
      <c r="K623" s="379"/>
      <c r="L623" s="387"/>
      <c r="M623" s="380" t="str">
        <f t="array" ref="M623">IF(L623="","",(MAX(IF(AN$15:AN$144=B623,AO$15:AO$144))/60))</f>
        <v/>
      </c>
      <c r="N623" s="387"/>
      <c r="O623" s="387"/>
      <c r="P623" s="381" t="str">
        <f t="shared" si="37"/>
        <v/>
      </c>
      <c r="Q623" s="382" t="str">
        <f t="array" ref="Q623">IFERROR(INDEX($D$13:$D$1000,MATCH(0,COUNTIF($Q$13:Q622,$D$13:$D$1000&amp;"")+IF($D$13:$D$1000="",1,0),0)),"")</f>
        <v/>
      </c>
      <c r="R623" s="356" t="str">
        <f t="shared" si="38"/>
        <v/>
      </c>
      <c r="S623" s="383" t="str">
        <f t="shared" si="40"/>
        <v/>
      </c>
      <c r="T623" s="384" t="str">
        <f t="shared" si="39"/>
        <v/>
      </c>
      <c r="U623" s="349"/>
      <c r="V623" s="385"/>
      <c r="W623" s="385"/>
      <c r="X623" s="386"/>
    </row>
    <row r="624" spans="2:24">
      <c r="B624" s="395"/>
      <c r="C624" s="371"/>
      <c r="D624" s="372" t="str">
        <f>IFERROR(INDEX('[12]Equipment List'!$B$2:$B$2038,MATCH(E624,'[12]Equipment List'!$A$2:$A$2038,0)),"")</f>
        <v/>
      </c>
      <c r="E624" s="388"/>
      <c r="F624" s="374"/>
      <c r="G624" s="375"/>
      <c r="H624" s="397"/>
      <c r="I624" s="377"/>
      <c r="J624" s="378"/>
      <c r="K624" s="379"/>
      <c r="L624" s="387"/>
      <c r="M624" s="380" t="str">
        <f t="array" ref="M624">IF(L624="","",(MAX(IF(AN$15:AN$144=B624,AO$15:AO$144))/60))</f>
        <v/>
      </c>
      <c r="N624" s="387"/>
      <c r="O624" s="387"/>
      <c r="P624" s="381" t="str">
        <f t="shared" si="37"/>
        <v/>
      </c>
      <c r="Q624" s="382" t="str">
        <f t="array" ref="Q624">IFERROR(INDEX($D$13:$D$1000,MATCH(0,COUNTIF($Q$13:Q623,$D$13:$D$1000&amp;"")+IF($D$13:$D$1000="",1,0),0)),"")</f>
        <v/>
      </c>
      <c r="R624" s="356" t="str">
        <f t="shared" si="38"/>
        <v/>
      </c>
      <c r="S624" s="383" t="str">
        <f t="shared" si="40"/>
        <v/>
      </c>
      <c r="T624" s="384" t="str">
        <f t="shared" si="39"/>
        <v/>
      </c>
      <c r="U624" s="349"/>
      <c r="V624" s="385"/>
      <c r="W624" s="385"/>
      <c r="X624" s="386"/>
    </row>
    <row r="625" spans="2:24">
      <c r="B625" s="395"/>
      <c r="C625" s="371"/>
      <c r="D625" s="372" t="str">
        <f>IFERROR(INDEX('[12]Equipment List'!$B$2:$B$2038,MATCH(E625,'[12]Equipment List'!$A$2:$A$2038,0)),"")</f>
        <v/>
      </c>
      <c r="E625" s="388"/>
      <c r="F625" s="374"/>
      <c r="G625" s="375"/>
      <c r="H625" s="397"/>
      <c r="I625" s="377"/>
      <c r="J625" s="378"/>
      <c r="K625" s="379"/>
      <c r="L625" s="387"/>
      <c r="M625" s="380" t="str">
        <f t="array" ref="M625">IF(L625="","",(MAX(IF(AN$15:AN$144=B625,AO$15:AO$144))/60))</f>
        <v/>
      </c>
      <c r="N625" s="387"/>
      <c r="O625" s="387"/>
      <c r="P625" s="381" t="str">
        <f t="shared" si="37"/>
        <v/>
      </c>
      <c r="Q625" s="382" t="str">
        <f t="array" ref="Q625">IFERROR(INDEX($D$13:$D$1000,MATCH(0,COUNTIF($Q$13:Q624,$D$13:$D$1000&amp;"")+IF($D$13:$D$1000="",1,0),0)),"")</f>
        <v/>
      </c>
      <c r="R625" s="356" t="str">
        <f t="shared" si="38"/>
        <v/>
      </c>
      <c r="S625" s="383" t="str">
        <f t="shared" si="40"/>
        <v/>
      </c>
      <c r="T625" s="384" t="str">
        <f t="shared" si="39"/>
        <v/>
      </c>
      <c r="U625" s="349"/>
      <c r="V625" s="385"/>
      <c r="W625" s="385"/>
      <c r="X625" s="386"/>
    </row>
    <row r="626" spans="2:24">
      <c r="B626" s="395"/>
      <c r="C626" s="371"/>
      <c r="D626" s="372" t="str">
        <f>IFERROR(INDEX('[12]Equipment List'!$B$2:$B$2038,MATCH(E626,'[12]Equipment List'!$A$2:$A$2038,0)),"")</f>
        <v/>
      </c>
      <c r="E626" s="388"/>
      <c r="F626" s="374"/>
      <c r="G626" s="375"/>
      <c r="H626" s="397"/>
      <c r="I626" s="377"/>
      <c r="J626" s="378"/>
      <c r="K626" s="379"/>
      <c r="L626" s="387"/>
      <c r="M626" s="380" t="str">
        <f t="array" ref="M626">IF(L626="","",(MAX(IF(AN$15:AN$144=B626,AO$15:AO$144))/60))</f>
        <v/>
      </c>
      <c r="N626" s="387"/>
      <c r="O626" s="387"/>
      <c r="P626" s="381" t="str">
        <f t="shared" si="37"/>
        <v/>
      </c>
      <c r="Q626" s="382" t="str">
        <f t="array" ref="Q626">IFERROR(INDEX($D$13:$D$1000,MATCH(0,COUNTIF($Q$13:Q625,$D$13:$D$1000&amp;"")+IF($D$13:$D$1000="",1,0),0)),"")</f>
        <v/>
      </c>
      <c r="R626" s="356" t="str">
        <f t="shared" si="38"/>
        <v/>
      </c>
      <c r="S626" s="383" t="str">
        <f t="shared" si="40"/>
        <v/>
      </c>
      <c r="T626" s="384" t="str">
        <f t="shared" si="39"/>
        <v/>
      </c>
      <c r="U626" s="349"/>
      <c r="V626" s="385"/>
      <c r="W626" s="385"/>
      <c r="X626" s="386"/>
    </row>
    <row r="627" spans="2:24">
      <c r="B627" s="395"/>
      <c r="C627" s="371"/>
      <c r="D627" s="372" t="str">
        <f>IFERROR(INDEX('[12]Equipment List'!$B$2:$B$2038,MATCH(E627,'[12]Equipment List'!$A$2:$A$2038,0)),"")</f>
        <v/>
      </c>
      <c r="E627" s="388"/>
      <c r="F627" s="374"/>
      <c r="G627" s="375"/>
      <c r="H627" s="397"/>
      <c r="I627" s="377"/>
      <c r="J627" s="378"/>
      <c r="K627" s="379"/>
      <c r="L627" s="387"/>
      <c r="M627" s="380" t="str">
        <f t="array" ref="M627">IF(L627="","",(MAX(IF(AN$15:AN$144=B627,AO$15:AO$144))/60))</f>
        <v/>
      </c>
      <c r="N627" s="387"/>
      <c r="O627" s="387"/>
      <c r="P627" s="381" t="str">
        <f t="shared" si="37"/>
        <v/>
      </c>
      <c r="Q627" s="382" t="str">
        <f t="array" ref="Q627">IFERROR(INDEX($D$13:$D$1000,MATCH(0,COUNTIF($Q$13:Q626,$D$13:$D$1000&amp;"")+IF($D$13:$D$1000="",1,0),0)),"")</f>
        <v/>
      </c>
      <c r="R627" s="356" t="str">
        <f t="shared" si="38"/>
        <v/>
      </c>
      <c r="S627" s="383" t="str">
        <f t="shared" si="40"/>
        <v/>
      </c>
      <c r="T627" s="384" t="str">
        <f t="shared" si="39"/>
        <v/>
      </c>
      <c r="U627" s="349"/>
      <c r="V627" s="385"/>
      <c r="W627" s="385"/>
      <c r="X627" s="386"/>
    </row>
    <row r="628" spans="2:24">
      <c r="B628" s="395"/>
      <c r="C628" s="371"/>
      <c r="D628" s="372" t="str">
        <f>IFERROR(INDEX('[12]Equipment List'!$B$2:$B$2038,MATCH(E628,'[12]Equipment List'!$A$2:$A$2038,0)),"")</f>
        <v/>
      </c>
      <c r="E628" s="388"/>
      <c r="F628" s="374"/>
      <c r="G628" s="375"/>
      <c r="H628" s="397"/>
      <c r="I628" s="377"/>
      <c r="J628" s="378"/>
      <c r="K628" s="379"/>
      <c r="L628" s="387"/>
      <c r="M628" s="380" t="str">
        <f t="array" ref="M628">IF(L628="","",(MAX(IF(AN$15:AN$144=B628,AO$15:AO$144))/60))</f>
        <v/>
      </c>
      <c r="N628" s="387"/>
      <c r="O628" s="387"/>
      <c r="P628" s="381" t="str">
        <f t="shared" si="37"/>
        <v/>
      </c>
      <c r="Q628" s="382" t="str">
        <f t="array" ref="Q628">IFERROR(INDEX($D$13:$D$1000,MATCH(0,COUNTIF($Q$13:Q627,$D$13:$D$1000&amp;"")+IF($D$13:$D$1000="",1,0),0)),"")</f>
        <v/>
      </c>
      <c r="R628" s="356" t="str">
        <f t="shared" si="38"/>
        <v/>
      </c>
      <c r="S628" s="383" t="str">
        <f t="shared" si="40"/>
        <v/>
      </c>
      <c r="T628" s="384" t="str">
        <f t="shared" si="39"/>
        <v/>
      </c>
      <c r="U628" s="349"/>
      <c r="V628" s="385"/>
      <c r="W628" s="385"/>
      <c r="X628" s="386"/>
    </row>
    <row r="629" spans="2:24">
      <c r="B629" s="395"/>
      <c r="C629" s="371"/>
      <c r="D629" s="372" t="str">
        <f>IFERROR(INDEX('[12]Equipment List'!$B$2:$B$2038,MATCH(E629,'[12]Equipment List'!$A$2:$A$2038,0)),"")</f>
        <v/>
      </c>
      <c r="E629" s="388"/>
      <c r="F629" s="374"/>
      <c r="G629" s="375"/>
      <c r="H629" s="397"/>
      <c r="I629" s="377"/>
      <c r="J629" s="378"/>
      <c r="K629" s="379"/>
      <c r="L629" s="387"/>
      <c r="M629" s="380" t="str">
        <f t="array" ref="M629">IF(L629="","",(MAX(IF(AN$15:AN$144=B629,AO$15:AO$144))/60))</f>
        <v/>
      </c>
      <c r="N629" s="387"/>
      <c r="O629" s="387"/>
      <c r="P629" s="381" t="str">
        <f t="shared" si="37"/>
        <v/>
      </c>
      <c r="Q629" s="382" t="str">
        <f t="array" ref="Q629">IFERROR(INDEX($D$13:$D$1000,MATCH(0,COUNTIF($Q$13:Q628,$D$13:$D$1000&amp;"")+IF($D$13:$D$1000="",1,0),0)),"")</f>
        <v/>
      </c>
      <c r="R629" s="356" t="str">
        <f t="shared" si="38"/>
        <v/>
      </c>
      <c r="S629" s="383" t="str">
        <f t="shared" si="40"/>
        <v/>
      </c>
      <c r="T629" s="384" t="str">
        <f t="shared" si="39"/>
        <v/>
      </c>
      <c r="U629" s="349"/>
      <c r="V629" s="385"/>
      <c r="W629" s="385"/>
      <c r="X629" s="386"/>
    </row>
    <row r="630" spans="2:24">
      <c r="B630" s="395"/>
      <c r="C630" s="371"/>
      <c r="D630" s="372" t="str">
        <f>IFERROR(INDEX('[12]Equipment List'!$B$2:$B$2038,MATCH(E630,'[12]Equipment List'!$A$2:$A$2038,0)),"")</f>
        <v/>
      </c>
      <c r="E630" s="388"/>
      <c r="F630" s="374"/>
      <c r="G630" s="375"/>
      <c r="H630" s="397"/>
      <c r="I630" s="377"/>
      <c r="J630" s="378"/>
      <c r="K630" s="379"/>
      <c r="L630" s="387"/>
      <c r="M630" s="380" t="str">
        <f t="array" ref="M630">IF(L630="","",(MAX(IF(AN$15:AN$144=B630,AO$15:AO$144))/60))</f>
        <v/>
      </c>
      <c r="N630" s="387"/>
      <c r="O630" s="387"/>
      <c r="P630" s="381" t="str">
        <f t="shared" si="37"/>
        <v/>
      </c>
      <c r="Q630" s="382" t="str">
        <f t="array" ref="Q630">IFERROR(INDEX($D$13:$D$1000,MATCH(0,COUNTIF($Q$13:Q629,$D$13:$D$1000&amp;"")+IF($D$13:$D$1000="",1,0),0)),"")</f>
        <v/>
      </c>
      <c r="R630" s="356" t="str">
        <f t="shared" si="38"/>
        <v/>
      </c>
      <c r="S630" s="383" t="str">
        <f t="shared" si="40"/>
        <v/>
      </c>
      <c r="T630" s="384" t="str">
        <f t="shared" si="39"/>
        <v/>
      </c>
      <c r="U630" s="349"/>
      <c r="V630" s="385"/>
      <c r="W630" s="385"/>
      <c r="X630" s="386"/>
    </row>
    <row r="631" spans="2:24">
      <c r="B631" s="395"/>
      <c r="C631" s="371"/>
      <c r="D631" s="372" t="str">
        <f>IFERROR(INDEX('[12]Equipment List'!$B$2:$B$2038,MATCH(E631,'[12]Equipment List'!$A$2:$A$2038,0)),"")</f>
        <v/>
      </c>
      <c r="E631" s="388"/>
      <c r="F631" s="374"/>
      <c r="G631" s="375"/>
      <c r="H631" s="397"/>
      <c r="I631" s="377"/>
      <c r="J631" s="378"/>
      <c r="K631" s="379"/>
      <c r="L631" s="387"/>
      <c r="M631" s="380" t="str">
        <f t="array" ref="M631">IF(L631="","",(MAX(IF(AN$15:AN$144=B631,AO$15:AO$144))/60))</f>
        <v/>
      </c>
      <c r="N631" s="387"/>
      <c r="O631" s="387"/>
      <c r="P631" s="381" t="str">
        <f t="shared" si="37"/>
        <v/>
      </c>
      <c r="Q631" s="382" t="str">
        <f t="array" ref="Q631">IFERROR(INDEX($D$13:$D$1000,MATCH(0,COUNTIF($Q$13:Q630,$D$13:$D$1000&amp;"")+IF($D$13:$D$1000="",1,0),0)),"")</f>
        <v/>
      </c>
      <c r="R631" s="356" t="str">
        <f t="shared" si="38"/>
        <v/>
      </c>
      <c r="S631" s="383" t="str">
        <f t="shared" si="40"/>
        <v/>
      </c>
      <c r="T631" s="384" t="str">
        <f t="shared" si="39"/>
        <v/>
      </c>
      <c r="U631" s="349"/>
      <c r="V631" s="385"/>
      <c r="W631" s="385"/>
      <c r="X631" s="386"/>
    </row>
    <row r="632" spans="2:24">
      <c r="B632" s="395"/>
      <c r="C632" s="371"/>
      <c r="D632" s="372" t="str">
        <f>IFERROR(INDEX('[12]Equipment List'!$B$2:$B$2038,MATCH(E632,'[12]Equipment List'!$A$2:$A$2038,0)),"")</f>
        <v/>
      </c>
      <c r="E632" s="388"/>
      <c r="F632" s="374"/>
      <c r="G632" s="375"/>
      <c r="H632" s="397"/>
      <c r="I632" s="377"/>
      <c r="J632" s="378"/>
      <c r="K632" s="379"/>
      <c r="L632" s="387"/>
      <c r="M632" s="380" t="str">
        <f t="array" ref="M632">IF(L632="","",(MAX(IF(AN$15:AN$144=B632,AO$15:AO$144))/60))</f>
        <v/>
      </c>
      <c r="N632" s="387"/>
      <c r="O632" s="387"/>
      <c r="P632" s="381" t="str">
        <f t="shared" si="37"/>
        <v/>
      </c>
      <c r="Q632" s="382" t="str">
        <f t="array" ref="Q632">IFERROR(INDEX($D$13:$D$1000,MATCH(0,COUNTIF($Q$13:Q631,$D$13:$D$1000&amp;"")+IF($D$13:$D$1000="",1,0),0)),"")</f>
        <v/>
      </c>
      <c r="R632" s="356" t="str">
        <f t="shared" si="38"/>
        <v/>
      </c>
      <c r="S632" s="383" t="str">
        <f t="shared" si="40"/>
        <v/>
      </c>
      <c r="T632" s="384" t="str">
        <f t="shared" si="39"/>
        <v/>
      </c>
      <c r="U632" s="349"/>
      <c r="V632" s="385"/>
      <c r="W632" s="385"/>
      <c r="X632" s="386"/>
    </row>
    <row r="633" spans="2:24">
      <c r="B633" s="395"/>
      <c r="C633" s="371"/>
      <c r="D633" s="372" t="str">
        <f>IFERROR(INDEX('[12]Equipment List'!$B$2:$B$2038,MATCH(E633,'[12]Equipment List'!$A$2:$A$2038,0)),"")</f>
        <v/>
      </c>
      <c r="E633" s="388"/>
      <c r="F633" s="374"/>
      <c r="G633" s="375"/>
      <c r="H633" s="397"/>
      <c r="I633" s="377"/>
      <c r="J633" s="378"/>
      <c r="K633" s="379"/>
      <c r="L633" s="387"/>
      <c r="M633" s="380" t="str">
        <f t="array" ref="M633">IF(L633="","",(MAX(IF(AN$15:AN$144=B633,AO$15:AO$144))/60))</f>
        <v/>
      </c>
      <c r="N633" s="387"/>
      <c r="O633" s="387"/>
      <c r="P633" s="381" t="str">
        <f t="shared" si="37"/>
        <v/>
      </c>
      <c r="Q633" s="382" t="str">
        <f t="array" ref="Q633">IFERROR(INDEX($D$13:$D$1000,MATCH(0,COUNTIF($Q$13:Q632,$D$13:$D$1000&amp;"")+IF($D$13:$D$1000="",1,0),0)),"")</f>
        <v/>
      </c>
      <c r="R633" s="356" t="str">
        <f t="shared" si="38"/>
        <v/>
      </c>
      <c r="S633" s="383" t="str">
        <f t="shared" si="40"/>
        <v/>
      </c>
      <c r="T633" s="384" t="str">
        <f t="shared" si="39"/>
        <v/>
      </c>
      <c r="U633" s="349"/>
      <c r="V633" s="385"/>
      <c r="W633" s="385"/>
      <c r="X633" s="386"/>
    </row>
    <row r="634" spans="2:24">
      <c r="B634" s="395"/>
      <c r="C634" s="371"/>
      <c r="D634" s="372" t="str">
        <f>IFERROR(INDEX('[12]Equipment List'!$B$2:$B$2038,MATCH(E634,'[12]Equipment List'!$A$2:$A$2038,0)),"")</f>
        <v/>
      </c>
      <c r="E634" s="388"/>
      <c r="F634" s="374"/>
      <c r="G634" s="375"/>
      <c r="H634" s="397"/>
      <c r="I634" s="377"/>
      <c r="J634" s="378"/>
      <c r="K634" s="379"/>
      <c r="L634" s="387"/>
      <c r="M634" s="380" t="str">
        <f t="array" ref="M634">IF(L634="","",(MAX(IF(AN$15:AN$144=B634,AO$15:AO$144))/60))</f>
        <v/>
      </c>
      <c r="N634" s="387"/>
      <c r="O634" s="387"/>
      <c r="P634" s="381" t="str">
        <f t="shared" si="37"/>
        <v/>
      </c>
      <c r="Q634" s="382" t="str">
        <f t="array" ref="Q634">IFERROR(INDEX($D$13:$D$1000,MATCH(0,COUNTIF($Q$13:Q633,$D$13:$D$1000&amp;"")+IF($D$13:$D$1000="",1,0),0)),"")</f>
        <v/>
      </c>
      <c r="R634" s="356" t="str">
        <f t="shared" si="38"/>
        <v/>
      </c>
      <c r="S634" s="383" t="str">
        <f t="shared" si="40"/>
        <v/>
      </c>
      <c r="T634" s="384" t="str">
        <f t="shared" si="39"/>
        <v/>
      </c>
      <c r="U634" s="349"/>
      <c r="V634" s="385"/>
      <c r="W634" s="385"/>
      <c r="X634" s="386"/>
    </row>
    <row r="635" spans="2:24">
      <c r="B635" s="395"/>
      <c r="C635" s="371"/>
      <c r="D635" s="372" t="str">
        <f>IFERROR(INDEX('[12]Equipment List'!$B$2:$B$2038,MATCH(E635,'[12]Equipment List'!$A$2:$A$2038,0)),"")</f>
        <v/>
      </c>
      <c r="E635" s="388"/>
      <c r="F635" s="374"/>
      <c r="G635" s="375"/>
      <c r="H635" s="397"/>
      <c r="I635" s="377"/>
      <c r="J635" s="378"/>
      <c r="K635" s="379"/>
      <c r="L635" s="387"/>
      <c r="M635" s="380" t="str">
        <f t="array" ref="M635">IF(L635="","",(MAX(IF(AN$15:AN$144=B635,AO$15:AO$144))/60))</f>
        <v/>
      </c>
      <c r="N635" s="387"/>
      <c r="O635" s="387"/>
      <c r="P635" s="381" t="str">
        <f t="shared" si="37"/>
        <v/>
      </c>
      <c r="Q635" s="382" t="str">
        <f t="array" ref="Q635">IFERROR(INDEX($D$13:$D$1000,MATCH(0,COUNTIF($Q$13:Q634,$D$13:$D$1000&amp;"")+IF($D$13:$D$1000="",1,0),0)),"")</f>
        <v/>
      </c>
      <c r="R635" s="356" t="str">
        <f t="shared" si="38"/>
        <v/>
      </c>
      <c r="S635" s="383" t="str">
        <f t="shared" si="40"/>
        <v/>
      </c>
      <c r="T635" s="384" t="str">
        <f t="shared" si="39"/>
        <v/>
      </c>
      <c r="U635" s="349"/>
      <c r="V635" s="385"/>
      <c r="W635" s="385"/>
      <c r="X635" s="386"/>
    </row>
    <row r="636" spans="2:24">
      <c r="B636" s="395"/>
      <c r="C636" s="371"/>
      <c r="D636" s="372" t="str">
        <f>IFERROR(INDEX('[12]Equipment List'!$B$2:$B$2038,MATCH(E636,'[12]Equipment List'!$A$2:$A$2038,0)),"")</f>
        <v/>
      </c>
      <c r="E636" s="388"/>
      <c r="F636" s="374"/>
      <c r="G636" s="375"/>
      <c r="H636" s="397"/>
      <c r="I636" s="377"/>
      <c r="J636" s="378"/>
      <c r="K636" s="379"/>
      <c r="L636" s="387"/>
      <c r="M636" s="380" t="str">
        <f t="array" ref="M636">IF(L636="","",(MAX(IF(AN$15:AN$144=B636,AO$15:AO$144))/60))</f>
        <v/>
      </c>
      <c r="N636" s="387"/>
      <c r="O636" s="387"/>
      <c r="P636" s="381" t="str">
        <f t="shared" si="37"/>
        <v/>
      </c>
      <c r="Q636" s="382" t="str">
        <f t="array" ref="Q636">IFERROR(INDEX($D$13:$D$1000,MATCH(0,COUNTIF($Q$13:Q635,$D$13:$D$1000&amp;"")+IF($D$13:$D$1000="",1,0),0)),"")</f>
        <v/>
      </c>
      <c r="R636" s="356" t="str">
        <f t="shared" si="38"/>
        <v/>
      </c>
      <c r="S636" s="383" t="str">
        <f t="shared" si="40"/>
        <v/>
      </c>
      <c r="T636" s="384" t="str">
        <f t="shared" si="39"/>
        <v/>
      </c>
      <c r="U636" s="349"/>
      <c r="V636" s="385"/>
      <c r="W636" s="385"/>
      <c r="X636" s="386"/>
    </row>
    <row r="637" spans="2:24">
      <c r="B637" s="395"/>
      <c r="C637" s="371"/>
      <c r="D637" s="372" t="str">
        <f>IFERROR(INDEX('[12]Equipment List'!$B$2:$B$2038,MATCH(E637,'[12]Equipment List'!$A$2:$A$2038,0)),"")</f>
        <v/>
      </c>
      <c r="E637" s="388"/>
      <c r="F637" s="374"/>
      <c r="G637" s="375"/>
      <c r="H637" s="397"/>
      <c r="I637" s="377"/>
      <c r="J637" s="378"/>
      <c r="K637" s="379"/>
      <c r="L637" s="387"/>
      <c r="M637" s="380" t="str">
        <f t="array" ref="M637">IF(L637="","",(MAX(IF(AN$15:AN$144=B637,AO$15:AO$144))/60))</f>
        <v/>
      </c>
      <c r="N637" s="387"/>
      <c r="O637" s="387"/>
      <c r="P637" s="381" t="str">
        <f t="shared" si="37"/>
        <v/>
      </c>
      <c r="Q637" s="382" t="str">
        <f t="array" ref="Q637">IFERROR(INDEX($D$13:$D$1000,MATCH(0,COUNTIF($Q$13:Q636,$D$13:$D$1000&amp;"")+IF($D$13:$D$1000="",1,0),0)),"")</f>
        <v/>
      </c>
      <c r="R637" s="356" t="str">
        <f t="shared" si="38"/>
        <v/>
      </c>
      <c r="S637" s="383" t="str">
        <f t="shared" si="40"/>
        <v/>
      </c>
      <c r="T637" s="384" t="str">
        <f t="shared" si="39"/>
        <v/>
      </c>
      <c r="U637" s="349"/>
      <c r="V637" s="385"/>
      <c r="W637" s="385"/>
      <c r="X637" s="386"/>
    </row>
    <row r="638" spans="2:24">
      <c r="B638" s="395"/>
      <c r="C638" s="371"/>
      <c r="D638" s="372" t="str">
        <f>IFERROR(INDEX('[12]Equipment List'!$B$2:$B$2038,MATCH(E638,'[12]Equipment List'!$A$2:$A$2038,0)),"")</f>
        <v/>
      </c>
      <c r="E638" s="388"/>
      <c r="F638" s="374"/>
      <c r="G638" s="375"/>
      <c r="H638" s="397"/>
      <c r="I638" s="377"/>
      <c r="J638" s="378"/>
      <c r="K638" s="379"/>
      <c r="L638" s="387"/>
      <c r="M638" s="380" t="str">
        <f t="array" ref="M638">IF(L638="","",(MAX(IF(AN$15:AN$144=B638,AO$15:AO$144))/60))</f>
        <v/>
      </c>
      <c r="N638" s="387"/>
      <c r="O638" s="387"/>
      <c r="P638" s="381" t="str">
        <f t="shared" si="37"/>
        <v/>
      </c>
      <c r="Q638" s="382" t="str">
        <f t="array" ref="Q638">IFERROR(INDEX($D$13:$D$1000,MATCH(0,COUNTIF($Q$13:Q637,$D$13:$D$1000&amp;"")+IF($D$13:$D$1000="",1,0),0)),"")</f>
        <v/>
      </c>
      <c r="R638" s="356" t="str">
        <f t="shared" si="38"/>
        <v/>
      </c>
      <c r="S638" s="383" t="str">
        <f t="shared" si="40"/>
        <v/>
      </c>
      <c r="T638" s="384" t="str">
        <f t="shared" si="39"/>
        <v/>
      </c>
      <c r="U638" s="349"/>
      <c r="V638" s="385"/>
      <c r="W638" s="385"/>
      <c r="X638" s="386"/>
    </row>
    <row r="639" spans="2:24">
      <c r="B639" s="395"/>
      <c r="C639" s="371"/>
      <c r="D639" s="372" t="str">
        <f>IFERROR(INDEX('[12]Equipment List'!$B$2:$B$2038,MATCH(E639,'[12]Equipment List'!$A$2:$A$2038,0)),"")</f>
        <v/>
      </c>
      <c r="E639" s="388"/>
      <c r="F639" s="374"/>
      <c r="G639" s="375"/>
      <c r="H639" s="397"/>
      <c r="I639" s="377"/>
      <c r="J639" s="378"/>
      <c r="K639" s="379"/>
      <c r="L639" s="387"/>
      <c r="M639" s="380" t="str">
        <f t="array" ref="M639">IF(L639="","",(MAX(IF(AN$15:AN$144=B639,AO$15:AO$144))/60))</f>
        <v/>
      </c>
      <c r="N639" s="387"/>
      <c r="O639" s="387"/>
      <c r="P639" s="381" t="str">
        <f t="shared" si="37"/>
        <v/>
      </c>
      <c r="Q639" s="382" t="str">
        <f t="array" ref="Q639">IFERROR(INDEX($D$13:$D$1000,MATCH(0,COUNTIF($Q$13:Q638,$D$13:$D$1000&amp;"")+IF($D$13:$D$1000="",1,0),0)),"")</f>
        <v/>
      </c>
      <c r="R639" s="356" t="str">
        <f t="shared" si="38"/>
        <v/>
      </c>
      <c r="S639" s="383" t="str">
        <f t="shared" si="40"/>
        <v/>
      </c>
      <c r="T639" s="384" t="str">
        <f t="shared" si="39"/>
        <v/>
      </c>
      <c r="U639" s="349"/>
      <c r="V639" s="385"/>
      <c r="W639" s="385"/>
      <c r="X639" s="386"/>
    </row>
    <row r="640" spans="2:24">
      <c r="B640" s="395"/>
      <c r="C640" s="371"/>
      <c r="D640" s="372" t="str">
        <f>IFERROR(INDEX('[12]Equipment List'!$B$2:$B$2038,MATCH(E640,'[12]Equipment List'!$A$2:$A$2038,0)),"")</f>
        <v/>
      </c>
      <c r="E640" s="388"/>
      <c r="F640" s="374"/>
      <c r="G640" s="375"/>
      <c r="H640" s="397"/>
      <c r="I640" s="377"/>
      <c r="J640" s="378"/>
      <c r="K640" s="379"/>
      <c r="L640" s="387"/>
      <c r="M640" s="380" t="str">
        <f t="array" ref="M640">IF(L640="","",(MAX(IF(AN$15:AN$144=B640,AO$15:AO$144))/60))</f>
        <v/>
      </c>
      <c r="N640" s="387"/>
      <c r="O640" s="387"/>
      <c r="P640" s="381" t="str">
        <f t="shared" si="37"/>
        <v/>
      </c>
      <c r="Q640" s="382" t="str">
        <f t="array" ref="Q640">IFERROR(INDEX($D$13:$D$1000,MATCH(0,COUNTIF($Q$13:Q639,$D$13:$D$1000&amp;"")+IF($D$13:$D$1000="",1,0),0)),"")</f>
        <v/>
      </c>
      <c r="R640" s="356" t="str">
        <f t="shared" si="38"/>
        <v/>
      </c>
      <c r="S640" s="383" t="str">
        <f t="shared" si="40"/>
        <v/>
      </c>
      <c r="T640" s="384" t="str">
        <f t="shared" si="39"/>
        <v/>
      </c>
      <c r="U640" s="349"/>
      <c r="V640" s="385"/>
      <c r="W640" s="385"/>
      <c r="X640" s="386"/>
    </row>
    <row r="641" spans="2:24">
      <c r="B641" s="395"/>
      <c r="C641" s="371"/>
      <c r="D641" s="372" t="str">
        <f>IFERROR(INDEX('[12]Equipment List'!$B$2:$B$2038,MATCH(E641,'[12]Equipment List'!$A$2:$A$2038,0)),"")</f>
        <v/>
      </c>
      <c r="E641" s="388"/>
      <c r="F641" s="374"/>
      <c r="G641" s="375"/>
      <c r="H641" s="397"/>
      <c r="I641" s="377"/>
      <c r="J641" s="378"/>
      <c r="K641" s="379"/>
      <c r="L641" s="387"/>
      <c r="M641" s="380" t="str">
        <f t="array" ref="M641">IF(L641="","",(MAX(IF(AN$15:AN$144=B641,AO$15:AO$144))/60))</f>
        <v/>
      </c>
      <c r="N641" s="387"/>
      <c r="O641" s="387"/>
      <c r="P641" s="381" t="str">
        <f t="shared" si="37"/>
        <v/>
      </c>
      <c r="Q641" s="382" t="str">
        <f t="array" ref="Q641">IFERROR(INDEX($D$13:$D$1000,MATCH(0,COUNTIF($Q$13:Q640,$D$13:$D$1000&amp;"")+IF($D$13:$D$1000="",1,0),0)),"")</f>
        <v/>
      </c>
      <c r="R641" s="356" t="str">
        <f t="shared" si="38"/>
        <v/>
      </c>
      <c r="S641" s="383" t="str">
        <f t="shared" si="40"/>
        <v/>
      </c>
      <c r="T641" s="384" t="str">
        <f t="shared" si="39"/>
        <v/>
      </c>
      <c r="U641" s="349"/>
      <c r="V641" s="385"/>
      <c r="W641" s="385"/>
      <c r="X641" s="386"/>
    </row>
    <row r="642" spans="2:24">
      <c r="B642" s="395"/>
      <c r="C642" s="371"/>
      <c r="D642" s="372" t="str">
        <f>IFERROR(INDEX('[12]Equipment List'!$B$2:$B$2038,MATCH(E642,'[12]Equipment List'!$A$2:$A$2038,0)),"")</f>
        <v/>
      </c>
      <c r="E642" s="388"/>
      <c r="F642" s="374"/>
      <c r="G642" s="375"/>
      <c r="H642" s="397"/>
      <c r="I642" s="377"/>
      <c r="J642" s="378"/>
      <c r="K642" s="379"/>
      <c r="L642" s="387"/>
      <c r="M642" s="380" t="str">
        <f t="array" ref="M642">IF(L642="","",(MAX(IF(AN$15:AN$144=B642,AO$15:AO$144))/60))</f>
        <v/>
      </c>
      <c r="N642" s="387"/>
      <c r="O642" s="387"/>
      <c r="P642" s="381" t="str">
        <f t="shared" si="37"/>
        <v/>
      </c>
      <c r="Q642" s="382" t="str">
        <f t="array" ref="Q642">IFERROR(INDEX($D$13:$D$1000,MATCH(0,COUNTIF($Q$13:Q641,$D$13:$D$1000&amp;"")+IF($D$13:$D$1000="",1,0),0)),"")</f>
        <v/>
      </c>
      <c r="R642" s="356" t="str">
        <f t="shared" si="38"/>
        <v/>
      </c>
      <c r="S642" s="383" t="str">
        <f t="shared" si="40"/>
        <v/>
      </c>
      <c r="T642" s="384" t="str">
        <f t="shared" si="39"/>
        <v/>
      </c>
      <c r="U642" s="349"/>
      <c r="V642" s="385"/>
      <c r="W642" s="385"/>
      <c r="X642" s="386"/>
    </row>
    <row r="643" spans="2:24">
      <c r="B643" s="395"/>
      <c r="C643" s="371"/>
      <c r="D643" s="372" t="str">
        <f>IFERROR(INDEX('[12]Equipment List'!$B$2:$B$2038,MATCH(E643,'[12]Equipment List'!$A$2:$A$2038,0)),"")</f>
        <v/>
      </c>
      <c r="E643" s="388"/>
      <c r="F643" s="374"/>
      <c r="G643" s="375"/>
      <c r="H643" s="397"/>
      <c r="I643" s="377"/>
      <c r="J643" s="378"/>
      <c r="K643" s="379"/>
      <c r="L643" s="387"/>
      <c r="M643" s="380" t="str">
        <f t="array" ref="M643">IF(L643="","",(MAX(IF(AN$15:AN$144=B643,AO$15:AO$144))/60))</f>
        <v/>
      </c>
      <c r="N643" s="387"/>
      <c r="O643" s="387"/>
      <c r="P643" s="381" t="str">
        <f t="shared" si="37"/>
        <v/>
      </c>
      <c r="Q643" s="382" t="str">
        <f t="array" ref="Q643">IFERROR(INDEX($D$13:$D$1000,MATCH(0,COUNTIF($Q$13:Q642,$D$13:$D$1000&amp;"")+IF($D$13:$D$1000="",1,0),0)),"")</f>
        <v/>
      </c>
      <c r="R643" s="356" t="str">
        <f t="shared" si="38"/>
        <v/>
      </c>
      <c r="S643" s="383" t="str">
        <f t="shared" si="40"/>
        <v/>
      </c>
      <c r="T643" s="384" t="str">
        <f t="shared" si="39"/>
        <v/>
      </c>
      <c r="U643" s="349"/>
      <c r="V643" s="385"/>
      <c r="W643" s="385"/>
      <c r="X643" s="386"/>
    </row>
    <row r="644" spans="2:24">
      <c r="B644" s="395"/>
      <c r="C644" s="371"/>
      <c r="D644" s="372" t="str">
        <f>IFERROR(INDEX('[12]Equipment List'!$B$2:$B$2038,MATCH(E644,'[12]Equipment List'!$A$2:$A$2038,0)),"")</f>
        <v/>
      </c>
      <c r="E644" s="388"/>
      <c r="F644" s="374"/>
      <c r="G644" s="375"/>
      <c r="H644" s="397"/>
      <c r="I644" s="377"/>
      <c r="J644" s="378"/>
      <c r="K644" s="379"/>
      <c r="L644" s="387"/>
      <c r="M644" s="380" t="str">
        <f t="array" ref="M644">IF(L644="","",(MAX(IF(AN$15:AN$144=B644,AO$15:AO$144))/60))</f>
        <v/>
      </c>
      <c r="N644" s="387"/>
      <c r="O644" s="387"/>
      <c r="P644" s="381" t="str">
        <f t="shared" si="37"/>
        <v/>
      </c>
      <c r="Q644" s="382" t="str">
        <f t="array" ref="Q644">IFERROR(INDEX($D$13:$D$1000,MATCH(0,COUNTIF($Q$13:Q643,$D$13:$D$1000&amp;"")+IF($D$13:$D$1000="",1,0),0)),"")</f>
        <v/>
      </c>
      <c r="R644" s="356" t="str">
        <f t="shared" si="38"/>
        <v/>
      </c>
      <c r="S644" s="383" t="str">
        <f t="shared" si="40"/>
        <v/>
      </c>
      <c r="T644" s="384" t="str">
        <f t="shared" si="39"/>
        <v/>
      </c>
      <c r="U644" s="349"/>
      <c r="V644" s="385"/>
      <c r="W644" s="385"/>
      <c r="X644" s="386"/>
    </row>
    <row r="645" spans="2:24">
      <c r="B645" s="395"/>
      <c r="C645" s="371"/>
      <c r="D645" s="372" t="str">
        <f>IFERROR(INDEX('[12]Equipment List'!$B$2:$B$2038,MATCH(E645,'[12]Equipment List'!$A$2:$A$2038,0)),"")</f>
        <v/>
      </c>
      <c r="E645" s="388"/>
      <c r="F645" s="374"/>
      <c r="G645" s="375"/>
      <c r="H645" s="397"/>
      <c r="I645" s="377"/>
      <c r="J645" s="378"/>
      <c r="K645" s="379"/>
      <c r="L645" s="387"/>
      <c r="M645" s="380" t="str">
        <f t="array" ref="M645">IF(L645="","",(MAX(IF(AN$15:AN$144=B645,AO$15:AO$144))/60))</f>
        <v/>
      </c>
      <c r="N645" s="387"/>
      <c r="O645" s="387"/>
      <c r="P645" s="381" t="str">
        <f t="shared" si="37"/>
        <v/>
      </c>
      <c r="Q645" s="382" t="str">
        <f t="array" ref="Q645">IFERROR(INDEX($D$13:$D$1000,MATCH(0,COUNTIF($Q$13:Q644,$D$13:$D$1000&amp;"")+IF($D$13:$D$1000="",1,0),0)),"")</f>
        <v/>
      </c>
      <c r="R645" s="356" t="str">
        <f t="shared" si="38"/>
        <v/>
      </c>
      <c r="S645" s="383" t="str">
        <f t="shared" si="40"/>
        <v/>
      </c>
      <c r="T645" s="384" t="str">
        <f t="shared" si="39"/>
        <v/>
      </c>
      <c r="U645" s="349"/>
      <c r="V645" s="385"/>
      <c r="W645" s="385"/>
      <c r="X645" s="386"/>
    </row>
    <row r="646" spans="2:24">
      <c r="B646" s="395"/>
      <c r="C646" s="371"/>
      <c r="D646" s="372" t="str">
        <f>IFERROR(INDEX('[12]Equipment List'!$B$2:$B$2038,MATCH(E646,'[12]Equipment List'!$A$2:$A$2038,0)),"")</f>
        <v/>
      </c>
      <c r="E646" s="388"/>
      <c r="F646" s="374"/>
      <c r="G646" s="375"/>
      <c r="H646" s="397"/>
      <c r="I646" s="377"/>
      <c r="J646" s="378"/>
      <c r="K646" s="379"/>
      <c r="L646" s="387"/>
      <c r="M646" s="380" t="str">
        <f t="array" ref="M646">IF(L646="","",(MAX(IF(AN$15:AN$144=B646,AO$15:AO$144))/60))</f>
        <v/>
      </c>
      <c r="N646" s="387"/>
      <c r="O646" s="387"/>
      <c r="P646" s="381" t="str">
        <f t="shared" si="37"/>
        <v/>
      </c>
      <c r="Q646" s="382" t="str">
        <f t="array" ref="Q646">IFERROR(INDEX($D$13:$D$1000,MATCH(0,COUNTIF($Q$13:Q645,$D$13:$D$1000&amp;"")+IF($D$13:$D$1000="",1,0),0)),"")</f>
        <v/>
      </c>
      <c r="R646" s="356" t="str">
        <f t="shared" si="38"/>
        <v/>
      </c>
      <c r="S646" s="383" t="str">
        <f t="shared" si="40"/>
        <v/>
      </c>
      <c r="T646" s="384" t="str">
        <f t="shared" si="39"/>
        <v/>
      </c>
      <c r="U646" s="349"/>
      <c r="V646" s="385"/>
      <c r="W646" s="385"/>
      <c r="X646" s="386"/>
    </row>
    <row r="647" spans="2:24">
      <c r="B647" s="395"/>
      <c r="C647" s="371"/>
      <c r="D647" s="372" t="str">
        <f>IFERROR(INDEX('[12]Equipment List'!$B$2:$B$2038,MATCH(E647,'[12]Equipment List'!$A$2:$A$2038,0)),"")</f>
        <v/>
      </c>
      <c r="E647" s="388"/>
      <c r="F647" s="374"/>
      <c r="G647" s="375"/>
      <c r="H647" s="397"/>
      <c r="I647" s="377"/>
      <c r="J647" s="378"/>
      <c r="K647" s="379"/>
      <c r="L647" s="387"/>
      <c r="M647" s="380" t="str">
        <f t="array" ref="M647">IF(L647="","",(MAX(IF(AN$15:AN$144=B647,AO$15:AO$144))/60))</f>
        <v/>
      </c>
      <c r="N647" s="387"/>
      <c r="O647" s="387"/>
      <c r="P647" s="381" t="str">
        <f t="shared" si="37"/>
        <v/>
      </c>
      <c r="Q647" s="382" t="str">
        <f t="array" ref="Q647">IFERROR(INDEX($D$13:$D$1000,MATCH(0,COUNTIF($Q$13:Q646,$D$13:$D$1000&amp;"")+IF($D$13:$D$1000="",1,0),0)),"")</f>
        <v/>
      </c>
      <c r="R647" s="356" t="str">
        <f t="shared" si="38"/>
        <v/>
      </c>
      <c r="S647" s="383" t="str">
        <f t="shared" si="40"/>
        <v/>
      </c>
      <c r="T647" s="384" t="str">
        <f t="shared" si="39"/>
        <v/>
      </c>
      <c r="U647" s="349"/>
      <c r="V647" s="385"/>
      <c r="W647" s="385"/>
      <c r="X647" s="386"/>
    </row>
    <row r="648" spans="2:24">
      <c r="B648" s="395"/>
      <c r="C648" s="371"/>
      <c r="D648" s="372" t="str">
        <f>IFERROR(INDEX('[12]Equipment List'!$B$2:$B$2038,MATCH(E648,'[12]Equipment List'!$A$2:$A$2038,0)),"")</f>
        <v/>
      </c>
      <c r="E648" s="388"/>
      <c r="F648" s="374"/>
      <c r="G648" s="375"/>
      <c r="H648" s="397"/>
      <c r="I648" s="377"/>
      <c r="J648" s="378"/>
      <c r="K648" s="379"/>
      <c r="L648" s="387"/>
      <c r="M648" s="380" t="str">
        <f t="array" ref="M648">IF(L648="","",(MAX(IF(AN$15:AN$144=B648,AO$15:AO$144))/60))</f>
        <v/>
      </c>
      <c r="N648" s="387"/>
      <c r="O648" s="387"/>
      <c r="P648" s="381" t="str">
        <f t="shared" si="37"/>
        <v/>
      </c>
      <c r="Q648" s="382" t="str">
        <f t="array" ref="Q648">IFERROR(INDEX($D$13:$D$1000,MATCH(0,COUNTIF($Q$13:Q647,$D$13:$D$1000&amp;"")+IF($D$13:$D$1000="",1,0),0)),"")</f>
        <v/>
      </c>
      <c r="R648" s="356" t="str">
        <f t="shared" si="38"/>
        <v/>
      </c>
      <c r="S648" s="383" t="str">
        <f t="shared" si="40"/>
        <v/>
      </c>
      <c r="T648" s="384" t="str">
        <f t="shared" si="39"/>
        <v/>
      </c>
      <c r="U648" s="349"/>
      <c r="V648" s="385"/>
      <c r="W648" s="385"/>
      <c r="X648" s="386"/>
    </row>
    <row r="649" spans="2:24">
      <c r="B649" s="395"/>
      <c r="C649" s="371"/>
      <c r="D649" s="372" t="str">
        <f>IFERROR(INDEX('[12]Equipment List'!$B$2:$B$2038,MATCH(E649,'[12]Equipment List'!$A$2:$A$2038,0)),"")</f>
        <v/>
      </c>
      <c r="E649" s="388"/>
      <c r="F649" s="374"/>
      <c r="G649" s="375"/>
      <c r="H649" s="397"/>
      <c r="I649" s="377"/>
      <c r="J649" s="378"/>
      <c r="K649" s="379"/>
      <c r="L649" s="387"/>
      <c r="M649" s="380" t="str">
        <f t="array" ref="M649">IF(L649="","",(MAX(IF(AN$15:AN$144=B649,AO$15:AO$144))/60))</f>
        <v/>
      </c>
      <c r="N649" s="387"/>
      <c r="O649" s="387"/>
      <c r="P649" s="381" t="str">
        <f t="shared" si="37"/>
        <v/>
      </c>
      <c r="Q649" s="382" t="str">
        <f t="array" ref="Q649">IFERROR(INDEX($D$13:$D$1000,MATCH(0,COUNTIF($Q$13:Q648,$D$13:$D$1000&amp;"")+IF($D$13:$D$1000="",1,0),0)),"")</f>
        <v/>
      </c>
      <c r="R649" s="356" t="str">
        <f t="shared" si="38"/>
        <v/>
      </c>
      <c r="S649" s="383" t="str">
        <f t="shared" si="40"/>
        <v/>
      </c>
      <c r="T649" s="384" t="str">
        <f t="shared" si="39"/>
        <v/>
      </c>
      <c r="U649" s="349"/>
      <c r="V649" s="385"/>
      <c r="W649" s="385"/>
      <c r="X649" s="386"/>
    </row>
    <row r="650" spans="2:24">
      <c r="B650" s="395"/>
      <c r="C650" s="371"/>
      <c r="D650" s="372" t="str">
        <f>IFERROR(INDEX('[12]Equipment List'!$B$2:$B$2038,MATCH(E650,'[12]Equipment List'!$A$2:$A$2038,0)),"")</f>
        <v/>
      </c>
      <c r="E650" s="388"/>
      <c r="F650" s="374"/>
      <c r="G650" s="375"/>
      <c r="H650" s="397"/>
      <c r="I650" s="377"/>
      <c r="J650" s="378"/>
      <c r="K650" s="379"/>
      <c r="L650" s="387"/>
      <c r="M650" s="380" t="str">
        <f t="array" ref="M650">IF(L650="","",(MAX(IF(AN$15:AN$144=B650,AO$15:AO$144))/60))</f>
        <v/>
      </c>
      <c r="N650" s="387"/>
      <c r="O650" s="387"/>
      <c r="P650" s="381" t="str">
        <f t="shared" si="37"/>
        <v/>
      </c>
      <c r="Q650" s="382" t="str">
        <f t="array" ref="Q650">IFERROR(INDEX($D$13:$D$1000,MATCH(0,COUNTIF($Q$13:Q649,$D$13:$D$1000&amp;"")+IF($D$13:$D$1000="",1,0),0)),"")</f>
        <v/>
      </c>
      <c r="R650" s="356" t="str">
        <f t="shared" si="38"/>
        <v/>
      </c>
      <c r="S650" s="383" t="str">
        <f t="shared" si="40"/>
        <v/>
      </c>
      <c r="T650" s="384" t="str">
        <f t="shared" si="39"/>
        <v/>
      </c>
      <c r="U650" s="349"/>
      <c r="V650" s="385"/>
      <c r="W650" s="385"/>
      <c r="X650" s="386"/>
    </row>
    <row r="651" spans="2:24">
      <c r="B651" s="395"/>
      <c r="C651" s="371"/>
      <c r="D651" s="372" t="str">
        <f>IFERROR(INDEX('[12]Equipment List'!$B$2:$B$2038,MATCH(E651,'[12]Equipment List'!$A$2:$A$2038,0)),"")</f>
        <v/>
      </c>
      <c r="E651" s="388"/>
      <c r="F651" s="374"/>
      <c r="G651" s="375"/>
      <c r="H651" s="397"/>
      <c r="I651" s="377"/>
      <c r="J651" s="378"/>
      <c r="K651" s="379"/>
      <c r="L651" s="387"/>
      <c r="M651" s="380" t="str">
        <f t="array" ref="M651">IF(L651="","",(MAX(IF(AN$15:AN$144=B651,AO$15:AO$144))/60))</f>
        <v/>
      </c>
      <c r="N651" s="387"/>
      <c r="O651" s="387"/>
      <c r="P651" s="381" t="str">
        <f t="shared" si="37"/>
        <v/>
      </c>
      <c r="Q651" s="382" t="str">
        <f t="array" ref="Q651">IFERROR(INDEX($D$13:$D$1000,MATCH(0,COUNTIF($Q$13:Q650,$D$13:$D$1000&amp;"")+IF($D$13:$D$1000="",1,0),0)),"")</f>
        <v/>
      </c>
      <c r="R651" s="356" t="str">
        <f t="shared" si="38"/>
        <v/>
      </c>
      <c r="S651" s="383" t="str">
        <f t="shared" si="40"/>
        <v/>
      </c>
      <c r="T651" s="384" t="str">
        <f t="shared" si="39"/>
        <v/>
      </c>
      <c r="U651" s="349"/>
      <c r="V651" s="385"/>
      <c r="W651" s="385"/>
      <c r="X651" s="386"/>
    </row>
    <row r="652" spans="2:24">
      <c r="B652" s="395"/>
      <c r="C652" s="371"/>
      <c r="D652" s="372" t="str">
        <f>IFERROR(INDEX('[12]Equipment List'!$B$2:$B$2038,MATCH(E652,'[12]Equipment List'!$A$2:$A$2038,0)),"")</f>
        <v/>
      </c>
      <c r="E652" s="388"/>
      <c r="F652" s="374"/>
      <c r="G652" s="375"/>
      <c r="H652" s="397"/>
      <c r="I652" s="377"/>
      <c r="J652" s="378"/>
      <c r="K652" s="379"/>
      <c r="L652" s="387"/>
      <c r="M652" s="380" t="str">
        <f t="array" ref="M652">IF(L652="","",(MAX(IF(AN$15:AN$144=B652,AO$15:AO$144))/60))</f>
        <v/>
      </c>
      <c r="N652" s="387"/>
      <c r="O652" s="387"/>
      <c r="P652" s="381" t="str">
        <f t="shared" ref="P652:P715" si="41">IFERROR((((K652/5/250/$F$8)+(N652*$F$9))/$S$4)*(M652/60),"")</f>
        <v/>
      </c>
      <c r="Q652" s="382" t="str">
        <f t="array" ref="Q652">IFERROR(INDEX($D$13:$D$1000,MATCH(0,COUNTIF($Q$13:Q651,$D$13:$D$1000&amp;"")+IF($D$13:$D$1000="",1,0),0)),"")</f>
        <v/>
      </c>
      <c r="R652" s="356" t="str">
        <f t="shared" si="38"/>
        <v/>
      </c>
      <c r="S652" s="383" t="str">
        <f t="shared" si="40"/>
        <v/>
      </c>
      <c r="T652" s="384" t="str">
        <f t="shared" si="39"/>
        <v/>
      </c>
      <c r="U652" s="349"/>
      <c r="V652" s="385"/>
      <c r="W652" s="385"/>
      <c r="X652" s="386"/>
    </row>
    <row r="653" spans="2:24">
      <c r="B653" s="395"/>
      <c r="C653" s="371"/>
      <c r="D653" s="372" t="str">
        <f>IFERROR(INDEX('[12]Equipment List'!$B$2:$B$2038,MATCH(E653,'[12]Equipment List'!$A$2:$A$2038,0)),"")</f>
        <v/>
      </c>
      <c r="E653" s="388"/>
      <c r="F653" s="374"/>
      <c r="G653" s="375"/>
      <c r="H653" s="397"/>
      <c r="I653" s="377"/>
      <c r="J653" s="378"/>
      <c r="K653" s="379"/>
      <c r="L653" s="387"/>
      <c r="M653" s="380" t="str">
        <f t="array" ref="M653">IF(L653="","",(MAX(IF(AN$15:AN$144=B653,AO$15:AO$144))/60))</f>
        <v/>
      </c>
      <c r="N653" s="387"/>
      <c r="O653" s="387"/>
      <c r="P653" s="381" t="str">
        <f t="shared" si="41"/>
        <v/>
      </c>
      <c r="Q653" s="382" t="str">
        <f t="array" ref="Q653">IFERROR(INDEX($D$13:$D$1000,MATCH(0,COUNTIF($Q$13:Q652,$D$13:$D$1000&amp;"")+IF($D$13:$D$1000="",1,0),0)),"")</f>
        <v/>
      </c>
      <c r="R653" s="356" t="str">
        <f t="shared" ref="R653:R716" si="42">IF(Q653="","",COUNTIF($D$13:$D$1000,$Q653))</f>
        <v/>
      </c>
      <c r="S653" s="383" t="str">
        <f t="shared" si="40"/>
        <v/>
      </c>
      <c r="T653" s="384" t="str">
        <f t="shared" ref="T653:T716" si="43">IF($Q653="","",SUMIF($D$13:$D$1000,$Q653,N$13:N$1000))</f>
        <v/>
      </c>
      <c r="U653" s="349"/>
      <c r="V653" s="385"/>
      <c r="W653" s="385"/>
      <c r="X653" s="386"/>
    </row>
    <row r="654" spans="2:24">
      <c r="B654" s="395"/>
      <c r="C654" s="371"/>
      <c r="D654" s="372" t="str">
        <f>IFERROR(INDEX('[12]Equipment List'!$B$2:$B$2038,MATCH(E654,'[12]Equipment List'!$A$2:$A$2038,0)),"")</f>
        <v/>
      </c>
      <c r="E654" s="388"/>
      <c r="F654" s="374"/>
      <c r="G654" s="375"/>
      <c r="H654" s="397"/>
      <c r="I654" s="377"/>
      <c r="J654" s="378"/>
      <c r="K654" s="379"/>
      <c r="L654" s="387"/>
      <c r="M654" s="380" t="str">
        <f t="array" ref="M654">IF(L654="","",(MAX(IF(AN$15:AN$144=B654,AO$15:AO$144))/60))</f>
        <v/>
      </c>
      <c r="N654" s="387"/>
      <c r="O654" s="387"/>
      <c r="P654" s="381" t="str">
        <f t="shared" si="41"/>
        <v/>
      </c>
      <c r="Q654" s="382" t="str">
        <f t="array" ref="Q654">IFERROR(INDEX($D$13:$D$1000,MATCH(0,COUNTIF($Q$13:Q653,$D$13:$D$1000&amp;"")+IF($D$13:$D$1000="",1,0),0)),"")</f>
        <v/>
      </c>
      <c r="R654" s="356" t="str">
        <f t="shared" si="42"/>
        <v/>
      </c>
      <c r="S654" s="383" t="str">
        <f t="shared" si="40"/>
        <v/>
      </c>
      <c r="T654" s="384" t="str">
        <f t="shared" si="43"/>
        <v/>
      </c>
      <c r="U654" s="349"/>
      <c r="V654" s="385"/>
      <c r="W654" s="385"/>
      <c r="X654" s="386"/>
    </row>
    <row r="655" spans="2:24">
      <c r="B655" s="395"/>
      <c r="C655" s="371"/>
      <c r="D655" s="372" t="str">
        <f>IFERROR(INDEX('[12]Equipment List'!$B$2:$B$2038,MATCH(E655,'[12]Equipment List'!$A$2:$A$2038,0)),"")</f>
        <v/>
      </c>
      <c r="E655" s="388"/>
      <c r="F655" s="374"/>
      <c r="G655" s="375"/>
      <c r="H655" s="397"/>
      <c r="I655" s="377"/>
      <c r="J655" s="378"/>
      <c r="K655" s="379"/>
      <c r="L655" s="387"/>
      <c r="M655" s="380" t="str">
        <f t="array" ref="M655">IF(L655="","",(MAX(IF(AN$15:AN$144=B655,AO$15:AO$144))/60))</f>
        <v/>
      </c>
      <c r="N655" s="387"/>
      <c r="O655" s="387"/>
      <c r="P655" s="381" t="str">
        <f t="shared" si="41"/>
        <v/>
      </c>
      <c r="Q655" s="382" t="str">
        <f t="array" ref="Q655">IFERROR(INDEX($D$13:$D$1000,MATCH(0,COUNTIF($Q$13:Q654,$D$13:$D$1000&amp;"")+IF($D$13:$D$1000="",1,0),0)),"")</f>
        <v/>
      </c>
      <c r="R655" s="356" t="str">
        <f t="shared" si="42"/>
        <v/>
      </c>
      <c r="S655" s="383" t="str">
        <f t="shared" si="40"/>
        <v/>
      </c>
      <c r="T655" s="384" t="str">
        <f t="shared" si="43"/>
        <v/>
      </c>
      <c r="U655" s="349"/>
      <c r="V655" s="385"/>
      <c r="W655" s="385"/>
      <c r="X655" s="386"/>
    </row>
    <row r="656" spans="2:24">
      <c r="B656" s="395"/>
      <c r="C656" s="371"/>
      <c r="D656" s="372" t="str">
        <f>IFERROR(INDEX('[12]Equipment List'!$B$2:$B$2038,MATCH(E656,'[12]Equipment List'!$A$2:$A$2038,0)),"")</f>
        <v/>
      </c>
      <c r="E656" s="388"/>
      <c r="F656" s="374"/>
      <c r="G656" s="375"/>
      <c r="H656" s="397"/>
      <c r="I656" s="377"/>
      <c r="J656" s="378"/>
      <c r="K656" s="379"/>
      <c r="L656" s="387"/>
      <c r="M656" s="380" t="str">
        <f t="array" ref="M656">IF(L656="","",(MAX(IF(AN$15:AN$144=B656,AO$15:AO$144))/60))</f>
        <v/>
      </c>
      <c r="N656" s="387"/>
      <c r="O656" s="387"/>
      <c r="P656" s="381" t="str">
        <f t="shared" si="41"/>
        <v/>
      </c>
      <c r="Q656" s="382" t="str">
        <f t="array" ref="Q656">IFERROR(INDEX($D$13:$D$1000,MATCH(0,COUNTIF($Q$13:Q655,$D$13:$D$1000&amp;"")+IF($D$13:$D$1000="",1,0),0)),"")</f>
        <v/>
      </c>
      <c r="R656" s="356" t="str">
        <f t="shared" si="42"/>
        <v/>
      </c>
      <c r="S656" s="383" t="str">
        <f t="shared" si="40"/>
        <v/>
      </c>
      <c r="T656" s="384" t="str">
        <f t="shared" si="43"/>
        <v/>
      </c>
      <c r="U656" s="349"/>
      <c r="V656" s="385"/>
      <c r="W656" s="385"/>
      <c r="X656" s="386"/>
    </row>
    <row r="657" spans="2:24">
      <c r="B657" s="395"/>
      <c r="C657" s="371"/>
      <c r="D657" s="372" t="str">
        <f>IFERROR(INDEX('[12]Equipment List'!$B$2:$B$2038,MATCH(E657,'[12]Equipment List'!$A$2:$A$2038,0)),"")</f>
        <v/>
      </c>
      <c r="E657" s="388"/>
      <c r="F657" s="374"/>
      <c r="G657" s="375"/>
      <c r="H657" s="397"/>
      <c r="I657" s="377"/>
      <c r="J657" s="378"/>
      <c r="K657" s="379"/>
      <c r="L657" s="387"/>
      <c r="M657" s="380" t="str">
        <f t="array" ref="M657">IF(L657="","",(MAX(IF(AN$15:AN$144=B657,AO$15:AO$144))/60))</f>
        <v/>
      </c>
      <c r="N657" s="387"/>
      <c r="O657" s="387"/>
      <c r="P657" s="381" t="str">
        <f t="shared" si="41"/>
        <v/>
      </c>
      <c r="Q657" s="382" t="str">
        <f t="array" ref="Q657">IFERROR(INDEX($D$13:$D$1000,MATCH(0,COUNTIF($Q$13:Q656,$D$13:$D$1000&amp;"")+IF($D$13:$D$1000="",1,0),0)),"")</f>
        <v/>
      </c>
      <c r="R657" s="356" t="str">
        <f t="shared" si="42"/>
        <v/>
      </c>
      <c r="S657" s="383" t="str">
        <f t="shared" si="40"/>
        <v/>
      </c>
      <c r="T657" s="384" t="str">
        <f t="shared" si="43"/>
        <v/>
      </c>
      <c r="U657" s="349"/>
      <c r="V657" s="385"/>
      <c r="W657" s="385"/>
      <c r="X657" s="386"/>
    </row>
    <row r="658" spans="2:24">
      <c r="B658" s="395"/>
      <c r="C658" s="371"/>
      <c r="D658" s="372" t="str">
        <f>IFERROR(INDEX('[12]Equipment List'!$B$2:$B$2038,MATCH(E658,'[12]Equipment List'!$A$2:$A$2038,0)),"")</f>
        <v/>
      </c>
      <c r="E658" s="388"/>
      <c r="F658" s="374"/>
      <c r="G658" s="375"/>
      <c r="H658" s="397"/>
      <c r="I658" s="377"/>
      <c r="J658" s="378"/>
      <c r="K658" s="379"/>
      <c r="L658" s="387"/>
      <c r="M658" s="380" t="str">
        <f t="array" ref="M658">IF(L658="","",(MAX(IF(AN$15:AN$144=B658,AO$15:AO$144))/60))</f>
        <v/>
      </c>
      <c r="N658" s="387"/>
      <c r="O658" s="387"/>
      <c r="P658" s="381" t="str">
        <f t="shared" si="41"/>
        <v/>
      </c>
      <c r="Q658" s="382" t="str">
        <f t="array" ref="Q658">IFERROR(INDEX($D$13:$D$1000,MATCH(0,COUNTIF($Q$13:Q657,$D$13:$D$1000&amp;"")+IF($D$13:$D$1000="",1,0),0)),"")</f>
        <v/>
      </c>
      <c r="R658" s="356" t="str">
        <f t="shared" si="42"/>
        <v/>
      </c>
      <c r="S658" s="383" t="str">
        <f t="shared" si="40"/>
        <v/>
      </c>
      <c r="T658" s="384" t="str">
        <f t="shared" si="43"/>
        <v/>
      </c>
      <c r="U658" s="349"/>
      <c r="V658" s="385"/>
      <c r="W658" s="385"/>
      <c r="X658" s="386"/>
    </row>
    <row r="659" spans="2:24">
      <c r="B659" s="395"/>
      <c r="C659" s="371"/>
      <c r="D659" s="372" t="str">
        <f>IFERROR(INDEX('[12]Equipment List'!$B$2:$B$2038,MATCH(E659,'[12]Equipment List'!$A$2:$A$2038,0)),"")</f>
        <v/>
      </c>
      <c r="E659" s="388"/>
      <c r="F659" s="374"/>
      <c r="G659" s="375"/>
      <c r="H659" s="397"/>
      <c r="I659" s="377"/>
      <c r="J659" s="378"/>
      <c r="K659" s="379"/>
      <c r="L659" s="387"/>
      <c r="M659" s="380" t="str">
        <f t="array" ref="M659">IF(L659="","",(MAX(IF(AN$15:AN$144=B659,AO$15:AO$144))/60))</f>
        <v/>
      </c>
      <c r="N659" s="387"/>
      <c r="O659" s="387"/>
      <c r="P659" s="381" t="str">
        <f t="shared" si="41"/>
        <v/>
      </c>
      <c r="Q659" s="382" t="str">
        <f t="array" ref="Q659">IFERROR(INDEX($D$13:$D$1000,MATCH(0,COUNTIF($Q$13:Q658,$D$13:$D$1000&amp;"")+IF($D$13:$D$1000="",1,0),0)),"")</f>
        <v/>
      </c>
      <c r="R659" s="356" t="str">
        <f t="shared" si="42"/>
        <v/>
      </c>
      <c r="S659" s="383" t="str">
        <f t="shared" si="40"/>
        <v/>
      </c>
      <c r="T659" s="384" t="str">
        <f t="shared" si="43"/>
        <v/>
      </c>
      <c r="U659" s="349"/>
      <c r="V659" s="385"/>
      <c r="W659" s="385"/>
      <c r="X659" s="386"/>
    </row>
    <row r="660" spans="2:24">
      <c r="B660" s="395"/>
      <c r="C660" s="371"/>
      <c r="D660" s="372" t="str">
        <f>IFERROR(INDEX('[12]Equipment List'!$B$2:$B$2038,MATCH(E660,'[12]Equipment List'!$A$2:$A$2038,0)),"")</f>
        <v/>
      </c>
      <c r="E660" s="388"/>
      <c r="F660" s="374"/>
      <c r="G660" s="375"/>
      <c r="H660" s="397"/>
      <c r="I660" s="377"/>
      <c r="J660" s="378"/>
      <c r="K660" s="379"/>
      <c r="L660" s="387"/>
      <c r="M660" s="380" t="str">
        <f t="array" ref="M660">IF(L660="","",(MAX(IF(AN$15:AN$144=B660,AO$15:AO$144))/60))</f>
        <v/>
      </c>
      <c r="N660" s="387"/>
      <c r="O660" s="387"/>
      <c r="P660" s="381" t="str">
        <f t="shared" si="41"/>
        <v/>
      </c>
      <c r="Q660" s="382" t="str">
        <f t="array" ref="Q660">IFERROR(INDEX($D$13:$D$1000,MATCH(0,COUNTIF($Q$13:Q659,$D$13:$D$1000&amp;"")+IF($D$13:$D$1000="",1,0),0)),"")</f>
        <v/>
      </c>
      <c r="R660" s="356" t="str">
        <f t="shared" si="42"/>
        <v/>
      </c>
      <c r="S660" s="383" t="str">
        <f t="shared" si="40"/>
        <v/>
      </c>
      <c r="T660" s="384" t="str">
        <f t="shared" si="43"/>
        <v/>
      </c>
      <c r="U660" s="349"/>
      <c r="V660" s="385"/>
      <c r="W660" s="385"/>
      <c r="X660" s="386"/>
    </row>
    <row r="661" spans="2:24">
      <c r="B661" s="395"/>
      <c r="C661" s="371"/>
      <c r="D661" s="372" t="str">
        <f>IFERROR(INDEX('[12]Equipment List'!$B$2:$B$2038,MATCH(E661,'[12]Equipment List'!$A$2:$A$2038,0)),"")</f>
        <v/>
      </c>
      <c r="E661" s="388"/>
      <c r="F661" s="374"/>
      <c r="G661" s="375"/>
      <c r="H661" s="397"/>
      <c r="I661" s="377"/>
      <c r="J661" s="378"/>
      <c r="K661" s="379"/>
      <c r="L661" s="387"/>
      <c r="M661" s="380" t="str">
        <f t="array" ref="M661">IF(L661="","",(MAX(IF(AN$15:AN$144=B661,AO$15:AO$144))/60))</f>
        <v/>
      </c>
      <c r="N661" s="387"/>
      <c r="O661" s="387"/>
      <c r="P661" s="381" t="str">
        <f t="shared" si="41"/>
        <v/>
      </c>
      <c r="Q661" s="382" t="str">
        <f t="array" ref="Q661">IFERROR(INDEX($D$13:$D$1000,MATCH(0,COUNTIF($Q$13:Q660,$D$13:$D$1000&amp;"")+IF($D$13:$D$1000="",1,0),0)),"")</f>
        <v/>
      </c>
      <c r="R661" s="356" t="str">
        <f t="shared" si="42"/>
        <v/>
      </c>
      <c r="S661" s="383" t="str">
        <f t="shared" si="40"/>
        <v/>
      </c>
      <c r="T661" s="384" t="str">
        <f t="shared" si="43"/>
        <v/>
      </c>
      <c r="U661" s="349"/>
      <c r="V661" s="385"/>
      <c r="W661" s="385"/>
      <c r="X661" s="386"/>
    </row>
    <row r="662" spans="2:24">
      <c r="B662" s="395"/>
      <c r="C662" s="371"/>
      <c r="D662" s="372" t="str">
        <f>IFERROR(INDEX('[12]Equipment List'!$B$2:$B$2038,MATCH(E662,'[12]Equipment List'!$A$2:$A$2038,0)),"")</f>
        <v/>
      </c>
      <c r="E662" s="388"/>
      <c r="F662" s="374"/>
      <c r="G662" s="375"/>
      <c r="H662" s="397"/>
      <c r="I662" s="377"/>
      <c r="J662" s="378"/>
      <c r="K662" s="379"/>
      <c r="L662" s="387"/>
      <c r="M662" s="380" t="str">
        <f t="array" ref="M662">IF(L662="","",(MAX(IF(AN$15:AN$144=B662,AO$15:AO$144))/60))</f>
        <v/>
      </c>
      <c r="N662" s="387"/>
      <c r="O662" s="387"/>
      <c r="P662" s="381" t="str">
        <f t="shared" si="41"/>
        <v/>
      </c>
      <c r="Q662" s="382" t="str">
        <f t="array" ref="Q662">IFERROR(INDEX($D$13:$D$1000,MATCH(0,COUNTIF($Q$13:Q661,$D$13:$D$1000&amp;"")+IF($D$13:$D$1000="",1,0),0)),"")</f>
        <v/>
      </c>
      <c r="R662" s="356" t="str">
        <f t="shared" si="42"/>
        <v/>
      </c>
      <c r="S662" s="383" t="str">
        <f t="shared" si="40"/>
        <v/>
      </c>
      <c r="T662" s="384" t="str">
        <f t="shared" si="43"/>
        <v/>
      </c>
      <c r="U662" s="349"/>
      <c r="V662" s="385"/>
      <c r="W662" s="385"/>
      <c r="X662" s="386"/>
    </row>
    <row r="663" spans="2:24">
      <c r="B663" s="395"/>
      <c r="C663" s="371"/>
      <c r="D663" s="372" t="str">
        <f>IFERROR(INDEX('[12]Equipment List'!$B$2:$B$2038,MATCH(E663,'[12]Equipment List'!$A$2:$A$2038,0)),"")</f>
        <v/>
      </c>
      <c r="E663" s="388"/>
      <c r="F663" s="374"/>
      <c r="G663" s="375"/>
      <c r="H663" s="397"/>
      <c r="I663" s="377"/>
      <c r="J663" s="378"/>
      <c r="K663" s="379"/>
      <c r="L663" s="387"/>
      <c r="M663" s="380" t="str">
        <f t="array" ref="M663">IF(L663="","",(MAX(IF(AN$15:AN$144=B663,AO$15:AO$144))/60))</f>
        <v/>
      </c>
      <c r="N663" s="387"/>
      <c r="O663" s="387"/>
      <c r="P663" s="381" t="str">
        <f t="shared" si="41"/>
        <v/>
      </c>
      <c r="Q663" s="382" t="str">
        <f t="array" ref="Q663">IFERROR(INDEX($D$13:$D$1000,MATCH(0,COUNTIF($Q$13:Q662,$D$13:$D$1000&amp;"")+IF($D$13:$D$1000="",1,0),0)),"")</f>
        <v/>
      </c>
      <c r="R663" s="356" t="str">
        <f t="shared" si="42"/>
        <v/>
      </c>
      <c r="S663" s="383" t="str">
        <f t="shared" si="40"/>
        <v/>
      </c>
      <c r="T663" s="384" t="str">
        <f t="shared" si="43"/>
        <v/>
      </c>
      <c r="U663" s="349"/>
      <c r="V663" s="385"/>
      <c r="W663" s="385"/>
      <c r="X663" s="386"/>
    </row>
    <row r="664" spans="2:24">
      <c r="B664" s="395"/>
      <c r="C664" s="371"/>
      <c r="D664" s="372" t="str">
        <f>IFERROR(INDEX('[12]Equipment List'!$B$2:$B$2038,MATCH(E664,'[12]Equipment List'!$A$2:$A$2038,0)),"")</f>
        <v/>
      </c>
      <c r="E664" s="388"/>
      <c r="F664" s="374"/>
      <c r="G664" s="375"/>
      <c r="H664" s="397"/>
      <c r="I664" s="377"/>
      <c r="J664" s="378"/>
      <c r="K664" s="379"/>
      <c r="L664" s="387"/>
      <c r="M664" s="380" t="str">
        <f t="array" ref="M664">IF(L664="","",(MAX(IF(AN$15:AN$144=B664,AO$15:AO$144))/60))</f>
        <v/>
      </c>
      <c r="N664" s="387"/>
      <c r="O664" s="387"/>
      <c r="P664" s="381" t="str">
        <f t="shared" si="41"/>
        <v/>
      </c>
      <c r="Q664" s="382" t="str">
        <f t="array" ref="Q664">IFERROR(INDEX($D$13:$D$1000,MATCH(0,COUNTIF($Q$13:Q663,$D$13:$D$1000&amp;"")+IF($D$13:$D$1000="",1,0),0)),"")</f>
        <v/>
      </c>
      <c r="R664" s="356" t="str">
        <f t="shared" si="42"/>
        <v/>
      </c>
      <c r="S664" s="383" t="str">
        <f t="shared" si="40"/>
        <v/>
      </c>
      <c r="T664" s="384" t="str">
        <f t="shared" si="43"/>
        <v/>
      </c>
      <c r="U664" s="349"/>
      <c r="V664" s="385"/>
      <c r="W664" s="385"/>
      <c r="X664" s="386"/>
    </row>
    <row r="665" spans="2:24">
      <c r="B665" s="395"/>
      <c r="C665" s="371"/>
      <c r="D665" s="372" t="str">
        <f>IFERROR(INDEX('[12]Equipment List'!$B$2:$B$2038,MATCH(E665,'[12]Equipment List'!$A$2:$A$2038,0)),"")</f>
        <v/>
      </c>
      <c r="E665" s="388"/>
      <c r="F665" s="374"/>
      <c r="G665" s="375"/>
      <c r="H665" s="397"/>
      <c r="I665" s="377"/>
      <c r="J665" s="378"/>
      <c r="K665" s="379"/>
      <c r="L665" s="387"/>
      <c r="M665" s="380" t="str">
        <f t="array" ref="M665">IF(L665="","",(MAX(IF(AN$15:AN$144=B665,AO$15:AO$144))/60))</f>
        <v/>
      </c>
      <c r="N665" s="387"/>
      <c r="O665" s="387"/>
      <c r="P665" s="381" t="str">
        <f t="shared" si="41"/>
        <v/>
      </c>
      <c r="Q665" s="382" t="str">
        <f t="array" ref="Q665">IFERROR(INDEX($D$13:$D$1000,MATCH(0,COUNTIF($Q$13:Q664,$D$13:$D$1000&amp;"")+IF($D$13:$D$1000="",1,0),0)),"")</f>
        <v/>
      </c>
      <c r="R665" s="356" t="str">
        <f t="shared" si="42"/>
        <v/>
      </c>
      <c r="S665" s="383" t="str">
        <f t="shared" si="40"/>
        <v/>
      </c>
      <c r="T665" s="384" t="str">
        <f t="shared" si="43"/>
        <v/>
      </c>
      <c r="U665" s="349"/>
      <c r="V665" s="385"/>
      <c r="W665" s="385"/>
      <c r="X665" s="386"/>
    </row>
    <row r="666" spans="2:24">
      <c r="B666" s="395"/>
      <c r="C666" s="371"/>
      <c r="D666" s="372" t="str">
        <f>IFERROR(INDEX('[12]Equipment List'!$B$2:$B$2038,MATCH(E666,'[12]Equipment List'!$A$2:$A$2038,0)),"")</f>
        <v/>
      </c>
      <c r="E666" s="388"/>
      <c r="F666" s="374"/>
      <c r="G666" s="375"/>
      <c r="H666" s="397"/>
      <c r="I666" s="377"/>
      <c r="J666" s="378"/>
      <c r="K666" s="379"/>
      <c r="L666" s="387"/>
      <c r="M666" s="380" t="str">
        <f t="array" ref="M666">IF(L666="","",(MAX(IF(AN$15:AN$144=B666,AO$15:AO$144))/60))</f>
        <v/>
      </c>
      <c r="N666" s="387"/>
      <c r="O666" s="387"/>
      <c r="P666" s="381" t="str">
        <f t="shared" si="41"/>
        <v/>
      </c>
      <c r="Q666" s="382" t="str">
        <f t="array" ref="Q666">IFERROR(INDEX($D$13:$D$1000,MATCH(0,COUNTIF($Q$13:Q665,$D$13:$D$1000&amp;"")+IF($D$13:$D$1000="",1,0),0)),"")</f>
        <v/>
      </c>
      <c r="R666" s="356" t="str">
        <f t="shared" si="42"/>
        <v/>
      </c>
      <c r="S666" s="383" t="str">
        <f t="shared" si="40"/>
        <v/>
      </c>
      <c r="T666" s="384" t="str">
        <f t="shared" si="43"/>
        <v/>
      </c>
      <c r="U666" s="349"/>
      <c r="V666" s="385"/>
      <c r="W666" s="385"/>
      <c r="X666" s="386"/>
    </row>
    <row r="667" spans="2:24">
      <c r="B667" s="395"/>
      <c r="C667" s="371"/>
      <c r="D667" s="372" t="str">
        <f>IFERROR(INDEX('[12]Equipment List'!$B$2:$B$2038,MATCH(E667,'[12]Equipment List'!$A$2:$A$2038,0)),"")</f>
        <v/>
      </c>
      <c r="E667" s="388"/>
      <c r="F667" s="374"/>
      <c r="G667" s="375"/>
      <c r="H667" s="397"/>
      <c r="I667" s="377"/>
      <c r="J667" s="378"/>
      <c r="K667" s="379"/>
      <c r="L667" s="387"/>
      <c r="M667" s="380" t="str">
        <f t="array" ref="M667">IF(L667="","",(MAX(IF(AN$15:AN$144=B667,AO$15:AO$144))/60))</f>
        <v/>
      </c>
      <c r="N667" s="387"/>
      <c r="O667" s="387"/>
      <c r="P667" s="381" t="str">
        <f t="shared" si="41"/>
        <v/>
      </c>
      <c r="Q667" s="382" t="str">
        <f t="array" ref="Q667">IFERROR(INDEX($D$13:$D$1000,MATCH(0,COUNTIF($Q$13:Q666,$D$13:$D$1000&amp;"")+IF($D$13:$D$1000="",1,0),0)),"")</f>
        <v/>
      </c>
      <c r="R667" s="356" t="str">
        <f t="shared" si="42"/>
        <v/>
      </c>
      <c r="S667" s="383" t="str">
        <f t="shared" si="40"/>
        <v/>
      </c>
      <c r="T667" s="384" t="str">
        <f t="shared" si="43"/>
        <v/>
      </c>
      <c r="U667" s="349"/>
      <c r="V667" s="385"/>
      <c r="W667" s="385"/>
      <c r="X667" s="386"/>
    </row>
    <row r="668" spans="2:24">
      <c r="B668" s="395"/>
      <c r="C668" s="371"/>
      <c r="D668" s="372" t="str">
        <f>IFERROR(INDEX('[12]Equipment List'!$B$2:$B$2038,MATCH(E668,'[12]Equipment List'!$A$2:$A$2038,0)),"")</f>
        <v/>
      </c>
      <c r="E668" s="388"/>
      <c r="F668" s="374"/>
      <c r="G668" s="375"/>
      <c r="H668" s="397"/>
      <c r="I668" s="377"/>
      <c r="J668" s="378"/>
      <c r="K668" s="379"/>
      <c r="L668" s="387"/>
      <c r="M668" s="380" t="str">
        <f t="array" ref="M668">IF(L668="","",(MAX(IF(AN$15:AN$144=B668,AO$15:AO$144))/60))</f>
        <v/>
      </c>
      <c r="N668" s="387"/>
      <c r="O668" s="387"/>
      <c r="P668" s="381" t="str">
        <f t="shared" si="41"/>
        <v/>
      </c>
      <c r="Q668" s="382" t="str">
        <f t="array" ref="Q668">IFERROR(INDEX($D$13:$D$1000,MATCH(0,COUNTIF($Q$13:Q667,$D$13:$D$1000&amp;"")+IF($D$13:$D$1000="",1,0),0)),"")</f>
        <v/>
      </c>
      <c r="R668" s="356" t="str">
        <f t="shared" si="42"/>
        <v/>
      </c>
      <c r="S668" s="383" t="str">
        <f t="shared" si="40"/>
        <v/>
      </c>
      <c r="T668" s="384" t="str">
        <f t="shared" si="43"/>
        <v/>
      </c>
      <c r="U668" s="349"/>
      <c r="V668" s="385"/>
      <c r="W668" s="385"/>
      <c r="X668" s="386"/>
    </row>
    <row r="669" spans="2:24">
      <c r="B669" s="395"/>
      <c r="C669" s="371"/>
      <c r="D669" s="372" t="str">
        <f>IFERROR(INDEX('[12]Equipment List'!$B$2:$B$2038,MATCH(E669,'[12]Equipment List'!$A$2:$A$2038,0)),"")</f>
        <v/>
      </c>
      <c r="E669" s="388"/>
      <c r="F669" s="374"/>
      <c r="G669" s="375"/>
      <c r="H669" s="397"/>
      <c r="I669" s="377"/>
      <c r="J669" s="378"/>
      <c r="K669" s="379"/>
      <c r="L669" s="387"/>
      <c r="M669" s="380" t="str">
        <f t="array" ref="M669">IF(L669="","",(MAX(IF(AN$15:AN$144=B669,AO$15:AO$144))/60))</f>
        <v/>
      </c>
      <c r="N669" s="387"/>
      <c r="O669" s="387"/>
      <c r="P669" s="381" t="str">
        <f t="shared" si="41"/>
        <v/>
      </c>
      <c r="Q669" s="382" t="str">
        <f t="array" ref="Q669">IFERROR(INDEX($D$13:$D$1000,MATCH(0,COUNTIF($Q$13:Q668,$D$13:$D$1000&amp;"")+IF($D$13:$D$1000="",1,0),0)),"")</f>
        <v/>
      </c>
      <c r="R669" s="356" t="str">
        <f t="shared" si="42"/>
        <v/>
      </c>
      <c r="S669" s="383" t="str">
        <f t="shared" si="40"/>
        <v/>
      </c>
      <c r="T669" s="384" t="str">
        <f t="shared" si="43"/>
        <v/>
      </c>
      <c r="U669" s="349"/>
      <c r="V669" s="385"/>
      <c r="W669" s="385"/>
      <c r="X669" s="386"/>
    </row>
    <row r="670" spans="2:24">
      <c r="B670" s="395"/>
      <c r="C670" s="371"/>
      <c r="D670" s="372" t="str">
        <f>IFERROR(INDEX('[12]Equipment List'!$B$2:$B$2038,MATCH(E670,'[12]Equipment List'!$A$2:$A$2038,0)),"")</f>
        <v/>
      </c>
      <c r="E670" s="388"/>
      <c r="F670" s="374"/>
      <c r="G670" s="375"/>
      <c r="H670" s="397"/>
      <c r="I670" s="377"/>
      <c r="J670" s="378"/>
      <c r="K670" s="379"/>
      <c r="L670" s="387"/>
      <c r="M670" s="380" t="str">
        <f t="array" ref="M670">IF(L670="","",(MAX(IF(AN$15:AN$144=B670,AO$15:AO$144))/60))</f>
        <v/>
      </c>
      <c r="N670" s="387"/>
      <c r="O670" s="387"/>
      <c r="P670" s="381" t="str">
        <f t="shared" si="41"/>
        <v/>
      </c>
      <c r="Q670" s="382" t="str">
        <f t="array" ref="Q670">IFERROR(INDEX($D$13:$D$1000,MATCH(0,COUNTIF($Q$13:Q669,$D$13:$D$1000&amp;"")+IF($D$13:$D$1000="",1,0),0)),"")</f>
        <v/>
      </c>
      <c r="R670" s="356" t="str">
        <f t="shared" si="42"/>
        <v/>
      </c>
      <c r="S670" s="383" t="str">
        <f t="shared" si="40"/>
        <v/>
      </c>
      <c r="T670" s="384" t="str">
        <f t="shared" si="43"/>
        <v/>
      </c>
      <c r="U670" s="349"/>
      <c r="V670" s="385"/>
      <c r="W670" s="385"/>
      <c r="X670" s="386"/>
    </row>
    <row r="671" spans="2:24">
      <c r="B671" s="395"/>
      <c r="C671" s="371"/>
      <c r="D671" s="372" t="str">
        <f>IFERROR(INDEX('[12]Equipment List'!$B$2:$B$2038,MATCH(E671,'[12]Equipment List'!$A$2:$A$2038,0)),"")</f>
        <v/>
      </c>
      <c r="E671" s="388"/>
      <c r="F671" s="374"/>
      <c r="G671" s="375"/>
      <c r="H671" s="397"/>
      <c r="I671" s="377"/>
      <c r="J671" s="378"/>
      <c r="K671" s="379"/>
      <c r="L671" s="387"/>
      <c r="M671" s="380" t="str">
        <f t="array" ref="M671">IF(L671="","",(MAX(IF(AN$15:AN$144=B671,AO$15:AO$144))/60))</f>
        <v/>
      </c>
      <c r="N671" s="387"/>
      <c r="O671" s="387"/>
      <c r="P671" s="381" t="str">
        <f t="shared" si="41"/>
        <v/>
      </c>
      <c r="Q671" s="382" t="str">
        <f t="array" ref="Q671">IFERROR(INDEX($D$13:$D$1000,MATCH(0,COUNTIF($Q$13:Q670,$D$13:$D$1000&amp;"")+IF($D$13:$D$1000="",1,0),0)),"")</f>
        <v/>
      </c>
      <c r="R671" s="356" t="str">
        <f t="shared" si="42"/>
        <v/>
      </c>
      <c r="S671" s="383" t="str">
        <f t="shared" si="40"/>
        <v/>
      </c>
      <c r="T671" s="384" t="str">
        <f t="shared" si="43"/>
        <v/>
      </c>
      <c r="U671" s="349"/>
      <c r="V671" s="385"/>
      <c r="W671" s="385"/>
      <c r="X671" s="386"/>
    </row>
    <row r="672" spans="2:24">
      <c r="B672" s="395"/>
      <c r="C672" s="371"/>
      <c r="D672" s="372" t="str">
        <f>IFERROR(INDEX('[12]Equipment List'!$B$2:$B$2038,MATCH(E672,'[12]Equipment List'!$A$2:$A$2038,0)),"")</f>
        <v/>
      </c>
      <c r="E672" s="388"/>
      <c r="F672" s="374"/>
      <c r="G672" s="375"/>
      <c r="H672" s="397"/>
      <c r="I672" s="377"/>
      <c r="J672" s="378"/>
      <c r="K672" s="379"/>
      <c r="L672" s="387"/>
      <c r="M672" s="380" t="str">
        <f t="array" ref="M672">IF(L672="","",(MAX(IF(AN$15:AN$144=B672,AO$15:AO$144))/60))</f>
        <v/>
      </c>
      <c r="N672" s="387"/>
      <c r="O672" s="387"/>
      <c r="P672" s="381" t="str">
        <f t="shared" si="41"/>
        <v/>
      </c>
      <c r="Q672" s="382" t="str">
        <f t="array" ref="Q672">IFERROR(INDEX($D$13:$D$1000,MATCH(0,COUNTIF($Q$13:Q671,$D$13:$D$1000&amp;"")+IF($D$13:$D$1000="",1,0),0)),"")</f>
        <v/>
      </c>
      <c r="R672" s="356" t="str">
        <f t="shared" si="42"/>
        <v/>
      </c>
      <c r="S672" s="383" t="str">
        <f t="shared" si="40"/>
        <v/>
      </c>
      <c r="T672" s="384" t="str">
        <f t="shared" si="43"/>
        <v/>
      </c>
      <c r="U672" s="349"/>
      <c r="V672" s="385"/>
      <c r="W672" s="385"/>
      <c r="X672" s="386"/>
    </row>
    <row r="673" spans="2:24">
      <c r="B673" s="395"/>
      <c r="C673" s="371"/>
      <c r="D673" s="372" t="str">
        <f>IFERROR(INDEX('[12]Equipment List'!$B$2:$B$2038,MATCH(E673,'[12]Equipment List'!$A$2:$A$2038,0)),"")</f>
        <v/>
      </c>
      <c r="E673" s="388"/>
      <c r="F673" s="374"/>
      <c r="G673" s="375"/>
      <c r="H673" s="397"/>
      <c r="I673" s="377"/>
      <c r="J673" s="378"/>
      <c r="K673" s="379"/>
      <c r="L673" s="387"/>
      <c r="M673" s="380" t="str">
        <f t="array" ref="M673">IF(L673="","",(MAX(IF(AN$15:AN$144=B673,AO$15:AO$144))/60))</f>
        <v/>
      </c>
      <c r="N673" s="387"/>
      <c r="O673" s="387"/>
      <c r="P673" s="381" t="str">
        <f t="shared" si="41"/>
        <v/>
      </c>
      <c r="Q673" s="382" t="str">
        <f t="array" ref="Q673">IFERROR(INDEX($D$13:$D$1000,MATCH(0,COUNTIF($Q$13:Q672,$D$13:$D$1000&amp;"")+IF($D$13:$D$1000="",1,0),0)),"")</f>
        <v/>
      </c>
      <c r="R673" s="356" t="str">
        <f t="shared" si="42"/>
        <v/>
      </c>
      <c r="S673" s="383" t="str">
        <f t="shared" si="40"/>
        <v/>
      </c>
      <c r="T673" s="384" t="str">
        <f t="shared" si="43"/>
        <v/>
      </c>
      <c r="U673" s="349"/>
      <c r="V673" s="385"/>
      <c r="W673" s="385"/>
      <c r="X673" s="386"/>
    </row>
    <row r="674" spans="2:24">
      <c r="B674" s="395"/>
      <c r="C674" s="371"/>
      <c r="D674" s="372" t="str">
        <f>IFERROR(INDEX('[12]Equipment List'!$B$2:$B$2038,MATCH(E674,'[12]Equipment List'!$A$2:$A$2038,0)),"")</f>
        <v/>
      </c>
      <c r="E674" s="388"/>
      <c r="F674" s="374"/>
      <c r="G674" s="375"/>
      <c r="H674" s="397"/>
      <c r="I674" s="377"/>
      <c r="J674" s="378"/>
      <c r="K674" s="379"/>
      <c r="L674" s="387"/>
      <c r="M674" s="380" t="str">
        <f t="array" ref="M674">IF(L674="","",(MAX(IF(AN$15:AN$144=B674,AO$15:AO$144))/60))</f>
        <v/>
      </c>
      <c r="N674" s="387"/>
      <c r="O674" s="387"/>
      <c r="P674" s="381" t="str">
        <f t="shared" si="41"/>
        <v/>
      </c>
      <c r="Q674" s="382" t="str">
        <f t="array" ref="Q674">IFERROR(INDEX($D$13:$D$1000,MATCH(0,COUNTIF($Q$13:Q673,$D$13:$D$1000&amp;"")+IF($D$13:$D$1000="",1,0),0)),"")</f>
        <v/>
      </c>
      <c r="R674" s="356" t="str">
        <f t="shared" si="42"/>
        <v/>
      </c>
      <c r="S674" s="383" t="str">
        <f t="shared" si="40"/>
        <v/>
      </c>
      <c r="T674" s="384" t="str">
        <f t="shared" si="43"/>
        <v/>
      </c>
      <c r="U674" s="349"/>
      <c r="V674" s="385"/>
      <c r="W674" s="385"/>
      <c r="X674" s="386"/>
    </row>
    <row r="675" spans="2:24">
      <c r="B675" s="395"/>
      <c r="C675" s="371"/>
      <c r="D675" s="372" t="str">
        <f>IFERROR(INDEX('[12]Equipment List'!$B$2:$B$2038,MATCH(E675,'[12]Equipment List'!$A$2:$A$2038,0)),"")</f>
        <v/>
      </c>
      <c r="E675" s="388"/>
      <c r="F675" s="374"/>
      <c r="G675" s="375"/>
      <c r="H675" s="397"/>
      <c r="I675" s="377"/>
      <c r="J675" s="378"/>
      <c r="K675" s="379"/>
      <c r="L675" s="387"/>
      <c r="M675" s="380" t="str">
        <f t="array" ref="M675">IF(L675="","",(MAX(IF(AN$15:AN$144=B675,AO$15:AO$144))/60))</f>
        <v/>
      </c>
      <c r="N675" s="387"/>
      <c r="O675" s="387"/>
      <c r="P675" s="381" t="str">
        <f t="shared" si="41"/>
        <v/>
      </c>
      <c r="Q675" s="382" t="str">
        <f t="array" ref="Q675">IFERROR(INDEX($D$13:$D$1000,MATCH(0,COUNTIF($Q$13:Q674,$D$13:$D$1000&amp;"")+IF($D$13:$D$1000="",1,0),0)),"")</f>
        <v/>
      </c>
      <c r="R675" s="356" t="str">
        <f t="shared" si="42"/>
        <v/>
      </c>
      <c r="S675" s="383" t="str">
        <f t="shared" si="40"/>
        <v/>
      </c>
      <c r="T675" s="384" t="str">
        <f t="shared" si="43"/>
        <v/>
      </c>
      <c r="U675" s="349"/>
      <c r="V675" s="385"/>
      <c r="W675" s="385"/>
      <c r="X675" s="386"/>
    </row>
    <row r="676" spans="2:24">
      <c r="B676" s="395"/>
      <c r="C676" s="371"/>
      <c r="D676" s="372" t="str">
        <f>IFERROR(INDEX('[12]Equipment List'!$B$2:$B$2038,MATCH(E676,'[12]Equipment List'!$A$2:$A$2038,0)),"")</f>
        <v/>
      </c>
      <c r="E676" s="388"/>
      <c r="F676" s="374"/>
      <c r="G676" s="375"/>
      <c r="H676" s="397"/>
      <c r="I676" s="377"/>
      <c r="J676" s="378"/>
      <c r="K676" s="379"/>
      <c r="L676" s="387"/>
      <c r="M676" s="380" t="str">
        <f t="array" ref="M676">IF(L676="","",(MAX(IF(AN$15:AN$144=B676,AO$15:AO$144))/60))</f>
        <v/>
      </c>
      <c r="N676" s="387"/>
      <c r="O676" s="387"/>
      <c r="P676" s="381" t="str">
        <f t="shared" si="41"/>
        <v/>
      </c>
      <c r="Q676" s="382" t="str">
        <f t="array" ref="Q676">IFERROR(INDEX($D$13:$D$1000,MATCH(0,COUNTIF($Q$13:Q675,$D$13:$D$1000&amp;"")+IF($D$13:$D$1000="",1,0),0)),"")</f>
        <v/>
      </c>
      <c r="R676" s="356" t="str">
        <f t="shared" si="42"/>
        <v/>
      </c>
      <c r="S676" s="383" t="str">
        <f t="shared" si="40"/>
        <v/>
      </c>
      <c r="T676" s="384" t="str">
        <f t="shared" si="43"/>
        <v/>
      </c>
      <c r="U676" s="349"/>
      <c r="V676" s="385"/>
      <c r="W676" s="385"/>
      <c r="X676" s="386"/>
    </row>
    <row r="677" spans="2:24">
      <c r="B677" s="395"/>
      <c r="C677" s="371"/>
      <c r="D677" s="372" t="str">
        <f>IFERROR(INDEX('[12]Equipment List'!$B$2:$B$2038,MATCH(E677,'[12]Equipment List'!$A$2:$A$2038,0)),"")</f>
        <v/>
      </c>
      <c r="E677" s="388"/>
      <c r="F677" s="374"/>
      <c r="G677" s="375"/>
      <c r="H677" s="397"/>
      <c r="I677" s="377"/>
      <c r="J677" s="378"/>
      <c r="K677" s="379"/>
      <c r="L677" s="387"/>
      <c r="M677" s="380" t="str">
        <f t="array" ref="M677">IF(L677="","",(MAX(IF(AN$15:AN$144=B677,AO$15:AO$144))/60))</f>
        <v/>
      </c>
      <c r="N677" s="387"/>
      <c r="O677" s="387"/>
      <c r="P677" s="381" t="str">
        <f t="shared" si="41"/>
        <v/>
      </c>
      <c r="Q677" s="382" t="str">
        <f t="array" ref="Q677">IFERROR(INDEX($D$13:$D$1000,MATCH(0,COUNTIF($Q$13:Q676,$D$13:$D$1000&amp;"")+IF($D$13:$D$1000="",1,0),0)),"")</f>
        <v/>
      </c>
      <c r="R677" s="356" t="str">
        <f t="shared" si="42"/>
        <v/>
      </c>
      <c r="S677" s="383" t="str">
        <f t="shared" si="40"/>
        <v/>
      </c>
      <c r="T677" s="384" t="str">
        <f t="shared" si="43"/>
        <v/>
      </c>
      <c r="U677" s="349"/>
      <c r="V677" s="385"/>
      <c r="W677" s="385"/>
      <c r="X677" s="386"/>
    </row>
    <row r="678" spans="2:24">
      <c r="B678" s="395"/>
      <c r="C678" s="371"/>
      <c r="D678" s="372" t="str">
        <f>IFERROR(INDEX('[12]Equipment List'!$B$2:$B$2038,MATCH(E678,'[12]Equipment List'!$A$2:$A$2038,0)),"")</f>
        <v/>
      </c>
      <c r="E678" s="388"/>
      <c r="F678" s="374"/>
      <c r="G678" s="375"/>
      <c r="H678" s="397"/>
      <c r="I678" s="377"/>
      <c r="J678" s="378"/>
      <c r="K678" s="379"/>
      <c r="L678" s="387"/>
      <c r="M678" s="380" t="str">
        <f t="array" ref="M678">IF(L678="","",(MAX(IF(AN$15:AN$144=B678,AO$15:AO$144))/60))</f>
        <v/>
      </c>
      <c r="N678" s="387"/>
      <c r="O678" s="387"/>
      <c r="P678" s="381" t="str">
        <f t="shared" si="41"/>
        <v/>
      </c>
      <c r="Q678" s="382" t="str">
        <f t="array" ref="Q678">IFERROR(INDEX($D$13:$D$1000,MATCH(0,COUNTIF($Q$13:Q677,$D$13:$D$1000&amp;"")+IF($D$13:$D$1000="",1,0),0)),"")</f>
        <v/>
      </c>
      <c r="R678" s="356" t="str">
        <f t="shared" si="42"/>
        <v/>
      </c>
      <c r="S678" s="383" t="str">
        <f t="shared" si="40"/>
        <v/>
      </c>
      <c r="T678" s="384" t="str">
        <f t="shared" si="43"/>
        <v/>
      </c>
      <c r="U678" s="349"/>
      <c r="V678" s="385"/>
      <c r="W678" s="385"/>
      <c r="X678" s="386"/>
    </row>
    <row r="679" spans="2:24">
      <c r="B679" s="395"/>
      <c r="C679" s="371"/>
      <c r="D679" s="372" t="str">
        <f>IFERROR(INDEX('[12]Equipment List'!$B$2:$B$2038,MATCH(E679,'[12]Equipment List'!$A$2:$A$2038,0)),"")</f>
        <v/>
      </c>
      <c r="E679" s="388"/>
      <c r="F679" s="374"/>
      <c r="G679" s="375"/>
      <c r="H679" s="397"/>
      <c r="I679" s="377"/>
      <c r="J679" s="378"/>
      <c r="K679" s="379"/>
      <c r="L679" s="387"/>
      <c r="M679" s="380" t="str">
        <f t="array" ref="M679">IF(L679="","",(MAX(IF(AN$15:AN$144=B679,AO$15:AO$144))/60))</f>
        <v/>
      </c>
      <c r="N679" s="387"/>
      <c r="O679" s="387"/>
      <c r="P679" s="381" t="str">
        <f t="shared" si="41"/>
        <v/>
      </c>
      <c r="Q679" s="382" t="str">
        <f t="array" ref="Q679">IFERROR(INDEX($D$13:$D$1000,MATCH(0,COUNTIF($Q$13:Q678,$D$13:$D$1000&amp;"")+IF($D$13:$D$1000="",1,0),0)),"")</f>
        <v/>
      </c>
      <c r="R679" s="356" t="str">
        <f t="shared" si="42"/>
        <v/>
      </c>
      <c r="S679" s="383" t="str">
        <f t="shared" si="40"/>
        <v/>
      </c>
      <c r="T679" s="384" t="str">
        <f t="shared" si="43"/>
        <v/>
      </c>
      <c r="U679" s="349"/>
      <c r="V679" s="385"/>
      <c r="W679" s="385"/>
      <c r="X679" s="386"/>
    </row>
    <row r="680" spans="2:24">
      <c r="B680" s="395"/>
      <c r="C680" s="371"/>
      <c r="D680" s="372" t="str">
        <f>IFERROR(INDEX('[12]Equipment List'!$B$2:$B$2038,MATCH(E680,'[12]Equipment List'!$A$2:$A$2038,0)),"")</f>
        <v/>
      </c>
      <c r="E680" s="388"/>
      <c r="F680" s="374"/>
      <c r="G680" s="375"/>
      <c r="H680" s="397"/>
      <c r="I680" s="377"/>
      <c r="J680" s="378"/>
      <c r="K680" s="379"/>
      <c r="L680" s="387"/>
      <c r="M680" s="380" t="str">
        <f t="array" ref="M680">IF(L680="","",(MAX(IF(AN$15:AN$144=B680,AO$15:AO$144))/60))</f>
        <v/>
      </c>
      <c r="N680" s="387"/>
      <c r="O680" s="387"/>
      <c r="P680" s="381" t="str">
        <f t="shared" si="41"/>
        <v/>
      </c>
      <c r="Q680" s="382" t="str">
        <f t="array" ref="Q680">IFERROR(INDEX($D$13:$D$1000,MATCH(0,COUNTIF($Q$13:Q679,$D$13:$D$1000&amp;"")+IF($D$13:$D$1000="",1,0),0)),"")</f>
        <v/>
      </c>
      <c r="R680" s="356" t="str">
        <f t="shared" si="42"/>
        <v/>
      </c>
      <c r="S680" s="383" t="str">
        <f t="shared" si="40"/>
        <v/>
      </c>
      <c r="T680" s="384" t="str">
        <f t="shared" si="43"/>
        <v/>
      </c>
      <c r="U680" s="349"/>
      <c r="V680" s="385"/>
      <c r="W680" s="385"/>
      <c r="X680" s="386"/>
    </row>
    <row r="681" spans="2:24">
      <c r="B681" s="395"/>
      <c r="C681" s="371"/>
      <c r="D681" s="372" t="str">
        <f>IFERROR(INDEX('[12]Equipment List'!$B$2:$B$2038,MATCH(E681,'[12]Equipment List'!$A$2:$A$2038,0)),"")</f>
        <v/>
      </c>
      <c r="E681" s="388"/>
      <c r="F681" s="374"/>
      <c r="G681" s="375"/>
      <c r="H681" s="397"/>
      <c r="I681" s="377"/>
      <c r="J681" s="378"/>
      <c r="K681" s="379"/>
      <c r="L681" s="387"/>
      <c r="M681" s="380" t="str">
        <f t="array" ref="M681">IF(L681="","",(MAX(IF(AN$15:AN$144=B681,AO$15:AO$144))/60))</f>
        <v/>
      </c>
      <c r="N681" s="387"/>
      <c r="O681" s="387"/>
      <c r="P681" s="381" t="str">
        <f t="shared" si="41"/>
        <v/>
      </c>
      <c r="Q681" s="382" t="str">
        <f t="array" ref="Q681">IFERROR(INDEX($D$13:$D$1000,MATCH(0,COUNTIF($Q$13:Q680,$D$13:$D$1000&amp;"")+IF($D$13:$D$1000="",1,0),0)),"")</f>
        <v/>
      </c>
      <c r="R681" s="356" t="str">
        <f t="shared" si="42"/>
        <v/>
      </c>
      <c r="S681" s="383" t="str">
        <f t="shared" si="40"/>
        <v/>
      </c>
      <c r="T681" s="384" t="str">
        <f t="shared" si="43"/>
        <v/>
      </c>
      <c r="U681" s="349"/>
      <c r="V681" s="385"/>
      <c r="W681" s="385"/>
      <c r="X681" s="386"/>
    </row>
    <row r="682" spans="2:24">
      <c r="B682" s="395"/>
      <c r="C682" s="371"/>
      <c r="D682" s="372" t="str">
        <f>IFERROR(INDEX('[12]Equipment List'!$B$2:$B$2038,MATCH(E682,'[12]Equipment List'!$A$2:$A$2038,0)),"")</f>
        <v/>
      </c>
      <c r="E682" s="388"/>
      <c r="F682" s="374"/>
      <c r="G682" s="375"/>
      <c r="H682" s="397"/>
      <c r="I682" s="377"/>
      <c r="J682" s="378"/>
      <c r="K682" s="379"/>
      <c r="L682" s="387"/>
      <c r="M682" s="380" t="str">
        <f t="array" ref="M682">IF(L682="","",(MAX(IF(AN$15:AN$144=B682,AO$15:AO$144))/60))</f>
        <v/>
      </c>
      <c r="N682" s="387"/>
      <c r="O682" s="387"/>
      <c r="P682" s="381" t="str">
        <f t="shared" si="41"/>
        <v/>
      </c>
      <c r="Q682" s="382" t="str">
        <f t="array" ref="Q682">IFERROR(INDEX($D$13:$D$1000,MATCH(0,COUNTIF($Q$13:Q681,$D$13:$D$1000&amp;"")+IF($D$13:$D$1000="",1,0),0)),"")</f>
        <v/>
      </c>
      <c r="R682" s="356" t="str">
        <f t="shared" si="42"/>
        <v/>
      </c>
      <c r="S682" s="383" t="str">
        <f t="shared" si="40"/>
        <v/>
      </c>
      <c r="T682" s="384" t="str">
        <f t="shared" si="43"/>
        <v/>
      </c>
      <c r="U682" s="349"/>
      <c r="V682" s="385"/>
      <c r="W682" s="385"/>
      <c r="X682" s="386"/>
    </row>
    <row r="683" spans="2:24">
      <c r="B683" s="395"/>
      <c r="C683" s="371"/>
      <c r="D683" s="372" t="str">
        <f>IFERROR(INDEX('[12]Equipment List'!$B$2:$B$2038,MATCH(E683,'[12]Equipment List'!$A$2:$A$2038,0)),"")</f>
        <v/>
      </c>
      <c r="E683" s="388"/>
      <c r="F683" s="374"/>
      <c r="G683" s="375"/>
      <c r="H683" s="397"/>
      <c r="I683" s="377"/>
      <c r="J683" s="378"/>
      <c r="K683" s="379"/>
      <c r="L683" s="387"/>
      <c r="M683" s="380" t="str">
        <f t="array" ref="M683">IF(L683="","",(MAX(IF(AN$15:AN$144=B683,AO$15:AO$144))/60))</f>
        <v/>
      </c>
      <c r="N683" s="387"/>
      <c r="O683" s="387"/>
      <c r="P683" s="381" t="str">
        <f t="shared" si="41"/>
        <v/>
      </c>
      <c r="Q683" s="382" t="str">
        <f t="array" ref="Q683">IFERROR(INDEX($D$13:$D$1000,MATCH(0,COUNTIF($Q$13:Q682,$D$13:$D$1000&amp;"")+IF($D$13:$D$1000="",1,0),0)),"")</f>
        <v/>
      </c>
      <c r="R683" s="356" t="str">
        <f t="shared" si="42"/>
        <v/>
      </c>
      <c r="S683" s="383" t="str">
        <f t="shared" ref="S683:S746" si="44">IF($Q683="","",SUMIF($D$13:$D$1000,$Q683,I$13:I$1000))</f>
        <v/>
      </c>
      <c r="T683" s="384" t="str">
        <f t="shared" si="43"/>
        <v/>
      </c>
      <c r="U683" s="349"/>
      <c r="V683" s="385"/>
      <c r="W683" s="385"/>
      <c r="X683" s="386"/>
    </row>
    <row r="684" spans="2:24">
      <c r="B684" s="395"/>
      <c r="C684" s="371"/>
      <c r="D684" s="372" t="str">
        <f>IFERROR(INDEX('[12]Equipment List'!$B$2:$B$2038,MATCH(E684,'[12]Equipment List'!$A$2:$A$2038,0)),"")</f>
        <v/>
      </c>
      <c r="E684" s="388"/>
      <c r="F684" s="374"/>
      <c r="G684" s="375"/>
      <c r="H684" s="397"/>
      <c r="I684" s="377"/>
      <c r="J684" s="378"/>
      <c r="K684" s="379"/>
      <c r="L684" s="387"/>
      <c r="M684" s="380" t="str">
        <f t="array" ref="M684">IF(L684="","",(MAX(IF(AN$15:AN$144=B684,AO$15:AO$144))/60))</f>
        <v/>
      </c>
      <c r="N684" s="387"/>
      <c r="O684" s="387"/>
      <c r="P684" s="381" t="str">
        <f t="shared" si="41"/>
        <v/>
      </c>
      <c r="Q684" s="382" t="str">
        <f t="array" ref="Q684">IFERROR(INDEX($D$13:$D$1000,MATCH(0,COUNTIF($Q$13:Q683,$D$13:$D$1000&amp;"")+IF($D$13:$D$1000="",1,0),0)),"")</f>
        <v/>
      </c>
      <c r="R684" s="356" t="str">
        <f t="shared" si="42"/>
        <v/>
      </c>
      <c r="S684" s="383" t="str">
        <f t="shared" si="44"/>
        <v/>
      </c>
      <c r="T684" s="384" t="str">
        <f t="shared" si="43"/>
        <v/>
      </c>
      <c r="U684" s="349"/>
      <c r="V684" s="385"/>
      <c r="W684" s="385"/>
      <c r="X684" s="386"/>
    </row>
    <row r="685" spans="2:24">
      <c r="B685" s="395"/>
      <c r="C685" s="371"/>
      <c r="D685" s="372" t="str">
        <f>IFERROR(INDEX('[12]Equipment List'!$B$2:$B$2038,MATCH(E685,'[12]Equipment List'!$A$2:$A$2038,0)),"")</f>
        <v/>
      </c>
      <c r="E685" s="388"/>
      <c r="F685" s="374"/>
      <c r="G685" s="375"/>
      <c r="H685" s="397"/>
      <c r="I685" s="377"/>
      <c r="J685" s="378"/>
      <c r="K685" s="379"/>
      <c r="L685" s="387"/>
      <c r="M685" s="380" t="str">
        <f t="array" ref="M685">IF(L685="","",(MAX(IF(AN$15:AN$144=B685,AO$15:AO$144))/60))</f>
        <v/>
      </c>
      <c r="N685" s="387"/>
      <c r="O685" s="387"/>
      <c r="P685" s="381" t="str">
        <f t="shared" si="41"/>
        <v/>
      </c>
      <c r="Q685" s="382" t="str">
        <f t="array" ref="Q685">IFERROR(INDEX($D$13:$D$1000,MATCH(0,COUNTIF($Q$13:Q684,$D$13:$D$1000&amp;"")+IF($D$13:$D$1000="",1,0),0)),"")</f>
        <v/>
      </c>
      <c r="R685" s="356" t="str">
        <f t="shared" si="42"/>
        <v/>
      </c>
      <c r="S685" s="383" t="str">
        <f t="shared" si="44"/>
        <v/>
      </c>
      <c r="T685" s="384" t="str">
        <f t="shared" si="43"/>
        <v/>
      </c>
      <c r="U685" s="349"/>
      <c r="V685" s="385"/>
      <c r="W685" s="385"/>
      <c r="X685" s="386"/>
    </row>
    <row r="686" spans="2:24">
      <c r="B686" s="395"/>
      <c r="C686" s="371"/>
      <c r="D686" s="372" t="str">
        <f>IFERROR(INDEX('[12]Equipment List'!$B$2:$B$2038,MATCH(E686,'[12]Equipment List'!$A$2:$A$2038,0)),"")</f>
        <v/>
      </c>
      <c r="E686" s="388"/>
      <c r="F686" s="374"/>
      <c r="G686" s="375"/>
      <c r="H686" s="397"/>
      <c r="I686" s="377"/>
      <c r="J686" s="378"/>
      <c r="K686" s="379"/>
      <c r="L686" s="387"/>
      <c r="M686" s="380" t="str">
        <f t="array" ref="M686">IF(L686="","",(MAX(IF(AN$15:AN$144=B686,AO$15:AO$144))/60))</f>
        <v/>
      </c>
      <c r="N686" s="387"/>
      <c r="O686" s="387"/>
      <c r="P686" s="381" t="str">
        <f t="shared" si="41"/>
        <v/>
      </c>
      <c r="Q686" s="382" t="str">
        <f t="array" ref="Q686">IFERROR(INDEX($D$13:$D$1000,MATCH(0,COUNTIF($Q$13:Q685,$D$13:$D$1000&amp;"")+IF($D$13:$D$1000="",1,0),0)),"")</f>
        <v/>
      </c>
      <c r="R686" s="356" t="str">
        <f t="shared" si="42"/>
        <v/>
      </c>
      <c r="S686" s="383" t="str">
        <f t="shared" si="44"/>
        <v/>
      </c>
      <c r="T686" s="384" t="str">
        <f t="shared" si="43"/>
        <v/>
      </c>
      <c r="U686" s="349"/>
      <c r="V686" s="385"/>
      <c r="W686" s="385"/>
      <c r="X686" s="386"/>
    </row>
    <row r="687" spans="2:24">
      <c r="B687" s="395"/>
      <c r="C687" s="371"/>
      <c r="D687" s="372" t="str">
        <f>IFERROR(INDEX('[12]Equipment List'!$B$2:$B$2038,MATCH(E687,'[12]Equipment List'!$A$2:$A$2038,0)),"")</f>
        <v/>
      </c>
      <c r="E687" s="388"/>
      <c r="F687" s="374"/>
      <c r="G687" s="375"/>
      <c r="H687" s="397"/>
      <c r="I687" s="377"/>
      <c r="J687" s="378"/>
      <c r="K687" s="379"/>
      <c r="L687" s="387"/>
      <c r="M687" s="380" t="str">
        <f t="array" ref="M687">IF(L687="","",(MAX(IF(AN$15:AN$144=B687,AO$15:AO$144))/60))</f>
        <v/>
      </c>
      <c r="N687" s="387"/>
      <c r="O687" s="387"/>
      <c r="P687" s="381" t="str">
        <f t="shared" si="41"/>
        <v/>
      </c>
      <c r="Q687" s="382" t="str">
        <f t="array" ref="Q687">IFERROR(INDEX($D$13:$D$1000,MATCH(0,COUNTIF($Q$13:Q686,$D$13:$D$1000&amp;"")+IF($D$13:$D$1000="",1,0),0)),"")</f>
        <v/>
      </c>
      <c r="R687" s="356" t="str">
        <f t="shared" si="42"/>
        <v/>
      </c>
      <c r="S687" s="383" t="str">
        <f t="shared" si="44"/>
        <v/>
      </c>
      <c r="T687" s="384" t="str">
        <f t="shared" si="43"/>
        <v/>
      </c>
      <c r="U687" s="349"/>
      <c r="V687" s="385"/>
      <c r="W687" s="385"/>
      <c r="X687" s="386"/>
    </row>
    <row r="688" spans="2:24">
      <c r="B688" s="395"/>
      <c r="C688" s="371"/>
      <c r="D688" s="372" t="str">
        <f>IFERROR(INDEX('[12]Equipment List'!$B$2:$B$2038,MATCH(E688,'[12]Equipment List'!$A$2:$A$2038,0)),"")</f>
        <v/>
      </c>
      <c r="E688" s="388"/>
      <c r="F688" s="374"/>
      <c r="G688" s="375"/>
      <c r="H688" s="397"/>
      <c r="I688" s="377"/>
      <c r="J688" s="378"/>
      <c r="K688" s="379"/>
      <c r="L688" s="387"/>
      <c r="M688" s="380" t="str">
        <f t="array" ref="M688">IF(L688="","",(MAX(IF(AN$15:AN$144=B688,AO$15:AO$144))/60))</f>
        <v/>
      </c>
      <c r="N688" s="387"/>
      <c r="O688" s="387"/>
      <c r="P688" s="381" t="str">
        <f t="shared" si="41"/>
        <v/>
      </c>
      <c r="Q688" s="382" t="str">
        <f t="array" ref="Q688">IFERROR(INDEX($D$13:$D$1000,MATCH(0,COUNTIF($Q$13:Q687,$D$13:$D$1000&amp;"")+IF($D$13:$D$1000="",1,0),0)),"")</f>
        <v/>
      </c>
      <c r="R688" s="356" t="str">
        <f t="shared" si="42"/>
        <v/>
      </c>
      <c r="S688" s="383" t="str">
        <f t="shared" si="44"/>
        <v/>
      </c>
      <c r="T688" s="384" t="str">
        <f t="shared" si="43"/>
        <v/>
      </c>
      <c r="U688" s="349"/>
      <c r="V688" s="385"/>
      <c r="W688" s="385"/>
      <c r="X688" s="386"/>
    </row>
    <row r="689" spans="2:24">
      <c r="B689" s="395"/>
      <c r="C689" s="371"/>
      <c r="D689" s="372" t="str">
        <f>IFERROR(INDEX('[12]Equipment List'!$B$2:$B$2038,MATCH(E689,'[12]Equipment List'!$A$2:$A$2038,0)),"")</f>
        <v/>
      </c>
      <c r="E689" s="388"/>
      <c r="F689" s="374"/>
      <c r="G689" s="375"/>
      <c r="H689" s="397"/>
      <c r="I689" s="377"/>
      <c r="J689" s="378"/>
      <c r="K689" s="379"/>
      <c r="L689" s="387"/>
      <c r="M689" s="380" t="str">
        <f t="array" ref="M689">IF(L689="","",(MAX(IF(AN$15:AN$144=B689,AO$15:AO$144))/60))</f>
        <v/>
      </c>
      <c r="N689" s="387"/>
      <c r="O689" s="387"/>
      <c r="P689" s="381" t="str">
        <f t="shared" si="41"/>
        <v/>
      </c>
      <c r="Q689" s="382" t="str">
        <f t="array" ref="Q689">IFERROR(INDEX($D$13:$D$1000,MATCH(0,COUNTIF($Q$13:Q688,$D$13:$D$1000&amp;"")+IF($D$13:$D$1000="",1,0),0)),"")</f>
        <v/>
      </c>
      <c r="R689" s="356" t="str">
        <f t="shared" si="42"/>
        <v/>
      </c>
      <c r="S689" s="383" t="str">
        <f t="shared" si="44"/>
        <v/>
      </c>
      <c r="T689" s="384" t="str">
        <f t="shared" si="43"/>
        <v/>
      </c>
      <c r="U689" s="349"/>
      <c r="V689" s="385"/>
      <c r="W689" s="385"/>
      <c r="X689" s="386"/>
    </row>
    <row r="690" spans="2:24">
      <c r="B690" s="395"/>
      <c r="C690" s="371"/>
      <c r="D690" s="372" t="str">
        <f>IFERROR(INDEX('[12]Equipment List'!$B$2:$B$2038,MATCH(E690,'[12]Equipment List'!$A$2:$A$2038,0)),"")</f>
        <v/>
      </c>
      <c r="E690" s="388"/>
      <c r="F690" s="374"/>
      <c r="G690" s="375"/>
      <c r="H690" s="397"/>
      <c r="I690" s="377"/>
      <c r="J690" s="378"/>
      <c r="K690" s="379"/>
      <c r="L690" s="387"/>
      <c r="M690" s="380" t="str">
        <f t="array" ref="M690">IF(L690="","",(MAX(IF(AN$15:AN$144=B690,AO$15:AO$144))/60))</f>
        <v/>
      </c>
      <c r="N690" s="387"/>
      <c r="O690" s="387"/>
      <c r="P690" s="381" t="str">
        <f t="shared" si="41"/>
        <v/>
      </c>
      <c r="Q690" s="382" t="str">
        <f t="array" ref="Q690">IFERROR(INDEX($D$13:$D$1000,MATCH(0,COUNTIF($Q$13:Q689,$D$13:$D$1000&amp;"")+IF($D$13:$D$1000="",1,0),0)),"")</f>
        <v/>
      </c>
      <c r="R690" s="356" t="str">
        <f t="shared" si="42"/>
        <v/>
      </c>
      <c r="S690" s="383" t="str">
        <f t="shared" si="44"/>
        <v/>
      </c>
      <c r="T690" s="384" t="str">
        <f t="shared" si="43"/>
        <v/>
      </c>
      <c r="U690" s="349"/>
      <c r="V690" s="385"/>
      <c r="W690" s="385"/>
      <c r="X690" s="386"/>
    </row>
    <row r="691" spans="2:24">
      <c r="B691" s="395"/>
      <c r="C691" s="371"/>
      <c r="D691" s="372" t="str">
        <f>IFERROR(INDEX('[12]Equipment List'!$B$2:$B$2038,MATCH(E691,'[12]Equipment List'!$A$2:$A$2038,0)),"")</f>
        <v/>
      </c>
      <c r="E691" s="388"/>
      <c r="F691" s="374"/>
      <c r="G691" s="375"/>
      <c r="H691" s="397"/>
      <c r="I691" s="377"/>
      <c r="J691" s="378"/>
      <c r="K691" s="379"/>
      <c r="L691" s="387"/>
      <c r="M691" s="380" t="str">
        <f t="array" ref="M691">IF(L691="","",(MAX(IF(AN$15:AN$144=B691,AO$15:AO$144))/60))</f>
        <v/>
      </c>
      <c r="N691" s="387"/>
      <c r="O691" s="387"/>
      <c r="P691" s="381" t="str">
        <f t="shared" si="41"/>
        <v/>
      </c>
      <c r="Q691" s="382" t="str">
        <f t="array" ref="Q691">IFERROR(INDEX($D$13:$D$1000,MATCH(0,COUNTIF($Q$13:Q690,$D$13:$D$1000&amp;"")+IF($D$13:$D$1000="",1,0),0)),"")</f>
        <v/>
      </c>
      <c r="R691" s="356" t="str">
        <f t="shared" si="42"/>
        <v/>
      </c>
      <c r="S691" s="383" t="str">
        <f t="shared" si="44"/>
        <v/>
      </c>
      <c r="T691" s="384" t="str">
        <f t="shared" si="43"/>
        <v/>
      </c>
      <c r="U691" s="349"/>
      <c r="V691" s="385"/>
      <c r="W691" s="385"/>
      <c r="X691" s="386"/>
    </row>
    <row r="692" spans="2:24">
      <c r="B692" s="395"/>
      <c r="C692" s="371"/>
      <c r="D692" s="372" t="str">
        <f>IFERROR(INDEX('[12]Equipment List'!$B$2:$B$2038,MATCH(E692,'[12]Equipment List'!$A$2:$A$2038,0)),"")</f>
        <v/>
      </c>
      <c r="E692" s="388"/>
      <c r="F692" s="374"/>
      <c r="G692" s="375"/>
      <c r="H692" s="397"/>
      <c r="I692" s="377"/>
      <c r="J692" s="378"/>
      <c r="K692" s="379"/>
      <c r="L692" s="387"/>
      <c r="M692" s="380" t="str">
        <f t="array" ref="M692">IF(L692="","",(MAX(IF(AN$15:AN$144=B692,AO$15:AO$144))/60))</f>
        <v/>
      </c>
      <c r="N692" s="387"/>
      <c r="O692" s="387"/>
      <c r="P692" s="381" t="str">
        <f t="shared" si="41"/>
        <v/>
      </c>
      <c r="Q692" s="382" t="str">
        <f t="array" ref="Q692">IFERROR(INDEX($D$13:$D$1000,MATCH(0,COUNTIF($Q$13:Q691,$D$13:$D$1000&amp;"")+IF($D$13:$D$1000="",1,0),0)),"")</f>
        <v/>
      </c>
      <c r="R692" s="356" t="str">
        <f t="shared" si="42"/>
        <v/>
      </c>
      <c r="S692" s="383" t="str">
        <f t="shared" si="44"/>
        <v/>
      </c>
      <c r="T692" s="384" t="str">
        <f t="shared" si="43"/>
        <v/>
      </c>
      <c r="U692" s="349"/>
      <c r="V692" s="385"/>
      <c r="W692" s="385"/>
      <c r="X692" s="386"/>
    </row>
    <row r="693" spans="2:24">
      <c r="B693" s="395"/>
      <c r="C693" s="371"/>
      <c r="D693" s="372" t="str">
        <f>IFERROR(INDEX('[12]Equipment List'!$B$2:$B$2038,MATCH(E693,'[12]Equipment List'!$A$2:$A$2038,0)),"")</f>
        <v/>
      </c>
      <c r="E693" s="388"/>
      <c r="F693" s="374"/>
      <c r="G693" s="375"/>
      <c r="H693" s="397"/>
      <c r="I693" s="377"/>
      <c r="J693" s="378"/>
      <c r="K693" s="379"/>
      <c r="L693" s="387"/>
      <c r="M693" s="380" t="str">
        <f t="array" ref="M693">IF(L693="","",(MAX(IF(AN$15:AN$144=B693,AO$15:AO$144))/60))</f>
        <v/>
      </c>
      <c r="N693" s="387"/>
      <c r="O693" s="387"/>
      <c r="P693" s="381" t="str">
        <f t="shared" si="41"/>
        <v/>
      </c>
      <c r="Q693" s="382" t="str">
        <f t="array" ref="Q693">IFERROR(INDEX($D$13:$D$1000,MATCH(0,COUNTIF($Q$13:Q692,$D$13:$D$1000&amp;"")+IF($D$13:$D$1000="",1,0),0)),"")</f>
        <v/>
      </c>
      <c r="R693" s="356" t="str">
        <f t="shared" si="42"/>
        <v/>
      </c>
      <c r="S693" s="383" t="str">
        <f t="shared" si="44"/>
        <v/>
      </c>
      <c r="T693" s="384" t="str">
        <f t="shared" si="43"/>
        <v/>
      </c>
      <c r="U693" s="349"/>
      <c r="V693" s="385"/>
      <c r="W693" s="385"/>
      <c r="X693" s="386"/>
    </row>
    <row r="694" spans="2:24">
      <c r="B694" s="395"/>
      <c r="C694" s="371"/>
      <c r="D694" s="372" t="str">
        <f>IFERROR(INDEX('[12]Equipment List'!$B$2:$B$2038,MATCH(E694,'[12]Equipment List'!$A$2:$A$2038,0)),"")</f>
        <v/>
      </c>
      <c r="E694" s="388"/>
      <c r="F694" s="374"/>
      <c r="G694" s="375"/>
      <c r="H694" s="397"/>
      <c r="I694" s="377"/>
      <c r="J694" s="378"/>
      <c r="K694" s="379"/>
      <c r="L694" s="387"/>
      <c r="M694" s="380" t="str">
        <f t="array" ref="M694">IF(L694="","",(MAX(IF(AN$15:AN$144=B694,AO$15:AO$144))/60))</f>
        <v/>
      </c>
      <c r="N694" s="387"/>
      <c r="O694" s="387"/>
      <c r="P694" s="381" t="str">
        <f t="shared" si="41"/>
        <v/>
      </c>
      <c r="Q694" s="382" t="str">
        <f t="array" ref="Q694">IFERROR(INDEX($D$13:$D$1000,MATCH(0,COUNTIF($Q$13:Q693,$D$13:$D$1000&amp;"")+IF($D$13:$D$1000="",1,0),0)),"")</f>
        <v/>
      </c>
      <c r="R694" s="356" t="str">
        <f t="shared" si="42"/>
        <v/>
      </c>
      <c r="S694" s="383" t="str">
        <f t="shared" si="44"/>
        <v/>
      </c>
      <c r="T694" s="384" t="str">
        <f t="shared" si="43"/>
        <v/>
      </c>
      <c r="U694" s="349"/>
      <c r="V694" s="385"/>
      <c r="W694" s="385"/>
      <c r="X694" s="386"/>
    </row>
    <row r="695" spans="2:24">
      <c r="B695" s="395"/>
      <c r="C695" s="371"/>
      <c r="D695" s="372" t="str">
        <f>IFERROR(INDEX('[12]Equipment List'!$B$2:$B$2038,MATCH(E695,'[12]Equipment List'!$A$2:$A$2038,0)),"")</f>
        <v/>
      </c>
      <c r="E695" s="388"/>
      <c r="F695" s="374"/>
      <c r="G695" s="375"/>
      <c r="H695" s="397"/>
      <c r="I695" s="377"/>
      <c r="J695" s="378"/>
      <c r="K695" s="379"/>
      <c r="L695" s="387"/>
      <c r="M695" s="380" t="str">
        <f t="array" ref="M695">IF(L695="","",(MAX(IF(AN$15:AN$144=B695,AO$15:AO$144))/60))</f>
        <v/>
      </c>
      <c r="N695" s="387"/>
      <c r="O695" s="387"/>
      <c r="P695" s="381" t="str">
        <f t="shared" si="41"/>
        <v/>
      </c>
      <c r="Q695" s="382" t="str">
        <f t="array" ref="Q695">IFERROR(INDEX($D$13:$D$1000,MATCH(0,COUNTIF($Q$13:Q694,$D$13:$D$1000&amp;"")+IF($D$13:$D$1000="",1,0),0)),"")</f>
        <v/>
      </c>
      <c r="R695" s="356" t="str">
        <f t="shared" si="42"/>
        <v/>
      </c>
      <c r="S695" s="383" t="str">
        <f t="shared" si="44"/>
        <v/>
      </c>
      <c r="T695" s="384" t="str">
        <f t="shared" si="43"/>
        <v/>
      </c>
      <c r="U695" s="349"/>
      <c r="V695" s="385"/>
      <c r="W695" s="385"/>
      <c r="X695" s="386"/>
    </row>
    <row r="696" spans="2:24">
      <c r="B696" s="395"/>
      <c r="C696" s="371"/>
      <c r="D696" s="372" t="str">
        <f>IFERROR(INDEX('[12]Equipment List'!$B$2:$B$2038,MATCH(E696,'[12]Equipment List'!$A$2:$A$2038,0)),"")</f>
        <v/>
      </c>
      <c r="E696" s="388"/>
      <c r="F696" s="374"/>
      <c r="G696" s="375"/>
      <c r="H696" s="397"/>
      <c r="I696" s="377"/>
      <c r="J696" s="378"/>
      <c r="K696" s="379"/>
      <c r="L696" s="387"/>
      <c r="M696" s="380" t="str">
        <f t="array" ref="M696">IF(L696="","",(MAX(IF(AN$15:AN$144=B696,AO$15:AO$144))/60))</f>
        <v/>
      </c>
      <c r="N696" s="387"/>
      <c r="O696" s="387"/>
      <c r="P696" s="381" t="str">
        <f t="shared" si="41"/>
        <v/>
      </c>
      <c r="Q696" s="382" t="str">
        <f t="array" ref="Q696">IFERROR(INDEX($D$13:$D$1000,MATCH(0,COUNTIF($Q$13:Q695,$D$13:$D$1000&amp;"")+IF($D$13:$D$1000="",1,0),0)),"")</f>
        <v/>
      </c>
      <c r="R696" s="356" t="str">
        <f t="shared" si="42"/>
        <v/>
      </c>
      <c r="S696" s="383" t="str">
        <f t="shared" si="44"/>
        <v/>
      </c>
      <c r="T696" s="384" t="str">
        <f t="shared" si="43"/>
        <v/>
      </c>
      <c r="U696" s="349"/>
      <c r="V696" s="385"/>
      <c r="W696" s="385"/>
      <c r="X696" s="386"/>
    </row>
    <row r="697" spans="2:24">
      <c r="B697" s="395"/>
      <c r="C697" s="371"/>
      <c r="D697" s="372" t="str">
        <f>IFERROR(INDEX('[12]Equipment List'!$B$2:$B$2038,MATCH(E697,'[12]Equipment List'!$A$2:$A$2038,0)),"")</f>
        <v/>
      </c>
      <c r="E697" s="388"/>
      <c r="F697" s="374"/>
      <c r="G697" s="375"/>
      <c r="H697" s="397"/>
      <c r="I697" s="377"/>
      <c r="J697" s="378"/>
      <c r="K697" s="379"/>
      <c r="L697" s="387"/>
      <c r="M697" s="380" t="str">
        <f t="array" ref="M697">IF(L697="","",(MAX(IF(AN$15:AN$144=B697,AO$15:AO$144))/60))</f>
        <v/>
      </c>
      <c r="N697" s="387"/>
      <c r="O697" s="387"/>
      <c r="P697" s="381" t="str">
        <f t="shared" si="41"/>
        <v/>
      </c>
      <c r="Q697" s="382" t="str">
        <f t="array" ref="Q697">IFERROR(INDEX($D$13:$D$1000,MATCH(0,COUNTIF($Q$13:Q696,$D$13:$D$1000&amp;"")+IF($D$13:$D$1000="",1,0),0)),"")</f>
        <v/>
      </c>
      <c r="R697" s="356" t="str">
        <f t="shared" si="42"/>
        <v/>
      </c>
      <c r="S697" s="383" t="str">
        <f t="shared" si="44"/>
        <v/>
      </c>
      <c r="T697" s="384" t="str">
        <f t="shared" si="43"/>
        <v/>
      </c>
      <c r="U697" s="349"/>
      <c r="V697" s="385"/>
      <c r="W697" s="385"/>
      <c r="X697" s="386"/>
    </row>
    <row r="698" spans="2:24">
      <c r="B698" s="395"/>
      <c r="C698" s="371"/>
      <c r="D698" s="372" t="str">
        <f>IFERROR(INDEX('[12]Equipment List'!$B$2:$B$2038,MATCH(E698,'[12]Equipment List'!$A$2:$A$2038,0)),"")</f>
        <v/>
      </c>
      <c r="E698" s="388"/>
      <c r="F698" s="374"/>
      <c r="G698" s="375"/>
      <c r="H698" s="397"/>
      <c r="I698" s="377"/>
      <c r="J698" s="378"/>
      <c r="K698" s="379"/>
      <c r="L698" s="387"/>
      <c r="M698" s="380" t="str">
        <f t="array" ref="M698">IF(L698="","",(MAX(IF(AN$15:AN$144=B698,AO$15:AO$144))/60))</f>
        <v/>
      </c>
      <c r="N698" s="387"/>
      <c r="O698" s="387"/>
      <c r="P698" s="381" t="str">
        <f t="shared" si="41"/>
        <v/>
      </c>
      <c r="Q698" s="382" t="str">
        <f t="array" ref="Q698">IFERROR(INDEX($D$13:$D$1000,MATCH(0,COUNTIF($Q$13:Q697,$D$13:$D$1000&amp;"")+IF($D$13:$D$1000="",1,0),0)),"")</f>
        <v/>
      </c>
      <c r="R698" s="356" t="str">
        <f t="shared" si="42"/>
        <v/>
      </c>
      <c r="S698" s="383" t="str">
        <f t="shared" si="44"/>
        <v/>
      </c>
      <c r="T698" s="384" t="str">
        <f t="shared" si="43"/>
        <v/>
      </c>
      <c r="U698" s="349"/>
      <c r="V698" s="385"/>
      <c r="W698" s="385"/>
      <c r="X698" s="386"/>
    </row>
    <row r="699" spans="2:24">
      <c r="B699" s="395"/>
      <c r="C699" s="371"/>
      <c r="D699" s="372" t="str">
        <f>IFERROR(INDEX('[12]Equipment List'!$B$2:$B$2038,MATCH(E699,'[12]Equipment List'!$A$2:$A$2038,0)),"")</f>
        <v/>
      </c>
      <c r="E699" s="388"/>
      <c r="F699" s="374"/>
      <c r="G699" s="375"/>
      <c r="H699" s="397"/>
      <c r="I699" s="377"/>
      <c r="J699" s="378"/>
      <c r="K699" s="379"/>
      <c r="L699" s="387"/>
      <c r="M699" s="380" t="str">
        <f t="array" ref="M699">IF(L699="","",(MAX(IF(AN$15:AN$144=B699,AO$15:AO$144))/60))</f>
        <v/>
      </c>
      <c r="N699" s="387"/>
      <c r="O699" s="387"/>
      <c r="P699" s="381" t="str">
        <f t="shared" si="41"/>
        <v/>
      </c>
      <c r="Q699" s="382" t="str">
        <f t="array" ref="Q699">IFERROR(INDEX($D$13:$D$1000,MATCH(0,COUNTIF($Q$13:Q698,$D$13:$D$1000&amp;"")+IF($D$13:$D$1000="",1,0),0)),"")</f>
        <v/>
      </c>
      <c r="R699" s="356" t="str">
        <f t="shared" si="42"/>
        <v/>
      </c>
      <c r="S699" s="383" t="str">
        <f t="shared" si="44"/>
        <v/>
      </c>
      <c r="T699" s="384" t="str">
        <f t="shared" si="43"/>
        <v/>
      </c>
      <c r="U699" s="349"/>
      <c r="V699" s="385"/>
      <c r="W699" s="385"/>
      <c r="X699" s="386"/>
    </row>
    <row r="700" spans="2:24">
      <c r="B700" s="395"/>
      <c r="C700" s="371"/>
      <c r="D700" s="372" t="str">
        <f>IFERROR(INDEX('[12]Equipment List'!$B$2:$B$2038,MATCH(E700,'[12]Equipment List'!$A$2:$A$2038,0)),"")</f>
        <v/>
      </c>
      <c r="E700" s="388"/>
      <c r="F700" s="374"/>
      <c r="G700" s="375"/>
      <c r="H700" s="397"/>
      <c r="I700" s="377"/>
      <c r="J700" s="378"/>
      <c r="K700" s="379"/>
      <c r="L700" s="387"/>
      <c r="M700" s="380" t="str">
        <f t="array" ref="M700">IF(L700="","",(MAX(IF(AN$15:AN$144=B700,AO$15:AO$144))/60))</f>
        <v/>
      </c>
      <c r="N700" s="387"/>
      <c r="O700" s="387"/>
      <c r="P700" s="381" t="str">
        <f t="shared" si="41"/>
        <v/>
      </c>
      <c r="Q700" s="382" t="str">
        <f t="array" ref="Q700">IFERROR(INDEX($D$13:$D$1000,MATCH(0,COUNTIF($Q$13:Q699,$D$13:$D$1000&amp;"")+IF($D$13:$D$1000="",1,0),0)),"")</f>
        <v/>
      </c>
      <c r="R700" s="356" t="str">
        <f t="shared" si="42"/>
        <v/>
      </c>
      <c r="S700" s="383" t="str">
        <f t="shared" si="44"/>
        <v/>
      </c>
      <c r="T700" s="384" t="str">
        <f t="shared" si="43"/>
        <v/>
      </c>
      <c r="U700" s="349"/>
      <c r="V700" s="385"/>
      <c r="W700" s="385"/>
      <c r="X700" s="386"/>
    </row>
    <row r="701" spans="2:24">
      <c r="B701" s="395"/>
      <c r="C701" s="371"/>
      <c r="D701" s="372" t="str">
        <f>IFERROR(INDEX('[12]Equipment List'!$B$2:$B$2038,MATCH(E701,'[12]Equipment List'!$A$2:$A$2038,0)),"")</f>
        <v/>
      </c>
      <c r="E701" s="388"/>
      <c r="F701" s="374"/>
      <c r="G701" s="375"/>
      <c r="H701" s="397"/>
      <c r="I701" s="377"/>
      <c r="J701" s="378"/>
      <c r="K701" s="379"/>
      <c r="L701" s="387"/>
      <c r="M701" s="380" t="str">
        <f t="array" ref="M701">IF(L701="","",(MAX(IF(AN$15:AN$144=B701,AO$15:AO$144))/60))</f>
        <v/>
      </c>
      <c r="N701" s="387"/>
      <c r="O701" s="387"/>
      <c r="P701" s="381" t="str">
        <f t="shared" si="41"/>
        <v/>
      </c>
      <c r="Q701" s="382" t="str">
        <f t="array" ref="Q701">IFERROR(INDEX($D$13:$D$1000,MATCH(0,COUNTIF($Q$13:Q700,$D$13:$D$1000&amp;"")+IF($D$13:$D$1000="",1,0),0)),"")</f>
        <v/>
      </c>
      <c r="R701" s="356" t="str">
        <f t="shared" si="42"/>
        <v/>
      </c>
      <c r="S701" s="383" t="str">
        <f t="shared" si="44"/>
        <v/>
      </c>
      <c r="T701" s="384" t="str">
        <f t="shared" si="43"/>
        <v/>
      </c>
      <c r="U701" s="349"/>
      <c r="V701" s="385"/>
      <c r="W701" s="385"/>
      <c r="X701" s="386"/>
    </row>
    <row r="702" spans="2:24">
      <c r="B702" s="395"/>
      <c r="C702" s="371"/>
      <c r="D702" s="372" t="str">
        <f>IFERROR(INDEX('[12]Equipment List'!$B$2:$B$2038,MATCH(E702,'[12]Equipment List'!$A$2:$A$2038,0)),"")</f>
        <v/>
      </c>
      <c r="E702" s="388"/>
      <c r="F702" s="374"/>
      <c r="G702" s="375"/>
      <c r="H702" s="397"/>
      <c r="I702" s="377"/>
      <c r="J702" s="378"/>
      <c r="K702" s="379"/>
      <c r="L702" s="387"/>
      <c r="M702" s="380" t="str">
        <f t="array" ref="M702">IF(L702="","",(MAX(IF(AN$15:AN$144=B702,AO$15:AO$144))/60))</f>
        <v/>
      </c>
      <c r="N702" s="387"/>
      <c r="O702" s="387"/>
      <c r="P702" s="381" t="str">
        <f t="shared" si="41"/>
        <v/>
      </c>
      <c r="Q702" s="382" t="str">
        <f t="array" ref="Q702">IFERROR(INDEX($D$13:$D$1000,MATCH(0,COUNTIF($Q$13:Q701,$D$13:$D$1000&amp;"")+IF($D$13:$D$1000="",1,0),0)),"")</f>
        <v/>
      </c>
      <c r="R702" s="356" t="str">
        <f t="shared" si="42"/>
        <v/>
      </c>
      <c r="S702" s="383" t="str">
        <f t="shared" si="44"/>
        <v/>
      </c>
      <c r="T702" s="384" t="str">
        <f t="shared" si="43"/>
        <v/>
      </c>
      <c r="U702" s="349"/>
      <c r="V702" s="385"/>
      <c r="W702" s="385"/>
      <c r="X702" s="386"/>
    </row>
    <row r="703" spans="2:24">
      <c r="B703" s="395"/>
      <c r="C703" s="371"/>
      <c r="D703" s="372" t="str">
        <f>IFERROR(INDEX('[12]Equipment List'!$B$2:$B$2038,MATCH(E703,'[12]Equipment List'!$A$2:$A$2038,0)),"")</f>
        <v/>
      </c>
      <c r="E703" s="388"/>
      <c r="F703" s="374"/>
      <c r="G703" s="375"/>
      <c r="H703" s="397"/>
      <c r="I703" s="377"/>
      <c r="J703" s="378"/>
      <c r="K703" s="379"/>
      <c r="L703" s="387"/>
      <c r="M703" s="380" t="str">
        <f t="array" ref="M703">IF(L703="","",(MAX(IF(AN$15:AN$144=B703,AO$15:AO$144))/60))</f>
        <v/>
      </c>
      <c r="N703" s="387"/>
      <c r="O703" s="387"/>
      <c r="P703" s="381" t="str">
        <f t="shared" si="41"/>
        <v/>
      </c>
      <c r="Q703" s="382" t="str">
        <f t="array" ref="Q703">IFERROR(INDEX($D$13:$D$1000,MATCH(0,COUNTIF($Q$13:Q702,$D$13:$D$1000&amp;"")+IF($D$13:$D$1000="",1,0),0)),"")</f>
        <v/>
      </c>
      <c r="R703" s="356" t="str">
        <f t="shared" si="42"/>
        <v/>
      </c>
      <c r="S703" s="383" t="str">
        <f t="shared" si="44"/>
        <v/>
      </c>
      <c r="T703" s="384" t="str">
        <f t="shared" si="43"/>
        <v/>
      </c>
      <c r="U703" s="349"/>
      <c r="V703" s="385"/>
      <c r="W703" s="385"/>
      <c r="X703" s="386"/>
    </row>
    <row r="704" spans="2:24">
      <c r="B704" s="395"/>
      <c r="C704" s="371"/>
      <c r="D704" s="372" t="str">
        <f>IFERROR(INDEX('[12]Equipment List'!$B$2:$B$2038,MATCH(E704,'[12]Equipment List'!$A$2:$A$2038,0)),"")</f>
        <v/>
      </c>
      <c r="E704" s="388"/>
      <c r="F704" s="374"/>
      <c r="G704" s="375"/>
      <c r="H704" s="397"/>
      <c r="I704" s="377"/>
      <c r="J704" s="378"/>
      <c r="K704" s="379"/>
      <c r="L704" s="387"/>
      <c r="M704" s="380" t="str">
        <f t="array" ref="M704">IF(L704="","",(MAX(IF(AN$15:AN$144=B704,AO$15:AO$144))/60))</f>
        <v/>
      </c>
      <c r="N704" s="387"/>
      <c r="O704" s="387"/>
      <c r="P704" s="381" t="str">
        <f t="shared" si="41"/>
        <v/>
      </c>
      <c r="Q704" s="382" t="str">
        <f t="array" ref="Q704">IFERROR(INDEX($D$13:$D$1000,MATCH(0,COUNTIF($Q$13:Q703,$D$13:$D$1000&amp;"")+IF($D$13:$D$1000="",1,0),0)),"")</f>
        <v/>
      </c>
      <c r="R704" s="356" t="str">
        <f t="shared" si="42"/>
        <v/>
      </c>
      <c r="S704" s="383" t="str">
        <f t="shared" si="44"/>
        <v/>
      </c>
      <c r="T704" s="384" t="str">
        <f t="shared" si="43"/>
        <v/>
      </c>
      <c r="U704" s="349"/>
      <c r="V704" s="385"/>
      <c r="W704" s="385"/>
      <c r="X704" s="386"/>
    </row>
    <row r="705" spans="2:24">
      <c r="B705" s="395"/>
      <c r="C705" s="371"/>
      <c r="D705" s="372" t="str">
        <f>IFERROR(INDEX('[12]Equipment List'!$B$2:$B$2038,MATCH(E705,'[12]Equipment List'!$A$2:$A$2038,0)),"")</f>
        <v/>
      </c>
      <c r="E705" s="388"/>
      <c r="F705" s="374"/>
      <c r="G705" s="375"/>
      <c r="H705" s="397"/>
      <c r="I705" s="377"/>
      <c r="J705" s="378"/>
      <c r="K705" s="379"/>
      <c r="L705" s="387"/>
      <c r="M705" s="380" t="str">
        <f t="array" ref="M705">IF(L705="","",(MAX(IF(AN$15:AN$144=B705,AO$15:AO$144))/60))</f>
        <v/>
      </c>
      <c r="N705" s="387"/>
      <c r="O705" s="387"/>
      <c r="P705" s="381" t="str">
        <f t="shared" si="41"/>
        <v/>
      </c>
      <c r="Q705" s="382" t="str">
        <f t="array" ref="Q705">IFERROR(INDEX($D$13:$D$1000,MATCH(0,COUNTIF($Q$13:Q704,$D$13:$D$1000&amp;"")+IF($D$13:$D$1000="",1,0),0)),"")</f>
        <v/>
      </c>
      <c r="R705" s="356" t="str">
        <f t="shared" si="42"/>
        <v/>
      </c>
      <c r="S705" s="383" t="str">
        <f t="shared" si="44"/>
        <v/>
      </c>
      <c r="T705" s="384" t="str">
        <f t="shared" si="43"/>
        <v/>
      </c>
      <c r="U705" s="349"/>
      <c r="V705" s="385"/>
      <c r="W705" s="385"/>
      <c r="X705" s="386"/>
    </row>
    <row r="706" spans="2:24">
      <c r="B706" s="395"/>
      <c r="C706" s="371"/>
      <c r="D706" s="372" t="str">
        <f>IFERROR(INDEX('[12]Equipment List'!$B$2:$B$2038,MATCH(E706,'[12]Equipment List'!$A$2:$A$2038,0)),"")</f>
        <v/>
      </c>
      <c r="E706" s="388"/>
      <c r="F706" s="374"/>
      <c r="G706" s="375"/>
      <c r="H706" s="397"/>
      <c r="I706" s="377"/>
      <c r="J706" s="378"/>
      <c r="K706" s="379"/>
      <c r="L706" s="387"/>
      <c r="M706" s="380" t="str">
        <f t="array" ref="M706">IF(L706="","",(MAX(IF(AN$15:AN$144=B706,AO$15:AO$144))/60))</f>
        <v/>
      </c>
      <c r="N706" s="387"/>
      <c r="O706" s="387"/>
      <c r="P706" s="381" t="str">
        <f t="shared" si="41"/>
        <v/>
      </c>
      <c r="Q706" s="382" t="str">
        <f t="array" ref="Q706">IFERROR(INDEX($D$13:$D$1000,MATCH(0,COUNTIF($Q$13:Q705,$D$13:$D$1000&amp;"")+IF($D$13:$D$1000="",1,0),0)),"")</f>
        <v/>
      </c>
      <c r="R706" s="356" t="str">
        <f t="shared" si="42"/>
        <v/>
      </c>
      <c r="S706" s="383" t="str">
        <f t="shared" si="44"/>
        <v/>
      </c>
      <c r="T706" s="384" t="str">
        <f t="shared" si="43"/>
        <v/>
      </c>
      <c r="U706" s="349"/>
      <c r="V706" s="385"/>
      <c r="W706" s="385"/>
      <c r="X706" s="386"/>
    </row>
    <row r="707" spans="2:24">
      <c r="B707" s="395"/>
      <c r="C707" s="371"/>
      <c r="D707" s="372" t="str">
        <f>IFERROR(INDEX('[12]Equipment List'!$B$2:$B$2038,MATCH(E707,'[12]Equipment List'!$A$2:$A$2038,0)),"")</f>
        <v/>
      </c>
      <c r="E707" s="388"/>
      <c r="F707" s="374"/>
      <c r="G707" s="375"/>
      <c r="H707" s="397"/>
      <c r="I707" s="377"/>
      <c r="J707" s="378"/>
      <c r="K707" s="379"/>
      <c r="L707" s="387"/>
      <c r="M707" s="380" t="str">
        <f t="array" ref="M707">IF(L707="","",(MAX(IF(AN$15:AN$144=B707,AO$15:AO$144))/60))</f>
        <v/>
      </c>
      <c r="N707" s="387"/>
      <c r="O707" s="387"/>
      <c r="P707" s="381" t="str">
        <f t="shared" si="41"/>
        <v/>
      </c>
      <c r="Q707" s="382" t="str">
        <f t="array" ref="Q707">IFERROR(INDEX($D$13:$D$1000,MATCH(0,COUNTIF($Q$13:Q706,$D$13:$D$1000&amp;"")+IF($D$13:$D$1000="",1,0),0)),"")</f>
        <v/>
      </c>
      <c r="R707" s="356" t="str">
        <f t="shared" si="42"/>
        <v/>
      </c>
      <c r="S707" s="383" t="str">
        <f t="shared" si="44"/>
        <v/>
      </c>
      <c r="T707" s="384" t="str">
        <f t="shared" si="43"/>
        <v/>
      </c>
      <c r="U707" s="349"/>
      <c r="V707" s="385"/>
      <c r="W707" s="385"/>
      <c r="X707" s="386"/>
    </row>
    <row r="708" spans="2:24">
      <c r="B708" s="395"/>
      <c r="C708" s="371"/>
      <c r="D708" s="372" t="str">
        <f>IFERROR(INDEX('[12]Equipment List'!$B$2:$B$2038,MATCH(E708,'[12]Equipment List'!$A$2:$A$2038,0)),"")</f>
        <v/>
      </c>
      <c r="E708" s="388"/>
      <c r="F708" s="374"/>
      <c r="G708" s="375"/>
      <c r="H708" s="397"/>
      <c r="I708" s="377"/>
      <c r="J708" s="378"/>
      <c r="K708" s="379"/>
      <c r="L708" s="387"/>
      <c r="M708" s="380" t="str">
        <f t="array" ref="M708">IF(L708="","",(MAX(IF(AN$15:AN$144=B708,AO$15:AO$144))/60))</f>
        <v/>
      </c>
      <c r="N708" s="387"/>
      <c r="O708" s="387"/>
      <c r="P708" s="381" t="str">
        <f t="shared" si="41"/>
        <v/>
      </c>
      <c r="Q708" s="382" t="str">
        <f t="array" ref="Q708">IFERROR(INDEX($D$13:$D$1000,MATCH(0,COUNTIF($Q$13:Q707,$D$13:$D$1000&amp;"")+IF($D$13:$D$1000="",1,0),0)),"")</f>
        <v/>
      </c>
      <c r="R708" s="356" t="str">
        <f t="shared" si="42"/>
        <v/>
      </c>
      <c r="S708" s="383" t="str">
        <f t="shared" si="44"/>
        <v/>
      </c>
      <c r="T708" s="384" t="str">
        <f t="shared" si="43"/>
        <v/>
      </c>
      <c r="U708" s="349"/>
      <c r="V708" s="385"/>
      <c r="W708" s="385"/>
      <c r="X708" s="386"/>
    </row>
    <row r="709" spans="2:24">
      <c r="B709" s="395"/>
      <c r="C709" s="371"/>
      <c r="D709" s="372" t="str">
        <f>IFERROR(INDEX('[12]Equipment List'!$B$2:$B$2038,MATCH(E709,'[12]Equipment List'!$A$2:$A$2038,0)),"")</f>
        <v/>
      </c>
      <c r="E709" s="388"/>
      <c r="F709" s="374"/>
      <c r="G709" s="375"/>
      <c r="H709" s="397"/>
      <c r="I709" s="377"/>
      <c r="J709" s="378"/>
      <c r="K709" s="379"/>
      <c r="L709" s="387"/>
      <c r="M709" s="380" t="str">
        <f t="array" ref="M709">IF(L709="","",(MAX(IF(AN$15:AN$144=B709,AO$15:AO$144))/60))</f>
        <v/>
      </c>
      <c r="N709" s="387"/>
      <c r="O709" s="387"/>
      <c r="P709" s="381" t="str">
        <f t="shared" si="41"/>
        <v/>
      </c>
      <c r="Q709" s="382" t="str">
        <f t="array" ref="Q709">IFERROR(INDEX($D$13:$D$1000,MATCH(0,COUNTIF($Q$13:Q708,$D$13:$D$1000&amp;"")+IF($D$13:$D$1000="",1,0),0)),"")</f>
        <v/>
      </c>
      <c r="R709" s="356" t="str">
        <f t="shared" si="42"/>
        <v/>
      </c>
      <c r="S709" s="383" t="str">
        <f t="shared" si="44"/>
        <v/>
      </c>
      <c r="T709" s="384" t="str">
        <f t="shared" si="43"/>
        <v/>
      </c>
      <c r="U709" s="349"/>
      <c r="V709" s="385"/>
      <c r="W709" s="385"/>
      <c r="X709" s="386"/>
    </row>
    <row r="710" spans="2:24">
      <c r="B710" s="395"/>
      <c r="C710" s="371"/>
      <c r="D710" s="372" t="str">
        <f>IFERROR(INDEX('[12]Equipment List'!$B$2:$B$2038,MATCH(E710,'[12]Equipment List'!$A$2:$A$2038,0)),"")</f>
        <v/>
      </c>
      <c r="E710" s="388"/>
      <c r="F710" s="374"/>
      <c r="G710" s="375"/>
      <c r="H710" s="397"/>
      <c r="I710" s="377"/>
      <c r="J710" s="378"/>
      <c r="K710" s="379"/>
      <c r="L710" s="387"/>
      <c r="M710" s="380" t="str">
        <f t="array" ref="M710">IF(L710="","",(MAX(IF(AN$15:AN$144=B710,AO$15:AO$144))/60))</f>
        <v/>
      </c>
      <c r="N710" s="387"/>
      <c r="O710" s="387"/>
      <c r="P710" s="381" t="str">
        <f t="shared" si="41"/>
        <v/>
      </c>
      <c r="Q710" s="382" t="str">
        <f t="array" ref="Q710">IFERROR(INDEX($D$13:$D$1000,MATCH(0,COUNTIF($Q$13:Q709,$D$13:$D$1000&amp;"")+IF($D$13:$D$1000="",1,0),0)),"")</f>
        <v/>
      </c>
      <c r="R710" s="356" t="str">
        <f t="shared" si="42"/>
        <v/>
      </c>
      <c r="S710" s="383" t="str">
        <f t="shared" si="44"/>
        <v/>
      </c>
      <c r="T710" s="384" t="str">
        <f t="shared" si="43"/>
        <v/>
      </c>
      <c r="U710" s="349"/>
      <c r="V710" s="385"/>
      <c r="W710" s="385"/>
      <c r="X710" s="386"/>
    </row>
    <row r="711" spans="2:24">
      <c r="B711" s="395"/>
      <c r="C711" s="371"/>
      <c r="D711" s="372" t="str">
        <f>IFERROR(INDEX('[12]Equipment List'!$B$2:$B$2038,MATCH(E711,'[12]Equipment List'!$A$2:$A$2038,0)),"")</f>
        <v/>
      </c>
      <c r="E711" s="388"/>
      <c r="F711" s="374"/>
      <c r="G711" s="375"/>
      <c r="H711" s="397"/>
      <c r="I711" s="377"/>
      <c r="J711" s="378"/>
      <c r="K711" s="379"/>
      <c r="L711" s="387"/>
      <c r="M711" s="380" t="str">
        <f t="array" ref="M711">IF(L711="","",(MAX(IF(AN$15:AN$144=B711,AO$15:AO$144))/60))</f>
        <v/>
      </c>
      <c r="N711" s="387"/>
      <c r="O711" s="387"/>
      <c r="P711" s="381" t="str">
        <f t="shared" si="41"/>
        <v/>
      </c>
      <c r="Q711" s="382" t="str">
        <f t="array" ref="Q711">IFERROR(INDEX($D$13:$D$1000,MATCH(0,COUNTIF($Q$13:Q710,$D$13:$D$1000&amp;"")+IF($D$13:$D$1000="",1,0),0)),"")</f>
        <v/>
      </c>
      <c r="R711" s="356" t="str">
        <f t="shared" si="42"/>
        <v/>
      </c>
      <c r="S711" s="383" t="str">
        <f t="shared" si="44"/>
        <v/>
      </c>
      <c r="T711" s="384" t="str">
        <f t="shared" si="43"/>
        <v/>
      </c>
      <c r="U711" s="349"/>
      <c r="V711" s="385"/>
      <c r="W711" s="385"/>
      <c r="X711" s="386"/>
    </row>
    <row r="712" spans="2:24">
      <c r="B712" s="395"/>
      <c r="C712" s="371"/>
      <c r="D712" s="372" t="str">
        <f>IFERROR(INDEX('[12]Equipment List'!$B$2:$B$2038,MATCH(E712,'[12]Equipment List'!$A$2:$A$2038,0)),"")</f>
        <v/>
      </c>
      <c r="E712" s="388"/>
      <c r="F712" s="374"/>
      <c r="G712" s="375"/>
      <c r="H712" s="397"/>
      <c r="I712" s="377"/>
      <c r="J712" s="378"/>
      <c r="K712" s="379"/>
      <c r="L712" s="387"/>
      <c r="M712" s="380" t="str">
        <f t="array" ref="M712">IF(L712="","",(MAX(IF(AN$15:AN$144=B712,AO$15:AO$144))/60))</f>
        <v/>
      </c>
      <c r="N712" s="387"/>
      <c r="O712" s="387"/>
      <c r="P712" s="381" t="str">
        <f t="shared" si="41"/>
        <v/>
      </c>
      <c r="Q712" s="382" t="str">
        <f t="array" ref="Q712">IFERROR(INDEX($D$13:$D$1000,MATCH(0,COUNTIF($Q$13:Q711,$D$13:$D$1000&amp;"")+IF($D$13:$D$1000="",1,0),0)),"")</f>
        <v/>
      </c>
      <c r="R712" s="356" t="str">
        <f t="shared" si="42"/>
        <v/>
      </c>
      <c r="S712" s="383" t="str">
        <f t="shared" si="44"/>
        <v/>
      </c>
      <c r="T712" s="384" t="str">
        <f t="shared" si="43"/>
        <v/>
      </c>
      <c r="U712" s="349"/>
      <c r="V712" s="385"/>
      <c r="W712" s="385"/>
      <c r="X712" s="386"/>
    </row>
    <row r="713" spans="2:24">
      <c r="B713" s="395"/>
      <c r="C713" s="371"/>
      <c r="D713" s="372" t="str">
        <f>IFERROR(INDEX('[12]Equipment List'!$B$2:$B$2038,MATCH(E713,'[12]Equipment List'!$A$2:$A$2038,0)),"")</f>
        <v/>
      </c>
      <c r="E713" s="388"/>
      <c r="F713" s="374"/>
      <c r="G713" s="375"/>
      <c r="H713" s="397"/>
      <c r="I713" s="377"/>
      <c r="J713" s="378"/>
      <c r="K713" s="379"/>
      <c r="L713" s="387"/>
      <c r="M713" s="380" t="str">
        <f t="array" ref="M713">IF(L713="","",(MAX(IF(AN$15:AN$144=B713,AO$15:AO$144))/60))</f>
        <v/>
      </c>
      <c r="N713" s="387"/>
      <c r="O713" s="387"/>
      <c r="P713" s="381" t="str">
        <f t="shared" si="41"/>
        <v/>
      </c>
      <c r="Q713" s="382" t="str">
        <f t="array" ref="Q713">IFERROR(INDEX($D$13:$D$1000,MATCH(0,COUNTIF($Q$13:Q712,$D$13:$D$1000&amp;"")+IF($D$13:$D$1000="",1,0),0)),"")</f>
        <v/>
      </c>
      <c r="R713" s="356" t="str">
        <f t="shared" si="42"/>
        <v/>
      </c>
      <c r="S713" s="383" t="str">
        <f t="shared" si="44"/>
        <v/>
      </c>
      <c r="T713" s="384" t="str">
        <f t="shared" si="43"/>
        <v/>
      </c>
      <c r="V713" s="385"/>
      <c r="W713" s="385"/>
      <c r="X713" s="386"/>
    </row>
    <row r="714" spans="2:24">
      <c r="B714" s="395"/>
      <c r="C714" s="371"/>
      <c r="D714" s="372" t="str">
        <f>IFERROR(INDEX('[12]Equipment List'!$B$2:$B$2038,MATCH(E714,'[12]Equipment List'!$A$2:$A$2038,0)),"")</f>
        <v/>
      </c>
      <c r="E714" s="388"/>
      <c r="F714" s="374"/>
      <c r="G714" s="375"/>
      <c r="H714" s="397"/>
      <c r="I714" s="377"/>
      <c r="J714" s="378"/>
      <c r="K714" s="379"/>
      <c r="L714" s="387"/>
      <c r="M714" s="380" t="str">
        <f t="array" ref="M714">IF(L714="","",(MAX(IF(AN$15:AN$144=B714,AO$15:AO$144))/60))</f>
        <v/>
      </c>
      <c r="N714" s="387"/>
      <c r="O714" s="387"/>
      <c r="P714" s="381" t="str">
        <f t="shared" si="41"/>
        <v/>
      </c>
      <c r="Q714" s="382" t="str">
        <f t="array" ref="Q714">IFERROR(INDEX($D$13:$D$1000,MATCH(0,COUNTIF($Q$13:Q713,$D$13:$D$1000&amp;"")+IF($D$13:$D$1000="",1,0),0)),"")</f>
        <v/>
      </c>
      <c r="R714" s="356" t="str">
        <f t="shared" si="42"/>
        <v/>
      </c>
      <c r="S714" s="383" t="str">
        <f t="shared" si="44"/>
        <v/>
      </c>
      <c r="T714" s="384" t="str">
        <f t="shared" si="43"/>
        <v/>
      </c>
      <c r="V714" s="385"/>
      <c r="W714" s="385"/>
      <c r="X714" s="386"/>
    </row>
    <row r="715" spans="2:24">
      <c r="B715" s="395"/>
      <c r="C715" s="371"/>
      <c r="D715" s="372" t="str">
        <f>IFERROR(INDEX('[12]Equipment List'!$B$2:$B$2038,MATCH(E715,'[12]Equipment List'!$A$2:$A$2038,0)),"")</f>
        <v/>
      </c>
      <c r="E715" s="388"/>
      <c r="F715" s="374"/>
      <c r="G715" s="375"/>
      <c r="H715" s="397"/>
      <c r="I715" s="377"/>
      <c r="J715" s="378"/>
      <c r="K715" s="379"/>
      <c r="L715" s="387"/>
      <c r="M715" s="380" t="str">
        <f t="array" ref="M715">IF(L715="","",(MAX(IF(AN$15:AN$144=B715,AO$15:AO$144))/60))</f>
        <v/>
      </c>
      <c r="N715" s="387"/>
      <c r="O715" s="387"/>
      <c r="P715" s="381" t="str">
        <f t="shared" si="41"/>
        <v/>
      </c>
      <c r="Q715" s="382" t="str">
        <f t="array" ref="Q715">IFERROR(INDEX($D$13:$D$1000,MATCH(0,COUNTIF($Q$13:Q714,$D$13:$D$1000&amp;"")+IF($D$13:$D$1000="",1,0),0)),"")</f>
        <v/>
      </c>
      <c r="R715" s="356" t="str">
        <f t="shared" si="42"/>
        <v/>
      </c>
      <c r="S715" s="383" t="str">
        <f t="shared" si="44"/>
        <v/>
      </c>
      <c r="T715" s="384" t="str">
        <f t="shared" si="43"/>
        <v/>
      </c>
      <c r="V715" s="385"/>
      <c r="W715" s="385"/>
      <c r="X715" s="386"/>
    </row>
    <row r="716" spans="2:24">
      <c r="B716" s="395"/>
      <c r="C716" s="371"/>
      <c r="D716" s="372" t="str">
        <f>IFERROR(INDEX('[12]Equipment List'!$B$2:$B$2038,MATCH(E716,'[12]Equipment List'!$A$2:$A$2038,0)),"")</f>
        <v/>
      </c>
      <c r="E716" s="388"/>
      <c r="F716" s="374"/>
      <c r="G716" s="375"/>
      <c r="H716" s="397"/>
      <c r="I716" s="377"/>
      <c r="J716" s="378"/>
      <c r="K716" s="379"/>
      <c r="L716" s="387"/>
      <c r="M716" s="380" t="str">
        <f t="array" ref="M716">IF(L716="","",(MAX(IF(AN$15:AN$144=B716,AO$15:AO$144))/60))</f>
        <v/>
      </c>
      <c r="N716" s="387"/>
      <c r="O716" s="387"/>
      <c r="P716" s="381" t="str">
        <f t="shared" ref="P716:P779" si="45">IFERROR((((K716/5/250/$F$8)+(N716*$F$9))/$S$4)*(M716/60),"")</f>
        <v/>
      </c>
      <c r="Q716" s="382" t="str">
        <f t="array" ref="Q716">IFERROR(INDEX($D$13:$D$1000,MATCH(0,COUNTIF($Q$13:Q715,$D$13:$D$1000&amp;"")+IF($D$13:$D$1000="",1,0),0)),"")</f>
        <v/>
      </c>
      <c r="R716" s="356" t="str">
        <f t="shared" si="42"/>
        <v/>
      </c>
      <c r="S716" s="383" t="str">
        <f t="shared" si="44"/>
        <v/>
      </c>
      <c r="T716" s="384" t="str">
        <f t="shared" si="43"/>
        <v/>
      </c>
      <c r="V716" s="385"/>
      <c r="W716" s="385"/>
      <c r="X716" s="386"/>
    </row>
    <row r="717" spans="2:24">
      <c r="B717" s="395"/>
      <c r="C717" s="371"/>
      <c r="D717" s="372" t="str">
        <f>IFERROR(INDEX('[12]Equipment List'!$B$2:$B$2038,MATCH(E717,'[12]Equipment List'!$A$2:$A$2038,0)),"")</f>
        <v/>
      </c>
      <c r="E717" s="388"/>
      <c r="F717" s="374"/>
      <c r="G717" s="375"/>
      <c r="H717" s="397"/>
      <c r="I717" s="377"/>
      <c r="J717" s="378"/>
      <c r="K717" s="379"/>
      <c r="L717" s="387"/>
      <c r="M717" s="380" t="str">
        <f t="array" ref="M717">IF(L717="","",(MAX(IF(AN$15:AN$144=B717,AO$15:AO$144))/60))</f>
        <v/>
      </c>
      <c r="N717" s="387"/>
      <c r="O717" s="387"/>
      <c r="P717" s="381" t="str">
        <f t="shared" si="45"/>
        <v/>
      </c>
      <c r="Q717" s="382" t="str">
        <f t="array" ref="Q717">IFERROR(INDEX($D$13:$D$1000,MATCH(0,COUNTIF($Q$13:Q716,$D$13:$D$1000&amp;"")+IF($D$13:$D$1000="",1,0),0)),"")</f>
        <v/>
      </c>
      <c r="R717" s="356" t="str">
        <f t="shared" ref="R717:R780" si="46">IF(Q717="","",COUNTIF($D$13:$D$1000,$Q717))</f>
        <v/>
      </c>
      <c r="S717" s="383" t="str">
        <f t="shared" si="44"/>
        <v/>
      </c>
      <c r="T717" s="384" t="str">
        <f t="shared" ref="T717:T780" si="47">IF($Q717="","",SUMIF($D$13:$D$1000,$Q717,N$13:N$1000))</f>
        <v/>
      </c>
      <c r="V717" s="385"/>
      <c r="W717" s="385"/>
      <c r="X717" s="386"/>
    </row>
    <row r="718" spans="2:24">
      <c r="B718" s="395"/>
      <c r="C718" s="371"/>
      <c r="D718" s="372" t="str">
        <f>IFERROR(INDEX('[12]Equipment List'!$B$2:$B$2038,MATCH(E718,'[12]Equipment List'!$A$2:$A$2038,0)),"")</f>
        <v/>
      </c>
      <c r="E718" s="388"/>
      <c r="F718" s="374"/>
      <c r="G718" s="375"/>
      <c r="H718" s="397"/>
      <c r="I718" s="377"/>
      <c r="J718" s="378"/>
      <c r="K718" s="379"/>
      <c r="L718" s="387"/>
      <c r="M718" s="380" t="str">
        <f t="array" ref="M718">IF(L718="","",(MAX(IF(AN$15:AN$144=B718,AO$15:AO$144))/60))</f>
        <v/>
      </c>
      <c r="N718" s="387"/>
      <c r="O718" s="387"/>
      <c r="P718" s="381" t="str">
        <f t="shared" si="45"/>
        <v/>
      </c>
      <c r="Q718" s="382" t="str">
        <f t="array" ref="Q718">IFERROR(INDEX($D$13:$D$1000,MATCH(0,COUNTIF($Q$13:Q717,$D$13:$D$1000&amp;"")+IF($D$13:$D$1000="",1,0),0)),"")</f>
        <v/>
      </c>
      <c r="R718" s="356" t="str">
        <f t="shared" si="46"/>
        <v/>
      </c>
      <c r="S718" s="383" t="str">
        <f t="shared" si="44"/>
        <v/>
      </c>
      <c r="T718" s="384" t="str">
        <f t="shared" si="47"/>
        <v/>
      </c>
      <c r="V718" s="385"/>
      <c r="W718" s="385"/>
      <c r="X718" s="386"/>
    </row>
    <row r="719" spans="2:24">
      <c r="B719" s="395"/>
      <c r="C719" s="371"/>
      <c r="D719" s="372" t="str">
        <f>IFERROR(INDEX('[12]Equipment List'!$B$2:$B$2038,MATCH(E719,'[12]Equipment List'!$A$2:$A$2038,0)),"")</f>
        <v/>
      </c>
      <c r="E719" s="388"/>
      <c r="F719" s="374"/>
      <c r="G719" s="375"/>
      <c r="H719" s="397"/>
      <c r="I719" s="377"/>
      <c r="J719" s="378"/>
      <c r="K719" s="379"/>
      <c r="L719" s="387"/>
      <c r="M719" s="380" t="str">
        <f t="array" ref="M719">IF(L719="","",(MAX(IF(AN$15:AN$144=B719,AO$15:AO$144))/60))</f>
        <v/>
      </c>
      <c r="N719" s="387"/>
      <c r="O719" s="387"/>
      <c r="P719" s="381" t="str">
        <f t="shared" si="45"/>
        <v/>
      </c>
      <c r="Q719" s="382" t="str">
        <f t="array" ref="Q719">IFERROR(INDEX($D$13:$D$1000,MATCH(0,COUNTIF($Q$13:Q718,$D$13:$D$1000&amp;"")+IF($D$13:$D$1000="",1,0),0)),"")</f>
        <v/>
      </c>
      <c r="R719" s="356" t="str">
        <f t="shared" si="46"/>
        <v/>
      </c>
      <c r="S719" s="383" t="str">
        <f t="shared" si="44"/>
        <v/>
      </c>
      <c r="T719" s="384" t="str">
        <f t="shared" si="47"/>
        <v/>
      </c>
      <c r="V719" s="385"/>
      <c r="W719" s="385"/>
      <c r="X719" s="386"/>
    </row>
    <row r="720" spans="2:24">
      <c r="B720" s="395"/>
      <c r="C720" s="371"/>
      <c r="D720" s="372" t="str">
        <f>IFERROR(INDEX('[12]Equipment List'!$B$2:$B$2038,MATCH(E720,'[12]Equipment List'!$A$2:$A$2038,0)),"")</f>
        <v/>
      </c>
      <c r="E720" s="388"/>
      <c r="F720" s="374"/>
      <c r="G720" s="375"/>
      <c r="H720" s="397"/>
      <c r="I720" s="377"/>
      <c r="J720" s="378"/>
      <c r="K720" s="379"/>
      <c r="L720" s="387"/>
      <c r="M720" s="380" t="str">
        <f t="array" ref="M720">IF(L720="","",(MAX(IF(AN$15:AN$144=B720,AO$15:AO$144))/60))</f>
        <v/>
      </c>
      <c r="N720" s="387"/>
      <c r="O720" s="387"/>
      <c r="P720" s="381" t="str">
        <f t="shared" si="45"/>
        <v/>
      </c>
      <c r="Q720" s="382" t="str">
        <f t="array" ref="Q720">IFERROR(INDEX($D$13:$D$1000,MATCH(0,COUNTIF($Q$13:Q719,$D$13:$D$1000&amp;"")+IF($D$13:$D$1000="",1,0),0)),"")</f>
        <v/>
      </c>
      <c r="R720" s="356" t="str">
        <f t="shared" si="46"/>
        <v/>
      </c>
      <c r="S720" s="383" t="str">
        <f t="shared" si="44"/>
        <v/>
      </c>
      <c r="T720" s="384" t="str">
        <f t="shared" si="47"/>
        <v/>
      </c>
      <c r="V720" s="385"/>
      <c r="W720" s="385"/>
      <c r="X720" s="386"/>
    </row>
    <row r="721" spans="2:24">
      <c r="B721" s="395"/>
      <c r="C721" s="371"/>
      <c r="D721" s="372" t="str">
        <f>IFERROR(INDEX('[12]Equipment List'!$B$2:$B$2038,MATCH(E721,'[12]Equipment List'!$A$2:$A$2038,0)),"")</f>
        <v/>
      </c>
      <c r="E721" s="388"/>
      <c r="F721" s="374"/>
      <c r="G721" s="375"/>
      <c r="H721" s="397"/>
      <c r="I721" s="377"/>
      <c r="J721" s="378"/>
      <c r="K721" s="379"/>
      <c r="L721" s="387"/>
      <c r="M721" s="380" t="str">
        <f t="array" ref="M721">IF(L721="","",(MAX(IF(AN$15:AN$144=B721,AO$15:AO$144))/60))</f>
        <v/>
      </c>
      <c r="N721" s="387"/>
      <c r="O721" s="387"/>
      <c r="P721" s="381" t="str">
        <f t="shared" si="45"/>
        <v/>
      </c>
      <c r="Q721" s="382" t="str">
        <f t="array" ref="Q721">IFERROR(INDEX($D$13:$D$1000,MATCH(0,COUNTIF($Q$13:Q720,$D$13:$D$1000&amp;"")+IF($D$13:$D$1000="",1,0),0)),"")</f>
        <v/>
      </c>
      <c r="R721" s="356" t="str">
        <f t="shared" si="46"/>
        <v/>
      </c>
      <c r="S721" s="383" t="str">
        <f t="shared" si="44"/>
        <v/>
      </c>
      <c r="T721" s="384" t="str">
        <f t="shared" si="47"/>
        <v/>
      </c>
      <c r="V721" s="385"/>
      <c r="W721" s="385"/>
      <c r="X721" s="386"/>
    </row>
    <row r="722" spans="2:24">
      <c r="B722" s="395"/>
      <c r="C722" s="371"/>
      <c r="D722" s="372" t="str">
        <f>IFERROR(INDEX('[12]Equipment List'!$B$2:$B$2038,MATCH(E722,'[12]Equipment List'!$A$2:$A$2038,0)),"")</f>
        <v/>
      </c>
      <c r="E722" s="388"/>
      <c r="F722" s="374"/>
      <c r="G722" s="375"/>
      <c r="H722" s="397"/>
      <c r="I722" s="377"/>
      <c r="J722" s="378"/>
      <c r="K722" s="379"/>
      <c r="L722" s="387"/>
      <c r="M722" s="380" t="str">
        <f t="array" ref="M722">IF(L722="","",(MAX(IF(AN$15:AN$144=B722,AO$15:AO$144))/60))</f>
        <v/>
      </c>
      <c r="N722" s="387"/>
      <c r="O722" s="387"/>
      <c r="P722" s="381" t="str">
        <f t="shared" si="45"/>
        <v/>
      </c>
      <c r="Q722" s="382" t="str">
        <f t="array" ref="Q722">IFERROR(INDEX($D$13:$D$1000,MATCH(0,COUNTIF($Q$13:Q721,$D$13:$D$1000&amp;"")+IF($D$13:$D$1000="",1,0),0)),"")</f>
        <v/>
      </c>
      <c r="R722" s="356" t="str">
        <f t="shared" si="46"/>
        <v/>
      </c>
      <c r="S722" s="383" t="str">
        <f t="shared" si="44"/>
        <v/>
      </c>
      <c r="T722" s="384" t="str">
        <f t="shared" si="47"/>
        <v/>
      </c>
      <c r="V722" s="385"/>
      <c r="W722" s="385"/>
      <c r="X722" s="386"/>
    </row>
    <row r="723" spans="2:24">
      <c r="B723" s="395"/>
      <c r="C723" s="371"/>
      <c r="D723" s="372" t="str">
        <f>IFERROR(INDEX('[12]Equipment List'!$B$2:$B$2038,MATCH(E723,'[12]Equipment List'!$A$2:$A$2038,0)),"")</f>
        <v/>
      </c>
      <c r="E723" s="388"/>
      <c r="F723" s="374"/>
      <c r="G723" s="375"/>
      <c r="H723" s="397"/>
      <c r="I723" s="377"/>
      <c r="J723" s="378"/>
      <c r="K723" s="379"/>
      <c r="L723" s="387"/>
      <c r="M723" s="380" t="str">
        <f t="array" ref="M723">IF(L723="","",(MAX(IF(AN$15:AN$144=B723,AO$15:AO$144))/60))</f>
        <v/>
      </c>
      <c r="N723" s="387"/>
      <c r="O723" s="387"/>
      <c r="P723" s="381" t="str">
        <f t="shared" si="45"/>
        <v/>
      </c>
      <c r="Q723" s="382" t="str">
        <f t="array" ref="Q723">IFERROR(INDEX($D$13:$D$1000,MATCH(0,COUNTIF($Q$13:Q722,$D$13:$D$1000&amp;"")+IF($D$13:$D$1000="",1,0),0)),"")</f>
        <v/>
      </c>
      <c r="R723" s="356" t="str">
        <f t="shared" si="46"/>
        <v/>
      </c>
      <c r="S723" s="383" t="str">
        <f t="shared" si="44"/>
        <v/>
      </c>
      <c r="T723" s="384" t="str">
        <f t="shared" si="47"/>
        <v/>
      </c>
      <c r="V723" s="385"/>
      <c r="W723" s="385"/>
      <c r="X723" s="386"/>
    </row>
    <row r="724" spans="2:24">
      <c r="B724" s="395"/>
      <c r="C724" s="371"/>
      <c r="D724" s="372" t="str">
        <f>IFERROR(INDEX('[12]Equipment List'!$B$2:$B$2038,MATCH(E724,'[12]Equipment List'!$A$2:$A$2038,0)),"")</f>
        <v/>
      </c>
      <c r="E724" s="388"/>
      <c r="F724" s="374"/>
      <c r="G724" s="375"/>
      <c r="H724" s="397"/>
      <c r="I724" s="377"/>
      <c r="J724" s="378"/>
      <c r="K724" s="379"/>
      <c r="L724" s="387"/>
      <c r="M724" s="380" t="str">
        <f t="array" ref="M724">IF(L724="","",(MAX(IF(AN$15:AN$144=B724,AO$15:AO$144))/60))</f>
        <v/>
      </c>
      <c r="N724" s="387"/>
      <c r="O724" s="387"/>
      <c r="P724" s="381" t="str">
        <f t="shared" si="45"/>
        <v/>
      </c>
      <c r="Q724" s="382" t="str">
        <f t="array" ref="Q724">IFERROR(INDEX($D$13:$D$1000,MATCH(0,COUNTIF($Q$13:Q723,$D$13:$D$1000&amp;"")+IF($D$13:$D$1000="",1,0),0)),"")</f>
        <v/>
      </c>
      <c r="R724" s="356" t="str">
        <f t="shared" si="46"/>
        <v/>
      </c>
      <c r="S724" s="383" t="str">
        <f t="shared" si="44"/>
        <v/>
      </c>
      <c r="T724" s="384" t="str">
        <f t="shared" si="47"/>
        <v/>
      </c>
      <c r="V724" s="385"/>
      <c r="W724" s="385"/>
      <c r="X724" s="386"/>
    </row>
    <row r="725" spans="2:24">
      <c r="B725" s="395"/>
      <c r="C725" s="371"/>
      <c r="D725" s="372" t="str">
        <f>IFERROR(INDEX('[12]Equipment List'!$B$2:$B$2038,MATCH(E725,'[12]Equipment List'!$A$2:$A$2038,0)),"")</f>
        <v/>
      </c>
      <c r="E725" s="388"/>
      <c r="F725" s="374"/>
      <c r="G725" s="375"/>
      <c r="H725" s="397"/>
      <c r="I725" s="377"/>
      <c r="J725" s="378"/>
      <c r="K725" s="379"/>
      <c r="L725" s="387"/>
      <c r="M725" s="380" t="str">
        <f t="array" ref="M725">IF(L725="","",(MAX(IF(AN$15:AN$144=B725,AO$15:AO$144))/60))</f>
        <v/>
      </c>
      <c r="N725" s="387"/>
      <c r="O725" s="387"/>
      <c r="P725" s="381" t="str">
        <f t="shared" si="45"/>
        <v/>
      </c>
      <c r="Q725" s="382" t="str">
        <f t="array" ref="Q725">IFERROR(INDEX($D$13:$D$1000,MATCH(0,COUNTIF($Q$13:Q724,$D$13:$D$1000&amp;"")+IF($D$13:$D$1000="",1,0),0)),"")</f>
        <v/>
      </c>
      <c r="R725" s="356" t="str">
        <f t="shared" si="46"/>
        <v/>
      </c>
      <c r="S725" s="383" t="str">
        <f t="shared" si="44"/>
        <v/>
      </c>
      <c r="T725" s="384" t="str">
        <f t="shared" si="47"/>
        <v/>
      </c>
      <c r="V725" s="385"/>
      <c r="W725" s="385"/>
      <c r="X725" s="386"/>
    </row>
    <row r="726" spans="2:24">
      <c r="B726" s="395"/>
      <c r="C726" s="371"/>
      <c r="D726" s="372" t="str">
        <f>IFERROR(INDEX('[12]Equipment List'!$B$2:$B$2038,MATCH(E726,'[12]Equipment List'!$A$2:$A$2038,0)),"")</f>
        <v/>
      </c>
      <c r="E726" s="388"/>
      <c r="F726" s="374"/>
      <c r="G726" s="375"/>
      <c r="H726" s="397"/>
      <c r="I726" s="377"/>
      <c r="J726" s="378"/>
      <c r="K726" s="379"/>
      <c r="L726" s="387"/>
      <c r="M726" s="380" t="str">
        <f t="array" ref="M726">IF(L726="","",(MAX(IF(AN$15:AN$144=B726,AO$15:AO$144))/60))</f>
        <v/>
      </c>
      <c r="N726" s="387"/>
      <c r="O726" s="387"/>
      <c r="P726" s="381" t="str">
        <f t="shared" si="45"/>
        <v/>
      </c>
      <c r="Q726" s="382" t="str">
        <f t="array" ref="Q726">IFERROR(INDEX($D$13:$D$1000,MATCH(0,COUNTIF($Q$13:Q725,$D$13:$D$1000&amp;"")+IF($D$13:$D$1000="",1,0),0)),"")</f>
        <v/>
      </c>
      <c r="R726" s="356" t="str">
        <f t="shared" si="46"/>
        <v/>
      </c>
      <c r="S726" s="383" t="str">
        <f t="shared" si="44"/>
        <v/>
      </c>
      <c r="T726" s="384" t="str">
        <f t="shared" si="47"/>
        <v/>
      </c>
      <c r="V726" s="385"/>
      <c r="W726" s="385"/>
      <c r="X726" s="386"/>
    </row>
    <row r="727" spans="2:24">
      <c r="B727" s="395"/>
      <c r="C727" s="371"/>
      <c r="D727" s="372" t="str">
        <f>IFERROR(INDEX('[12]Equipment List'!$B$2:$B$2038,MATCH(E727,'[12]Equipment List'!$A$2:$A$2038,0)),"")</f>
        <v/>
      </c>
      <c r="E727" s="388"/>
      <c r="F727" s="374"/>
      <c r="G727" s="375"/>
      <c r="H727" s="397"/>
      <c r="I727" s="377"/>
      <c r="J727" s="378"/>
      <c r="K727" s="379"/>
      <c r="L727" s="387"/>
      <c r="M727" s="380" t="str">
        <f t="array" ref="M727">IF(L727="","",(MAX(IF(AN$15:AN$144=B727,AO$15:AO$144))/60))</f>
        <v/>
      </c>
      <c r="N727" s="387"/>
      <c r="O727" s="387"/>
      <c r="P727" s="381" t="str">
        <f t="shared" si="45"/>
        <v/>
      </c>
      <c r="Q727" s="382" t="str">
        <f t="array" ref="Q727">IFERROR(INDEX($D$13:$D$1000,MATCH(0,COUNTIF($Q$13:Q726,$D$13:$D$1000&amp;"")+IF($D$13:$D$1000="",1,0),0)),"")</f>
        <v/>
      </c>
      <c r="R727" s="356" t="str">
        <f t="shared" si="46"/>
        <v/>
      </c>
      <c r="S727" s="383" t="str">
        <f t="shared" si="44"/>
        <v/>
      </c>
      <c r="T727" s="384" t="str">
        <f t="shared" si="47"/>
        <v/>
      </c>
      <c r="V727" s="385"/>
      <c r="W727" s="385"/>
      <c r="X727" s="386"/>
    </row>
    <row r="728" spans="2:24">
      <c r="B728" s="395"/>
      <c r="C728" s="371"/>
      <c r="D728" s="372" t="str">
        <f>IFERROR(INDEX('[12]Equipment List'!$B$2:$B$2038,MATCH(E728,'[12]Equipment List'!$A$2:$A$2038,0)),"")</f>
        <v/>
      </c>
      <c r="E728" s="388"/>
      <c r="F728" s="374"/>
      <c r="G728" s="375"/>
      <c r="H728" s="397"/>
      <c r="I728" s="377"/>
      <c r="J728" s="378"/>
      <c r="K728" s="379"/>
      <c r="L728" s="387"/>
      <c r="M728" s="380" t="str">
        <f t="array" ref="M728">IF(L728="","",(MAX(IF(AN$15:AN$144=B728,AO$15:AO$144))/60))</f>
        <v/>
      </c>
      <c r="N728" s="387"/>
      <c r="O728" s="387"/>
      <c r="P728" s="381" t="str">
        <f t="shared" si="45"/>
        <v/>
      </c>
      <c r="Q728" s="382" t="str">
        <f t="array" ref="Q728">IFERROR(INDEX($D$13:$D$1000,MATCH(0,COUNTIF($Q$13:Q727,$D$13:$D$1000&amp;"")+IF($D$13:$D$1000="",1,0),0)),"")</f>
        <v/>
      </c>
      <c r="R728" s="356" t="str">
        <f t="shared" si="46"/>
        <v/>
      </c>
      <c r="S728" s="383" t="str">
        <f t="shared" si="44"/>
        <v/>
      </c>
      <c r="T728" s="384" t="str">
        <f t="shared" si="47"/>
        <v/>
      </c>
      <c r="V728" s="385"/>
      <c r="W728" s="385"/>
      <c r="X728" s="386"/>
    </row>
    <row r="729" spans="2:24">
      <c r="B729" s="395"/>
      <c r="C729" s="371"/>
      <c r="D729" s="372" t="str">
        <f>IFERROR(INDEX('[12]Equipment List'!$B$2:$B$2038,MATCH(E729,'[12]Equipment List'!$A$2:$A$2038,0)),"")</f>
        <v/>
      </c>
      <c r="E729" s="388"/>
      <c r="F729" s="374"/>
      <c r="G729" s="375"/>
      <c r="H729" s="397"/>
      <c r="I729" s="377"/>
      <c r="J729" s="378"/>
      <c r="K729" s="379"/>
      <c r="L729" s="387"/>
      <c r="M729" s="380" t="str">
        <f t="array" ref="M729">IF(L729="","",(MAX(IF(AN$15:AN$144=B729,AO$15:AO$144))/60))</f>
        <v/>
      </c>
      <c r="N729" s="387"/>
      <c r="O729" s="387"/>
      <c r="P729" s="381" t="str">
        <f t="shared" si="45"/>
        <v/>
      </c>
      <c r="Q729" s="382" t="str">
        <f t="array" ref="Q729">IFERROR(INDEX($D$13:$D$1000,MATCH(0,COUNTIF($Q$13:Q728,$D$13:$D$1000&amp;"")+IF($D$13:$D$1000="",1,0),0)),"")</f>
        <v/>
      </c>
      <c r="R729" s="356" t="str">
        <f t="shared" si="46"/>
        <v/>
      </c>
      <c r="S729" s="383" t="str">
        <f t="shared" si="44"/>
        <v/>
      </c>
      <c r="T729" s="384" t="str">
        <f t="shared" si="47"/>
        <v/>
      </c>
      <c r="V729" s="385"/>
      <c r="W729" s="385"/>
      <c r="X729" s="386"/>
    </row>
    <row r="730" spans="2:24">
      <c r="B730" s="395"/>
      <c r="C730" s="371"/>
      <c r="D730" s="372" t="str">
        <f>IFERROR(INDEX('[12]Equipment List'!$B$2:$B$2038,MATCH(E730,'[12]Equipment List'!$A$2:$A$2038,0)),"")</f>
        <v/>
      </c>
      <c r="E730" s="388"/>
      <c r="F730" s="374"/>
      <c r="G730" s="375"/>
      <c r="H730" s="397"/>
      <c r="I730" s="377"/>
      <c r="J730" s="378"/>
      <c r="K730" s="379"/>
      <c r="L730" s="387"/>
      <c r="M730" s="380" t="str">
        <f t="array" ref="M730">IF(L730="","",(MAX(IF(AN$15:AN$144=B730,AO$15:AO$144))/60))</f>
        <v/>
      </c>
      <c r="N730" s="387"/>
      <c r="O730" s="387"/>
      <c r="P730" s="381" t="str">
        <f t="shared" si="45"/>
        <v/>
      </c>
      <c r="Q730" s="382" t="str">
        <f t="array" ref="Q730">IFERROR(INDEX($D$13:$D$1000,MATCH(0,COUNTIF($Q$13:Q729,$D$13:$D$1000&amp;"")+IF($D$13:$D$1000="",1,0),0)),"")</f>
        <v/>
      </c>
      <c r="R730" s="356" t="str">
        <f t="shared" si="46"/>
        <v/>
      </c>
      <c r="S730" s="383" t="str">
        <f t="shared" si="44"/>
        <v/>
      </c>
      <c r="T730" s="384" t="str">
        <f t="shared" si="47"/>
        <v/>
      </c>
      <c r="V730" s="385"/>
      <c r="W730" s="385"/>
      <c r="X730" s="386"/>
    </row>
    <row r="731" spans="2:24">
      <c r="B731" s="395"/>
      <c r="C731" s="371"/>
      <c r="D731" s="372" t="str">
        <f>IFERROR(INDEX('[12]Equipment List'!$B$2:$B$2038,MATCH(E731,'[12]Equipment List'!$A$2:$A$2038,0)),"")</f>
        <v/>
      </c>
      <c r="E731" s="388"/>
      <c r="F731" s="374"/>
      <c r="G731" s="375"/>
      <c r="H731" s="397"/>
      <c r="I731" s="377"/>
      <c r="J731" s="378"/>
      <c r="K731" s="379"/>
      <c r="L731" s="387"/>
      <c r="M731" s="380" t="str">
        <f t="array" ref="M731">IF(L731="","",(MAX(IF(AN$15:AN$144=B731,AO$15:AO$144))/60))</f>
        <v/>
      </c>
      <c r="N731" s="387"/>
      <c r="O731" s="387"/>
      <c r="P731" s="381" t="str">
        <f t="shared" si="45"/>
        <v/>
      </c>
      <c r="Q731" s="382" t="str">
        <f t="array" ref="Q731">IFERROR(INDEX($D$13:$D$1000,MATCH(0,COUNTIF($Q$13:Q730,$D$13:$D$1000&amp;"")+IF($D$13:$D$1000="",1,0),0)),"")</f>
        <v/>
      </c>
      <c r="R731" s="356" t="str">
        <f t="shared" si="46"/>
        <v/>
      </c>
      <c r="S731" s="383" t="str">
        <f t="shared" si="44"/>
        <v/>
      </c>
      <c r="T731" s="384" t="str">
        <f t="shared" si="47"/>
        <v/>
      </c>
      <c r="V731" s="385"/>
      <c r="W731" s="385"/>
      <c r="X731" s="386"/>
    </row>
    <row r="732" spans="2:24">
      <c r="B732" s="395"/>
      <c r="C732" s="371"/>
      <c r="D732" s="372" t="str">
        <f>IFERROR(INDEX('[12]Equipment List'!$B$2:$B$2038,MATCH(E732,'[12]Equipment List'!$A$2:$A$2038,0)),"")</f>
        <v/>
      </c>
      <c r="E732" s="388"/>
      <c r="F732" s="374"/>
      <c r="G732" s="375"/>
      <c r="H732" s="397"/>
      <c r="I732" s="377"/>
      <c r="J732" s="378"/>
      <c r="K732" s="379"/>
      <c r="L732" s="387"/>
      <c r="M732" s="380" t="str">
        <f t="array" ref="M732">IF(L732="","",(MAX(IF(AN$15:AN$144=B732,AO$15:AO$144))/60))</f>
        <v/>
      </c>
      <c r="N732" s="387"/>
      <c r="O732" s="387"/>
      <c r="P732" s="381" t="str">
        <f t="shared" si="45"/>
        <v/>
      </c>
      <c r="Q732" s="382" t="str">
        <f t="array" ref="Q732">IFERROR(INDEX($D$13:$D$1000,MATCH(0,COUNTIF($Q$13:Q731,$D$13:$D$1000&amp;"")+IF($D$13:$D$1000="",1,0),0)),"")</f>
        <v/>
      </c>
      <c r="R732" s="356" t="str">
        <f t="shared" si="46"/>
        <v/>
      </c>
      <c r="S732" s="383" t="str">
        <f t="shared" si="44"/>
        <v/>
      </c>
      <c r="T732" s="384" t="str">
        <f t="shared" si="47"/>
        <v/>
      </c>
      <c r="V732" s="385"/>
      <c r="W732" s="385"/>
      <c r="X732" s="386"/>
    </row>
    <row r="733" spans="2:24">
      <c r="B733" s="395"/>
      <c r="C733" s="371"/>
      <c r="D733" s="372" t="str">
        <f>IFERROR(INDEX('[12]Equipment List'!$B$2:$B$2038,MATCH(E733,'[12]Equipment List'!$A$2:$A$2038,0)),"")</f>
        <v/>
      </c>
      <c r="E733" s="388"/>
      <c r="F733" s="374"/>
      <c r="G733" s="375"/>
      <c r="H733" s="397"/>
      <c r="I733" s="377"/>
      <c r="J733" s="378"/>
      <c r="K733" s="379"/>
      <c r="L733" s="387"/>
      <c r="M733" s="380" t="str">
        <f t="array" ref="M733">IF(L733="","",(MAX(IF(AN$15:AN$144=B733,AO$15:AO$144))/60))</f>
        <v/>
      </c>
      <c r="N733" s="387"/>
      <c r="O733" s="387"/>
      <c r="P733" s="381" t="str">
        <f t="shared" si="45"/>
        <v/>
      </c>
      <c r="Q733" s="382" t="str">
        <f t="array" ref="Q733">IFERROR(INDEX($D$13:$D$1000,MATCH(0,COUNTIF($Q$13:Q732,$D$13:$D$1000&amp;"")+IF($D$13:$D$1000="",1,0),0)),"")</f>
        <v/>
      </c>
      <c r="R733" s="356" t="str">
        <f t="shared" si="46"/>
        <v/>
      </c>
      <c r="S733" s="383" t="str">
        <f t="shared" si="44"/>
        <v/>
      </c>
      <c r="T733" s="384" t="str">
        <f t="shared" si="47"/>
        <v/>
      </c>
      <c r="V733" s="385"/>
      <c r="W733" s="385"/>
      <c r="X733" s="386"/>
    </row>
    <row r="734" spans="2:24">
      <c r="B734" s="395"/>
      <c r="C734" s="371"/>
      <c r="D734" s="372" t="str">
        <f>IFERROR(INDEX('[12]Equipment List'!$B$2:$B$2038,MATCH(E734,'[12]Equipment List'!$A$2:$A$2038,0)),"")</f>
        <v/>
      </c>
      <c r="E734" s="388"/>
      <c r="F734" s="374"/>
      <c r="G734" s="375"/>
      <c r="H734" s="397"/>
      <c r="I734" s="377"/>
      <c r="J734" s="378"/>
      <c r="K734" s="379"/>
      <c r="L734" s="387"/>
      <c r="M734" s="380" t="str">
        <f t="array" ref="M734">IF(L734="","",(MAX(IF(AN$15:AN$144=B734,AO$15:AO$144))/60))</f>
        <v/>
      </c>
      <c r="N734" s="387"/>
      <c r="O734" s="387"/>
      <c r="P734" s="381" t="str">
        <f t="shared" si="45"/>
        <v/>
      </c>
      <c r="Q734" s="382" t="str">
        <f t="array" ref="Q734">IFERROR(INDEX($D$13:$D$1000,MATCH(0,COUNTIF($Q$13:Q733,$D$13:$D$1000&amp;"")+IF($D$13:$D$1000="",1,0),0)),"")</f>
        <v/>
      </c>
      <c r="R734" s="356" t="str">
        <f t="shared" si="46"/>
        <v/>
      </c>
      <c r="S734" s="383" t="str">
        <f t="shared" si="44"/>
        <v/>
      </c>
      <c r="T734" s="384" t="str">
        <f t="shared" si="47"/>
        <v/>
      </c>
      <c r="V734" s="385"/>
      <c r="W734" s="385"/>
      <c r="X734" s="386"/>
    </row>
    <row r="735" spans="2:24">
      <c r="B735" s="395"/>
      <c r="C735" s="371"/>
      <c r="D735" s="372" t="str">
        <f>IFERROR(INDEX('[12]Equipment List'!$B$2:$B$2038,MATCH(E735,'[12]Equipment List'!$A$2:$A$2038,0)),"")</f>
        <v/>
      </c>
      <c r="E735" s="388"/>
      <c r="F735" s="374"/>
      <c r="G735" s="375"/>
      <c r="H735" s="397"/>
      <c r="I735" s="377"/>
      <c r="J735" s="378"/>
      <c r="K735" s="379"/>
      <c r="L735" s="387"/>
      <c r="M735" s="380" t="str">
        <f t="array" ref="M735">IF(L735="","",(MAX(IF(AN$15:AN$144=B735,AO$15:AO$144))/60))</f>
        <v/>
      </c>
      <c r="N735" s="387"/>
      <c r="O735" s="387"/>
      <c r="P735" s="381" t="str">
        <f t="shared" si="45"/>
        <v/>
      </c>
      <c r="Q735" s="382" t="str">
        <f t="array" ref="Q735">IFERROR(INDEX($D$13:$D$1000,MATCH(0,COUNTIF($Q$13:Q734,$D$13:$D$1000&amp;"")+IF($D$13:$D$1000="",1,0),0)),"")</f>
        <v/>
      </c>
      <c r="R735" s="356" t="str">
        <f t="shared" si="46"/>
        <v/>
      </c>
      <c r="S735" s="383" t="str">
        <f t="shared" si="44"/>
        <v/>
      </c>
      <c r="T735" s="384" t="str">
        <f t="shared" si="47"/>
        <v/>
      </c>
      <c r="V735" s="385"/>
      <c r="W735" s="385"/>
      <c r="X735" s="386"/>
    </row>
    <row r="736" spans="2:24">
      <c r="B736" s="395"/>
      <c r="C736" s="371"/>
      <c r="D736" s="372" t="str">
        <f>IFERROR(INDEX('[12]Equipment List'!$B$2:$B$2038,MATCH(E736,'[12]Equipment List'!$A$2:$A$2038,0)),"")</f>
        <v/>
      </c>
      <c r="E736" s="388"/>
      <c r="F736" s="374"/>
      <c r="G736" s="375"/>
      <c r="H736" s="397"/>
      <c r="I736" s="377"/>
      <c r="J736" s="378"/>
      <c r="K736" s="379"/>
      <c r="L736" s="387"/>
      <c r="M736" s="380" t="str">
        <f t="array" ref="M736">IF(L736="","",(MAX(IF(AN$15:AN$144=B736,AO$15:AO$144))/60))</f>
        <v/>
      </c>
      <c r="N736" s="387"/>
      <c r="O736" s="387"/>
      <c r="P736" s="381" t="str">
        <f t="shared" si="45"/>
        <v/>
      </c>
      <c r="Q736" s="382" t="str">
        <f t="array" ref="Q736">IFERROR(INDEX($D$13:$D$1000,MATCH(0,COUNTIF($Q$13:Q735,$D$13:$D$1000&amp;"")+IF($D$13:$D$1000="",1,0),0)),"")</f>
        <v/>
      </c>
      <c r="R736" s="356" t="str">
        <f t="shared" si="46"/>
        <v/>
      </c>
      <c r="S736" s="383" t="str">
        <f t="shared" si="44"/>
        <v/>
      </c>
      <c r="T736" s="384" t="str">
        <f t="shared" si="47"/>
        <v/>
      </c>
      <c r="V736" s="385"/>
      <c r="W736" s="385"/>
      <c r="X736" s="386"/>
    </row>
    <row r="737" spans="2:24">
      <c r="B737" s="395"/>
      <c r="C737" s="371"/>
      <c r="D737" s="372" t="str">
        <f>IFERROR(INDEX('[12]Equipment List'!$B$2:$B$2038,MATCH(E737,'[12]Equipment List'!$A$2:$A$2038,0)),"")</f>
        <v/>
      </c>
      <c r="E737" s="388"/>
      <c r="F737" s="374"/>
      <c r="G737" s="375"/>
      <c r="H737" s="397"/>
      <c r="I737" s="377"/>
      <c r="J737" s="378"/>
      <c r="K737" s="379"/>
      <c r="L737" s="387"/>
      <c r="M737" s="380" t="str">
        <f t="array" ref="M737">IF(L737="","",(MAX(IF(AN$15:AN$144=B737,AO$15:AO$144))/60))</f>
        <v/>
      </c>
      <c r="N737" s="387"/>
      <c r="O737" s="387"/>
      <c r="P737" s="381" t="str">
        <f t="shared" si="45"/>
        <v/>
      </c>
      <c r="Q737" s="382" t="str">
        <f t="array" ref="Q737">IFERROR(INDEX($D$13:$D$1000,MATCH(0,COUNTIF($Q$13:Q736,$D$13:$D$1000&amp;"")+IF($D$13:$D$1000="",1,0),0)),"")</f>
        <v/>
      </c>
      <c r="R737" s="356" t="str">
        <f t="shared" si="46"/>
        <v/>
      </c>
      <c r="S737" s="383" t="str">
        <f t="shared" si="44"/>
        <v/>
      </c>
      <c r="T737" s="384" t="str">
        <f t="shared" si="47"/>
        <v/>
      </c>
      <c r="V737" s="385"/>
      <c r="W737" s="385"/>
      <c r="X737" s="386"/>
    </row>
    <row r="738" spans="2:24">
      <c r="B738" s="395"/>
      <c r="C738" s="371"/>
      <c r="D738" s="372" t="str">
        <f>IFERROR(INDEX('[12]Equipment List'!$B$2:$B$2038,MATCH(E738,'[12]Equipment List'!$A$2:$A$2038,0)),"")</f>
        <v/>
      </c>
      <c r="E738" s="388"/>
      <c r="F738" s="374"/>
      <c r="G738" s="375"/>
      <c r="H738" s="397"/>
      <c r="I738" s="377"/>
      <c r="J738" s="378"/>
      <c r="K738" s="379"/>
      <c r="L738" s="387"/>
      <c r="M738" s="380" t="str">
        <f t="array" ref="M738">IF(L738="","",(MAX(IF(AN$15:AN$144=B738,AO$15:AO$144))/60))</f>
        <v/>
      </c>
      <c r="N738" s="387"/>
      <c r="O738" s="387"/>
      <c r="P738" s="381" t="str">
        <f t="shared" si="45"/>
        <v/>
      </c>
      <c r="Q738" s="382" t="str">
        <f t="array" ref="Q738">IFERROR(INDEX($D$13:$D$1000,MATCH(0,COUNTIF($Q$13:Q737,$D$13:$D$1000&amp;"")+IF($D$13:$D$1000="",1,0),0)),"")</f>
        <v/>
      </c>
      <c r="R738" s="356" t="str">
        <f t="shared" si="46"/>
        <v/>
      </c>
      <c r="S738" s="383" t="str">
        <f t="shared" si="44"/>
        <v/>
      </c>
      <c r="T738" s="384" t="str">
        <f t="shared" si="47"/>
        <v/>
      </c>
      <c r="V738" s="385"/>
      <c r="W738" s="385"/>
      <c r="X738" s="386"/>
    </row>
    <row r="739" spans="2:24">
      <c r="B739" s="395"/>
      <c r="C739" s="371"/>
      <c r="D739" s="372" t="str">
        <f>IFERROR(INDEX('[12]Equipment List'!$B$2:$B$2038,MATCH(E739,'[12]Equipment List'!$A$2:$A$2038,0)),"")</f>
        <v/>
      </c>
      <c r="E739" s="388"/>
      <c r="F739" s="374"/>
      <c r="G739" s="375"/>
      <c r="H739" s="397"/>
      <c r="I739" s="377"/>
      <c r="J739" s="378"/>
      <c r="K739" s="379"/>
      <c r="L739" s="387"/>
      <c r="M739" s="380" t="str">
        <f t="array" ref="M739">IF(L739="","",(MAX(IF(AN$15:AN$144=B739,AO$15:AO$144))/60))</f>
        <v/>
      </c>
      <c r="N739" s="387"/>
      <c r="O739" s="387"/>
      <c r="P739" s="381" t="str">
        <f t="shared" si="45"/>
        <v/>
      </c>
      <c r="Q739" s="382" t="str">
        <f t="array" ref="Q739">IFERROR(INDEX($D$13:$D$1000,MATCH(0,COUNTIF($Q$13:Q738,$D$13:$D$1000&amp;"")+IF($D$13:$D$1000="",1,0),0)),"")</f>
        <v/>
      </c>
      <c r="R739" s="356" t="str">
        <f t="shared" si="46"/>
        <v/>
      </c>
      <c r="S739" s="383" t="str">
        <f t="shared" si="44"/>
        <v/>
      </c>
      <c r="T739" s="384" t="str">
        <f t="shared" si="47"/>
        <v/>
      </c>
      <c r="V739" s="385"/>
      <c r="W739" s="385"/>
      <c r="X739" s="386"/>
    </row>
    <row r="740" spans="2:24">
      <c r="B740" s="395"/>
      <c r="C740" s="371"/>
      <c r="D740" s="372" t="str">
        <f>IFERROR(INDEX('[12]Equipment List'!$B$2:$B$2038,MATCH(E740,'[12]Equipment List'!$A$2:$A$2038,0)),"")</f>
        <v/>
      </c>
      <c r="E740" s="388"/>
      <c r="F740" s="374"/>
      <c r="G740" s="375"/>
      <c r="H740" s="397"/>
      <c r="I740" s="377"/>
      <c r="J740" s="378"/>
      <c r="K740" s="379"/>
      <c r="L740" s="387"/>
      <c r="M740" s="380" t="str">
        <f t="array" ref="M740">IF(L740="","",(MAX(IF(AN$15:AN$144=B740,AO$15:AO$144))/60))</f>
        <v/>
      </c>
      <c r="N740" s="387"/>
      <c r="O740" s="387"/>
      <c r="P740" s="381" t="str">
        <f t="shared" si="45"/>
        <v/>
      </c>
      <c r="Q740" s="382" t="str">
        <f t="array" ref="Q740">IFERROR(INDEX($D$13:$D$1000,MATCH(0,COUNTIF($Q$13:Q739,$D$13:$D$1000&amp;"")+IF($D$13:$D$1000="",1,0),0)),"")</f>
        <v/>
      </c>
      <c r="R740" s="356" t="str">
        <f t="shared" si="46"/>
        <v/>
      </c>
      <c r="S740" s="383" t="str">
        <f t="shared" si="44"/>
        <v/>
      </c>
      <c r="T740" s="384" t="str">
        <f t="shared" si="47"/>
        <v/>
      </c>
      <c r="V740" s="385"/>
      <c r="W740" s="385"/>
      <c r="X740" s="386"/>
    </row>
    <row r="741" spans="2:24">
      <c r="B741" s="395"/>
      <c r="C741" s="371"/>
      <c r="D741" s="372" t="str">
        <f>IFERROR(INDEX('[12]Equipment List'!$B$2:$B$2038,MATCH(E741,'[12]Equipment List'!$A$2:$A$2038,0)),"")</f>
        <v/>
      </c>
      <c r="E741" s="388"/>
      <c r="F741" s="374"/>
      <c r="G741" s="375"/>
      <c r="H741" s="397"/>
      <c r="I741" s="377"/>
      <c r="J741" s="378"/>
      <c r="K741" s="379"/>
      <c r="L741" s="387"/>
      <c r="M741" s="380" t="str">
        <f t="array" ref="M741">IF(L741="","",(MAX(IF(AN$15:AN$144=B741,AO$15:AO$144))/60))</f>
        <v/>
      </c>
      <c r="N741" s="387"/>
      <c r="O741" s="387"/>
      <c r="P741" s="381" t="str">
        <f t="shared" si="45"/>
        <v/>
      </c>
      <c r="Q741" s="382" t="str">
        <f t="array" ref="Q741">IFERROR(INDEX($D$13:$D$1000,MATCH(0,COUNTIF($Q$13:Q740,$D$13:$D$1000&amp;"")+IF($D$13:$D$1000="",1,0),0)),"")</f>
        <v/>
      </c>
      <c r="R741" s="356" t="str">
        <f t="shared" si="46"/>
        <v/>
      </c>
      <c r="S741" s="383" t="str">
        <f t="shared" si="44"/>
        <v/>
      </c>
      <c r="T741" s="384" t="str">
        <f t="shared" si="47"/>
        <v/>
      </c>
      <c r="V741" s="385"/>
      <c r="W741" s="385"/>
      <c r="X741" s="386"/>
    </row>
    <row r="742" spans="2:24">
      <c r="B742" s="395"/>
      <c r="C742" s="371"/>
      <c r="D742" s="372" t="str">
        <f>IFERROR(INDEX('[12]Equipment List'!$B$2:$B$2038,MATCH(E742,'[12]Equipment List'!$A$2:$A$2038,0)),"")</f>
        <v/>
      </c>
      <c r="E742" s="388"/>
      <c r="F742" s="374"/>
      <c r="G742" s="375"/>
      <c r="H742" s="397"/>
      <c r="I742" s="377"/>
      <c r="J742" s="378"/>
      <c r="K742" s="379"/>
      <c r="L742" s="387"/>
      <c r="M742" s="380" t="str">
        <f t="array" ref="M742">IF(L742="","",(MAX(IF(AN$15:AN$144=B742,AO$15:AO$144))/60))</f>
        <v/>
      </c>
      <c r="N742" s="387"/>
      <c r="O742" s="387"/>
      <c r="P742" s="381" t="str">
        <f t="shared" si="45"/>
        <v/>
      </c>
      <c r="Q742" s="382" t="str">
        <f t="array" ref="Q742">IFERROR(INDEX($D$13:$D$1000,MATCH(0,COUNTIF($Q$13:Q741,$D$13:$D$1000&amp;"")+IF($D$13:$D$1000="",1,0),0)),"")</f>
        <v/>
      </c>
      <c r="R742" s="356" t="str">
        <f t="shared" si="46"/>
        <v/>
      </c>
      <c r="S742" s="383" t="str">
        <f t="shared" si="44"/>
        <v/>
      </c>
      <c r="T742" s="384" t="str">
        <f t="shared" si="47"/>
        <v/>
      </c>
      <c r="V742" s="385"/>
      <c r="W742" s="385"/>
      <c r="X742" s="386"/>
    </row>
    <row r="743" spans="2:24">
      <c r="B743" s="395"/>
      <c r="C743" s="371"/>
      <c r="D743" s="372" t="str">
        <f>IFERROR(INDEX('[12]Equipment List'!$B$2:$B$2038,MATCH(E743,'[12]Equipment List'!$A$2:$A$2038,0)),"")</f>
        <v/>
      </c>
      <c r="E743" s="388"/>
      <c r="F743" s="374"/>
      <c r="G743" s="375"/>
      <c r="H743" s="397"/>
      <c r="I743" s="377"/>
      <c r="J743" s="378"/>
      <c r="K743" s="379"/>
      <c r="L743" s="387"/>
      <c r="M743" s="380" t="str">
        <f t="array" ref="M743">IF(L743="","",(MAX(IF(AN$15:AN$144=B743,AO$15:AO$144))/60))</f>
        <v/>
      </c>
      <c r="N743" s="387"/>
      <c r="O743" s="387"/>
      <c r="P743" s="381" t="str">
        <f t="shared" si="45"/>
        <v/>
      </c>
      <c r="Q743" s="382" t="str">
        <f t="array" ref="Q743">IFERROR(INDEX($D$13:$D$1000,MATCH(0,COUNTIF($Q$13:Q742,$D$13:$D$1000&amp;"")+IF($D$13:$D$1000="",1,0),0)),"")</f>
        <v/>
      </c>
      <c r="R743" s="356" t="str">
        <f t="shared" si="46"/>
        <v/>
      </c>
      <c r="S743" s="383" t="str">
        <f t="shared" si="44"/>
        <v/>
      </c>
      <c r="T743" s="384" t="str">
        <f t="shared" si="47"/>
        <v/>
      </c>
      <c r="V743" s="385"/>
      <c r="W743" s="385"/>
      <c r="X743" s="386"/>
    </row>
    <row r="744" spans="2:24">
      <c r="B744" s="395"/>
      <c r="C744" s="371"/>
      <c r="D744" s="372" t="str">
        <f>IFERROR(INDEX('[12]Equipment List'!$B$2:$B$2038,MATCH(E744,'[12]Equipment List'!$A$2:$A$2038,0)),"")</f>
        <v/>
      </c>
      <c r="E744" s="388"/>
      <c r="F744" s="374"/>
      <c r="G744" s="375"/>
      <c r="H744" s="397"/>
      <c r="I744" s="377"/>
      <c r="J744" s="378"/>
      <c r="K744" s="379"/>
      <c r="L744" s="387"/>
      <c r="M744" s="380" t="str">
        <f t="array" ref="M744">IF(L744="","",(MAX(IF(AN$15:AN$144=B744,AO$15:AO$144))/60))</f>
        <v/>
      </c>
      <c r="N744" s="387"/>
      <c r="O744" s="387"/>
      <c r="P744" s="381" t="str">
        <f t="shared" si="45"/>
        <v/>
      </c>
      <c r="Q744" s="382" t="str">
        <f t="array" ref="Q744">IFERROR(INDEX($D$13:$D$1000,MATCH(0,COUNTIF($Q$13:Q743,$D$13:$D$1000&amp;"")+IF($D$13:$D$1000="",1,0),0)),"")</f>
        <v/>
      </c>
      <c r="R744" s="356" t="str">
        <f t="shared" si="46"/>
        <v/>
      </c>
      <c r="S744" s="383" t="str">
        <f t="shared" si="44"/>
        <v/>
      </c>
      <c r="T744" s="384" t="str">
        <f t="shared" si="47"/>
        <v/>
      </c>
      <c r="V744" s="385"/>
      <c r="W744" s="385"/>
      <c r="X744" s="386"/>
    </row>
    <row r="745" spans="2:24">
      <c r="B745" s="395"/>
      <c r="C745" s="371"/>
      <c r="D745" s="372" t="str">
        <f>IFERROR(INDEX('[12]Equipment List'!$B$2:$B$2038,MATCH(E745,'[12]Equipment List'!$A$2:$A$2038,0)),"")</f>
        <v/>
      </c>
      <c r="E745" s="388"/>
      <c r="F745" s="374"/>
      <c r="G745" s="375"/>
      <c r="H745" s="397"/>
      <c r="I745" s="377"/>
      <c r="J745" s="378"/>
      <c r="K745" s="379"/>
      <c r="L745" s="387"/>
      <c r="M745" s="380" t="str">
        <f t="array" ref="M745">IF(L745="","",(MAX(IF(AN$15:AN$144=B745,AO$15:AO$144))/60))</f>
        <v/>
      </c>
      <c r="N745" s="387"/>
      <c r="O745" s="387"/>
      <c r="P745" s="381" t="str">
        <f t="shared" si="45"/>
        <v/>
      </c>
      <c r="Q745" s="382" t="str">
        <f t="array" ref="Q745">IFERROR(INDEX($D$13:$D$1000,MATCH(0,COUNTIF($Q$13:Q744,$D$13:$D$1000&amp;"")+IF($D$13:$D$1000="",1,0),0)),"")</f>
        <v/>
      </c>
      <c r="R745" s="356" t="str">
        <f t="shared" si="46"/>
        <v/>
      </c>
      <c r="S745" s="383" t="str">
        <f t="shared" si="44"/>
        <v/>
      </c>
      <c r="T745" s="384" t="str">
        <f t="shared" si="47"/>
        <v/>
      </c>
      <c r="V745" s="385"/>
      <c r="W745" s="385"/>
      <c r="X745" s="386"/>
    </row>
    <row r="746" spans="2:24">
      <c r="B746" s="395"/>
      <c r="C746" s="371"/>
      <c r="D746" s="372" t="str">
        <f>IFERROR(INDEX('[12]Equipment List'!$B$2:$B$2038,MATCH(E746,'[12]Equipment List'!$A$2:$A$2038,0)),"")</f>
        <v/>
      </c>
      <c r="E746" s="388"/>
      <c r="F746" s="374"/>
      <c r="G746" s="375"/>
      <c r="H746" s="397"/>
      <c r="I746" s="377"/>
      <c r="J746" s="378"/>
      <c r="K746" s="379"/>
      <c r="L746" s="387"/>
      <c r="M746" s="380" t="str">
        <f t="array" ref="M746">IF(L746="","",(MAX(IF(AN$15:AN$144=B746,AO$15:AO$144))/60))</f>
        <v/>
      </c>
      <c r="N746" s="387"/>
      <c r="O746" s="387"/>
      <c r="P746" s="381" t="str">
        <f t="shared" si="45"/>
        <v/>
      </c>
      <c r="Q746" s="382" t="str">
        <f t="array" ref="Q746">IFERROR(INDEX($D$13:$D$1000,MATCH(0,COUNTIF($Q$13:Q745,$D$13:$D$1000&amp;"")+IF($D$13:$D$1000="",1,0),0)),"")</f>
        <v/>
      </c>
      <c r="R746" s="356" t="str">
        <f t="shared" si="46"/>
        <v/>
      </c>
      <c r="S746" s="383" t="str">
        <f t="shared" si="44"/>
        <v/>
      </c>
      <c r="T746" s="384" t="str">
        <f t="shared" si="47"/>
        <v/>
      </c>
      <c r="V746" s="385"/>
      <c r="W746" s="385"/>
      <c r="X746" s="386"/>
    </row>
    <row r="747" spans="2:24">
      <c r="B747" s="395"/>
      <c r="C747" s="371"/>
      <c r="D747" s="372" t="str">
        <f>IFERROR(INDEX('[12]Equipment List'!$B$2:$B$2038,MATCH(E747,'[12]Equipment List'!$A$2:$A$2038,0)),"")</f>
        <v/>
      </c>
      <c r="E747" s="388"/>
      <c r="F747" s="374"/>
      <c r="G747" s="375"/>
      <c r="H747" s="397"/>
      <c r="I747" s="377"/>
      <c r="J747" s="378"/>
      <c r="K747" s="379"/>
      <c r="L747" s="387"/>
      <c r="M747" s="380" t="str">
        <f t="array" ref="M747">IF(L747="","",(MAX(IF(AN$15:AN$144=B747,AO$15:AO$144))/60))</f>
        <v/>
      </c>
      <c r="N747" s="387"/>
      <c r="O747" s="387"/>
      <c r="P747" s="381" t="str">
        <f t="shared" si="45"/>
        <v/>
      </c>
      <c r="Q747" s="382" t="str">
        <f t="array" ref="Q747">IFERROR(INDEX($D$13:$D$1000,MATCH(0,COUNTIF($Q$13:Q746,$D$13:$D$1000&amp;"")+IF($D$13:$D$1000="",1,0),0)),"")</f>
        <v/>
      </c>
      <c r="R747" s="356" t="str">
        <f t="shared" si="46"/>
        <v/>
      </c>
      <c r="S747" s="383" t="str">
        <f t="shared" ref="S747:S810" si="48">IF($Q747="","",SUMIF($D$13:$D$1000,$Q747,I$13:I$1000))</f>
        <v/>
      </c>
      <c r="T747" s="384" t="str">
        <f t="shared" si="47"/>
        <v/>
      </c>
      <c r="V747" s="385"/>
      <c r="W747" s="385"/>
      <c r="X747" s="386"/>
    </row>
    <row r="748" spans="2:24">
      <c r="B748" s="395"/>
      <c r="C748" s="371"/>
      <c r="D748" s="372" t="str">
        <f>IFERROR(INDEX('[12]Equipment List'!$B$2:$B$2038,MATCH(E748,'[12]Equipment List'!$A$2:$A$2038,0)),"")</f>
        <v/>
      </c>
      <c r="E748" s="388"/>
      <c r="F748" s="374"/>
      <c r="G748" s="375"/>
      <c r="H748" s="397"/>
      <c r="I748" s="377"/>
      <c r="J748" s="378"/>
      <c r="K748" s="379"/>
      <c r="L748" s="387"/>
      <c r="M748" s="380" t="str">
        <f t="array" ref="M748">IF(L748="","",(MAX(IF(AN$15:AN$144=B748,AO$15:AO$144))/60))</f>
        <v/>
      </c>
      <c r="N748" s="387"/>
      <c r="O748" s="387"/>
      <c r="P748" s="381" t="str">
        <f t="shared" si="45"/>
        <v/>
      </c>
      <c r="Q748" s="382" t="str">
        <f t="array" ref="Q748">IFERROR(INDEX($D$13:$D$1000,MATCH(0,COUNTIF($Q$13:Q747,$D$13:$D$1000&amp;"")+IF($D$13:$D$1000="",1,0),0)),"")</f>
        <v/>
      </c>
      <c r="R748" s="356" t="str">
        <f t="shared" si="46"/>
        <v/>
      </c>
      <c r="S748" s="383" t="str">
        <f t="shared" si="48"/>
        <v/>
      </c>
      <c r="T748" s="384" t="str">
        <f t="shared" si="47"/>
        <v/>
      </c>
      <c r="V748" s="385"/>
      <c r="W748" s="385"/>
      <c r="X748" s="386"/>
    </row>
    <row r="749" spans="2:24">
      <c r="B749" s="395"/>
      <c r="C749" s="371"/>
      <c r="D749" s="372" t="str">
        <f>IFERROR(INDEX('[12]Equipment List'!$B$2:$B$2038,MATCH(E749,'[12]Equipment List'!$A$2:$A$2038,0)),"")</f>
        <v/>
      </c>
      <c r="E749" s="388"/>
      <c r="F749" s="374"/>
      <c r="G749" s="375"/>
      <c r="H749" s="397"/>
      <c r="I749" s="377"/>
      <c r="J749" s="378"/>
      <c r="K749" s="379"/>
      <c r="L749" s="387"/>
      <c r="M749" s="380" t="str">
        <f t="array" ref="M749">IF(L749="","",(MAX(IF(AN$15:AN$144=B749,AO$15:AO$144))/60))</f>
        <v/>
      </c>
      <c r="N749" s="387"/>
      <c r="O749" s="387"/>
      <c r="P749" s="381" t="str">
        <f t="shared" si="45"/>
        <v/>
      </c>
      <c r="Q749" s="382" t="str">
        <f t="array" ref="Q749">IFERROR(INDEX($D$13:$D$1000,MATCH(0,COUNTIF($Q$13:Q748,$D$13:$D$1000&amp;"")+IF($D$13:$D$1000="",1,0),0)),"")</f>
        <v/>
      </c>
      <c r="R749" s="356" t="str">
        <f t="shared" si="46"/>
        <v/>
      </c>
      <c r="S749" s="383" t="str">
        <f t="shared" si="48"/>
        <v/>
      </c>
      <c r="T749" s="384" t="str">
        <f t="shared" si="47"/>
        <v/>
      </c>
      <c r="V749" s="385"/>
      <c r="W749" s="385"/>
      <c r="X749" s="386"/>
    </row>
    <row r="750" spans="2:24">
      <c r="B750" s="395"/>
      <c r="C750" s="371"/>
      <c r="D750" s="372" t="str">
        <f>IFERROR(INDEX('[12]Equipment List'!$B$2:$B$2038,MATCH(E750,'[12]Equipment List'!$A$2:$A$2038,0)),"")</f>
        <v/>
      </c>
      <c r="E750" s="388"/>
      <c r="F750" s="374"/>
      <c r="G750" s="375"/>
      <c r="H750" s="397"/>
      <c r="I750" s="377"/>
      <c r="J750" s="378"/>
      <c r="K750" s="379"/>
      <c r="L750" s="387"/>
      <c r="M750" s="380" t="str">
        <f t="array" ref="M750">IF(L750="","",(MAX(IF(AN$15:AN$144=B750,AO$15:AO$144))/60))</f>
        <v/>
      </c>
      <c r="N750" s="387"/>
      <c r="O750" s="387"/>
      <c r="P750" s="381" t="str">
        <f t="shared" si="45"/>
        <v/>
      </c>
      <c r="Q750" s="382" t="str">
        <f t="array" ref="Q750">IFERROR(INDEX($D$13:$D$1000,MATCH(0,COUNTIF($Q$13:Q749,$D$13:$D$1000&amp;"")+IF($D$13:$D$1000="",1,0),0)),"")</f>
        <v/>
      </c>
      <c r="R750" s="356" t="str">
        <f t="shared" si="46"/>
        <v/>
      </c>
      <c r="S750" s="383" t="str">
        <f t="shared" si="48"/>
        <v/>
      </c>
      <c r="T750" s="384" t="str">
        <f t="shared" si="47"/>
        <v/>
      </c>
      <c r="V750" s="385"/>
      <c r="W750" s="385"/>
      <c r="X750" s="386"/>
    </row>
    <row r="751" spans="2:24">
      <c r="B751" s="395"/>
      <c r="C751" s="371"/>
      <c r="D751" s="372" t="str">
        <f>IFERROR(INDEX('[12]Equipment List'!$B$2:$B$2038,MATCH(E751,'[12]Equipment List'!$A$2:$A$2038,0)),"")</f>
        <v/>
      </c>
      <c r="E751" s="388"/>
      <c r="F751" s="374"/>
      <c r="G751" s="375"/>
      <c r="H751" s="397"/>
      <c r="I751" s="377"/>
      <c r="J751" s="378"/>
      <c r="K751" s="379"/>
      <c r="L751" s="387"/>
      <c r="M751" s="380" t="str">
        <f t="array" ref="M751">IF(L751="","",(MAX(IF(AN$15:AN$144=B751,AO$15:AO$144))/60))</f>
        <v/>
      </c>
      <c r="N751" s="387"/>
      <c r="O751" s="387"/>
      <c r="P751" s="381" t="str">
        <f t="shared" si="45"/>
        <v/>
      </c>
      <c r="Q751" s="382" t="str">
        <f t="array" ref="Q751">IFERROR(INDEX($D$13:$D$1000,MATCH(0,COUNTIF($Q$13:Q750,$D$13:$D$1000&amp;"")+IF($D$13:$D$1000="",1,0),0)),"")</f>
        <v/>
      </c>
      <c r="R751" s="356" t="str">
        <f t="shared" si="46"/>
        <v/>
      </c>
      <c r="S751" s="383" t="str">
        <f t="shared" si="48"/>
        <v/>
      </c>
      <c r="T751" s="384" t="str">
        <f t="shared" si="47"/>
        <v/>
      </c>
      <c r="V751" s="385"/>
      <c r="W751" s="385"/>
      <c r="X751" s="386"/>
    </row>
    <row r="752" spans="2:24">
      <c r="B752" s="395"/>
      <c r="C752" s="371"/>
      <c r="D752" s="372" t="str">
        <f>IFERROR(INDEX('[12]Equipment List'!$B$2:$B$2038,MATCH(E752,'[12]Equipment List'!$A$2:$A$2038,0)),"")</f>
        <v/>
      </c>
      <c r="E752" s="388"/>
      <c r="F752" s="374"/>
      <c r="G752" s="375"/>
      <c r="H752" s="397"/>
      <c r="I752" s="377"/>
      <c r="J752" s="378"/>
      <c r="K752" s="379"/>
      <c r="L752" s="387"/>
      <c r="M752" s="380" t="str">
        <f t="array" ref="M752">IF(L752="","",(MAX(IF(AN$15:AN$144=B752,AO$15:AO$144))/60))</f>
        <v/>
      </c>
      <c r="N752" s="387"/>
      <c r="O752" s="387"/>
      <c r="P752" s="381" t="str">
        <f t="shared" si="45"/>
        <v/>
      </c>
      <c r="Q752" s="382" t="str">
        <f t="array" ref="Q752">IFERROR(INDEX($D$13:$D$1000,MATCH(0,COUNTIF($Q$13:Q751,$D$13:$D$1000&amp;"")+IF($D$13:$D$1000="",1,0),0)),"")</f>
        <v/>
      </c>
      <c r="R752" s="356" t="str">
        <f t="shared" si="46"/>
        <v/>
      </c>
      <c r="S752" s="383" t="str">
        <f t="shared" si="48"/>
        <v/>
      </c>
      <c r="T752" s="384" t="str">
        <f t="shared" si="47"/>
        <v/>
      </c>
      <c r="V752" s="385"/>
      <c r="W752" s="385"/>
      <c r="X752" s="386"/>
    </row>
    <row r="753" spans="2:24">
      <c r="B753" s="395"/>
      <c r="C753" s="371"/>
      <c r="D753" s="372" t="str">
        <f>IFERROR(INDEX('[12]Equipment List'!$B$2:$B$2038,MATCH(E753,'[12]Equipment List'!$A$2:$A$2038,0)),"")</f>
        <v/>
      </c>
      <c r="E753" s="388"/>
      <c r="F753" s="374"/>
      <c r="G753" s="375"/>
      <c r="H753" s="397"/>
      <c r="I753" s="377"/>
      <c r="J753" s="378"/>
      <c r="K753" s="379"/>
      <c r="L753" s="387"/>
      <c r="M753" s="380" t="str">
        <f t="array" ref="M753">IF(L753="","",(MAX(IF(AN$15:AN$144=B753,AO$15:AO$144))/60))</f>
        <v/>
      </c>
      <c r="N753" s="387"/>
      <c r="O753" s="387"/>
      <c r="P753" s="381" t="str">
        <f t="shared" si="45"/>
        <v/>
      </c>
      <c r="Q753" s="382" t="str">
        <f t="array" ref="Q753">IFERROR(INDEX($D$13:$D$1000,MATCH(0,COUNTIF($Q$13:Q752,$D$13:$D$1000&amp;"")+IF($D$13:$D$1000="",1,0),0)),"")</f>
        <v/>
      </c>
      <c r="R753" s="356" t="str">
        <f t="shared" si="46"/>
        <v/>
      </c>
      <c r="S753" s="383" t="str">
        <f t="shared" si="48"/>
        <v/>
      </c>
      <c r="T753" s="384" t="str">
        <f t="shared" si="47"/>
        <v/>
      </c>
      <c r="V753" s="385"/>
      <c r="W753" s="385"/>
      <c r="X753" s="386"/>
    </row>
    <row r="754" spans="2:24">
      <c r="B754" s="395"/>
      <c r="C754" s="371"/>
      <c r="D754" s="372" t="str">
        <f>IFERROR(INDEX('[12]Equipment List'!$B$2:$B$2038,MATCH(E754,'[12]Equipment List'!$A$2:$A$2038,0)),"")</f>
        <v/>
      </c>
      <c r="E754" s="388"/>
      <c r="F754" s="374"/>
      <c r="G754" s="375"/>
      <c r="H754" s="397"/>
      <c r="I754" s="377"/>
      <c r="J754" s="378"/>
      <c r="K754" s="379"/>
      <c r="L754" s="387"/>
      <c r="M754" s="380" t="str">
        <f t="array" ref="M754">IF(L754="","",(MAX(IF(AN$15:AN$144=B754,AO$15:AO$144))/60))</f>
        <v/>
      </c>
      <c r="N754" s="387"/>
      <c r="O754" s="387"/>
      <c r="P754" s="381" t="str">
        <f t="shared" si="45"/>
        <v/>
      </c>
      <c r="Q754" s="382" t="str">
        <f t="array" ref="Q754">IFERROR(INDEX($D$13:$D$1000,MATCH(0,COUNTIF($Q$13:Q753,$D$13:$D$1000&amp;"")+IF($D$13:$D$1000="",1,0),0)),"")</f>
        <v/>
      </c>
      <c r="R754" s="356" t="str">
        <f t="shared" si="46"/>
        <v/>
      </c>
      <c r="S754" s="383" t="str">
        <f t="shared" si="48"/>
        <v/>
      </c>
      <c r="T754" s="384" t="str">
        <f t="shared" si="47"/>
        <v/>
      </c>
      <c r="V754" s="385"/>
      <c r="W754" s="385"/>
      <c r="X754" s="386"/>
    </row>
    <row r="755" spans="2:24">
      <c r="B755" s="395"/>
      <c r="C755" s="371"/>
      <c r="D755" s="372" t="str">
        <f>IFERROR(INDEX('[12]Equipment List'!$B$2:$B$2038,MATCH(E755,'[12]Equipment List'!$A$2:$A$2038,0)),"")</f>
        <v/>
      </c>
      <c r="E755" s="388"/>
      <c r="F755" s="374"/>
      <c r="G755" s="375"/>
      <c r="H755" s="397"/>
      <c r="I755" s="377"/>
      <c r="J755" s="378"/>
      <c r="K755" s="379"/>
      <c r="L755" s="387"/>
      <c r="M755" s="380" t="str">
        <f t="array" ref="M755">IF(L755="","",(MAX(IF(AN$15:AN$144=B755,AO$15:AO$144))/60))</f>
        <v/>
      </c>
      <c r="N755" s="387"/>
      <c r="O755" s="387"/>
      <c r="P755" s="381" t="str">
        <f t="shared" si="45"/>
        <v/>
      </c>
      <c r="Q755" s="382" t="str">
        <f t="array" ref="Q755">IFERROR(INDEX($D$13:$D$1000,MATCH(0,COUNTIF($Q$13:Q754,$D$13:$D$1000&amp;"")+IF($D$13:$D$1000="",1,0),0)),"")</f>
        <v/>
      </c>
      <c r="R755" s="356" t="str">
        <f t="shared" si="46"/>
        <v/>
      </c>
      <c r="S755" s="383" t="str">
        <f t="shared" si="48"/>
        <v/>
      </c>
      <c r="T755" s="384" t="str">
        <f t="shared" si="47"/>
        <v/>
      </c>
      <c r="V755" s="385"/>
      <c r="W755" s="385"/>
      <c r="X755" s="386"/>
    </row>
    <row r="756" spans="2:24">
      <c r="B756" s="395"/>
      <c r="C756" s="371"/>
      <c r="D756" s="372" t="str">
        <f>IFERROR(INDEX('[12]Equipment List'!$B$2:$B$2038,MATCH(E756,'[12]Equipment List'!$A$2:$A$2038,0)),"")</f>
        <v/>
      </c>
      <c r="E756" s="388"/>
      <c r="F756" s="374"/>
      <c r="G756" s="375"/>
      <c r="H756" s="397"/>
      <c r="I756" s="377"/>
      <c r="J756" s="378"/>
      <c r="K756" s="379"/>
      <c r="L756" s="387"/>
      <c r="M756" s="380" t="str">
        <f t="array" ref="M756">IF(L756="","",(MAX(IF(AN$15:AN$144=B756,AO$15:AO$144))/60))</f>
        <v/>
      </c>
      <c r="N756" s="387"/>
      <c r="O756" s="387"/>
      <c r="P756" s="381" t="str">
        <f t="shared" si="45"/>
        <v/>
      </c>
      <c r="Q756" s="382" t="str">
        <f t="array" ref="Q756">IFERROR(INDEX($D$13:$D$1000,MATCH(0,COUNTIF($Q$13:Q755,$D$13:$D$1000&amp;"")+IF($D$13:$D$1000="",1,0),0)),"")</f>
        <v/>
      </c>
      <c r="R756" s="356" t="str">
        <f t="shared" si="46"/>
        <v/>
      </c>
      <c r="S756" s="383" t="str">
        <f t="shared" si="48"/>
        <v/>
      </c>
      <c r="T756" s="384" t="str">
        <f t="shared" si="47"/>
        <v/>
      </c>
      <c r="V756" s="385"/>
      <c r="W756" s="385"/>
      <c r="X756" s="386"/>
    </row>
    <row r="757" spans="2:24">
      <c r="B757" s="395"/>
      <c r="C757" s="371"/>
      <c r="D757" s="372" t="str">
        <f>IFERROR(INDEX('[12]Equipment List'!$B$2:$B$2038,MATCH(E757,'[12]Equipment List'!$A$2:$A$2038,0)),"")</f>
        <v/>
      </c>
      <c r="E757" s="388"/>
      <c r="F757" s="374"/>
      <c r="G757" s="375"/>
      <c r="H757" s="397"/>
      <c r="I757" s="377"/>
      <c r="J757" s="378"/>
      <c r="K757" s="379"/>
      <c r="L757" s="387"/>
      <c r="M757" s="380" t="str">
        <f t="array" ref="M757">IF(L757="","",(MAX(IF(AN$15:AN$144=B757,AO$15:AO$144))/60))</f>
        <v/>
      </c>
      <c r="N757" s="387"/>
      <c r="O757" s="387"/>
      <c r="P757" s="381" t="str">
        <f t="shared" si="45"/>
        <v/>
      </c>
      <c r="Q757" s="382" t="str">
        <f t="array" ref="Q757">IFERROR(INDEX($D$13:$D$1000,MATCH(0,COUNTIF($Q$13:Q756,$D$13:$D$1000&amp;"")+IF($D$13:$D$1000="",1,0),0)),"")</f>
        <v/>
      </c>
      <c r="R757" s="356" t="str">
        <f t="shared" si="46"/>
        <v/>
      </c>
      <c r="S757" s="383" t="str">
        <f t="shared" si="48"/>
        <v/>
      </c>
      <c r="T757" s="384" t="str">
        <f t="shared" si="47"/>
        <v/>
      </c>
      <c r="V757" s="385"/>
      <c r="W757" s="385"/>
      <c r="X757" s="386"/>
    </row>
    <row r="758" spans="2:24">
      <c r="B758" s="395"/>
      <c r="C758" s="371"/>
      <c r="D758" s="372" t="str">
        <f>IFERROR(INDEX('[12]Equipment List'!$B$2:$B$2038,MATCH(E758,'[12]Equipment List'!$A$2:$A$2038,0)),"")</f>
        <v/>
      </c>
      <c r="E758" s="388"/>
      <c r="F758" s="374"/>
      <c r="G758" s="375"/>
      <c r="H758" s="397"/>
      <c r="I758" s="377"/>
      <c r="J758" s="378"/>
      <c r="K758" s="379"/>
      <c r="L758" s="387"/>
      <c r="M758" s="380" t="str">
        <f t="array" ref="M758">IF(L758="","",(MAX(IF(AN$15:AN$144=B758,AO$15:AO$144))/60))</f>
        <v/>
      </c>
      <c r="N758" s="387"/>
      <c r="O758" s="387"/>
      <c r="P758" s="381" t="str">
        <f t="shared" si="45"/>
        <v/>
      </c>
      <c r="Q758" s="382" t="str">
        <f t="array" ref="Q758">IFERROR(INDEX($D$13:$D$1000,MATCH(0,COUNTIF($Q$13:Q757,$D$13:$D$1000&amp;"")+IF($D$13:$D$1000="",1,0),0)),"")</f>
        <v/>
      </c>
      <c r="R758" s="356" t="str">
        <f t="shared" si="46"/>
        <v/>
      </c>
      <c r="S758" s="383" t="str">
        <f t="shared" si="48"/>
        <v/>
      </c>
      <c r="T758" s="384" t="str">
        <f t="shared" si="47"/>
        <v/>
      </c>
      <c r="V758" s="385"/>
      <c r="W758" s="385"/>
      <c r="X758" s="386"/>
    </row>
    <row r="759" spans="2:24">
      <c r="B759" s="395"/>
      <c r="C759" s="371"/>
      <c r="D759" s="372" t="str">
        <f>IFERROR(INDEX('[12]Equipment List'!$B$2:$B$2038,MATCH(E759,'[12]Equipment List'!$A$2:$A$2038,0)),"")</f>
        <v/>
      </c>
      <c r="E759" s="388"/>
      <c r="F759" s="374"/>
      <c r="G759" s="375"/>
      <c r="H759" s="397"/>
      <c r="I759" s="377"/>
      <c r="J759" s="378"/>
      <c r="K759" s="379"/>
      <c r="L759" s="387"/>
      <c r="M759" s="380" t="str">
        <f t="array" ref="M759">IF(L759="","",(MAX(IF(AN$15:AN$144=B759,AO$15:AO$144))/60))</f>
        <v/>
      </c>
      <c r="N759" s="387"/>
      <c r="O759" s="387"/>
      <c r="P759" s="381" t="str">
        <f t="shared" si="45"/>
        <v/>
      </c>
      <c r="Q759" s="382" t="str">
        <f t="array" ref="Q759">IFERROR(INDEX($D$13:$D$1000,MATCH(0,COUNTIF($Q$13:Q758,$D$13:$D$1000&amp;"")+IF($D$13:$D$1000="",1,0),0)),"")</f>
        <v/>
      </c>
      <c r="R759" s="356" t="str">
        <f t="shared" si="46"/>
        <v/>
      </c>
      <c r="S759" s="383" t="str">
        <f t="shared" si="48"/>
        <v/>
      </c>
      <c r="T759" s="384" t="str">
        <f t="shared" si="47"/>
        <v/>
      </c>
      <c r="V759" s="385"/>
      <c r="W759" s="385"/>
      <c r="X759" s="386"/>
    </row>
    <row r="760" spans="2:24">
      <c r="B760" s="395"/>
      <c r="C760" s="371"/>
      <c r="D760" s="372" t="str">
        <f>IFERROR(INDEX('[12]Equipment List'!$B$2:$B$2038,MATCH(E760,'[12]Equipment List'!$A$2:$A$2038,0)),"")</f>
        <v/>
      </c>
      <c r="E760" s="388"/>
      <c r="F760" s="374"/>
      <c r="G760" s="375"/>
      <c r="H760" s="397"/>
      <c r="I760" s="377"/>
      <c r="J760" s="378"/>
      <c r="K760" s="379"/>
      <c r="L760" s="387"/>
      <c r="M760" s="380" t="str">
        <f t="array" ref="M760">IF(L760="","",(MAX(IF(AN$15:AN$144=B760,AO$15:AO$144))/60))</f>
        <v/>
      </c>
      <c r="N760" s="387"/>
      <c r="O760" s="387"/>
      <c r="P760" s="381" t="str">
        <f t="shared" si="45"/>
        <v/>
      </c>
      <c r="Q760" s="382" t="str">
        <f t="array" ref="Q760">IFERROR(INDEX($D$13:$D$1000,MATCH(0,COUNTIF($Q$13:Q759,$D$13:$D$1000&amp;"")+IF($D$13:$D$1000="",1,0),0)),"")</f>
        <v/>
      </c>
      <c r="R760" s="356" t="str">
        <f t="shared" si="46"/>
        <v/>
      </c>
      <c r="S760" s="383" t="str">
        <f t="shared" si="48"/>
        <v/>
      </c>
      <c r="T760" s="384" t="str">
        <f t="shared" si="47"/>
        <v/>
      </c>
      <c r="V760" s="385"/>
      <c r="W760" s="385"/>
      <c r="X760" s="386"/>
    </row>
    <row r="761" spans="2:24">
      <c r="B761" s="395"/>
      <c r="C761" s="371"/>
      <c r="D761" s="372" t="str">
        <f>IFERROR(INDEX('[12]Equipment List'!$B$2:$B$2038,MATCH(E761,'[12]Equipment List'!$A$2:$A$2038,0)),"")</f>
        <v/>
      </c>
      <c r="E761" s="388"/>
      <c r="F761" s="374"/>
      <c r="G761" s="375"/>
      <c r="H761" s="397"/>
      <c r="I761" s="377"/>
      <c r="J761" s="378"/>
      <c r="K761" s="379"/>
      <c r="L761" s="387"/>
      <c r="M761" s="380" t="str">
        <f t="array" ref="M761">IF(L761="","",(MAX(IF(AN$15:AN$144=B761,AO$15:AO$144))/60))</f>
        <v/>
      </c>
      <c r="N761" s="387"/>
      <c r="O761" s="387"/>
      <c r="P761" s="381" t="str">
        <f t="shared" si="45"/>
        <v/>
      </c>
      <c r="Q761" s="382" t="str">
        <f t="array" ref="Q761">IFERROR(INDEX($D$13:$D$1000,MATCH(0,COUNTIF($Q$13:Q760,$D$13:$D$1000&amp;"")+IF($D$13:$D$1000="",1,0),0)),"")</f>
        <v/>
      </c>
      <c r="R761" s="356" t="str">
        <f t="shared" si="46"/>
        <v/>
      </c>
      <c r="S761" s="383" t="str">
        <f t="shared" si="48"/>
        <v/>
      </c>
      <c r="T761" s="384" t="str">
        <f t="shared" si="47"/>
        <v/>
      </c>
      <c r="V761" s="385"/>
      <c r="W761" s="385"/>
      <c r="X761" s="386"/>
    </row>
    <row r="762" spans="2:24">
      <c r="B762" s="395"/>
      <c r="C762" s="371"/>
      <c r="D762" s="372" t="str">
        <f>IFERROR(INDEX('[12]Equipment List'!$B$2:$B$2038,MATCH(E762,'[12]Equipment List'!$A$2:$A$2038,0)),"")</f>
        <v/>
      </c>
      <c r="E762" s="388"/>
      <c r="F762" s="374"/>
      <c r="G762" s="375"/>
      <c r="H762" s="397"/>
      <c r="I762" s="377"/>
      <c r="J762" s="378"/>
      <c r="K762" s="379"/>
      <c r="L762" s="387"/>
      <c r="M762" s="380" t="str">
        <f t="array" ref="M762">IF(L762="","",(MAX(IF(AN$15:AN$144=B762,AO$15:AO$144))/60))</f>
        <v/>
      </c>
      <c r="N762" s="387"/>
      <c r="O762" s="387"/>
      <c r="P762" s="381" t="str">
        <f t="shared" si="45"/>
        <v/>
      </c>
      <c r="Q762" s="382" t="str">
        <f t="array" ref="Q762">IFERROR(INDEX($D$13:$D$1000,MATCH(0,COUNTIF($Q$13:Q761,$D$13:$D$1000&amp;"")+IF($D$13:$D$1000="",1,0),0)),"")</f>
        <v/>
      </c>
      <c r="R762" s="356" t="str">
        <f t="shared" si="46"/>
        <v/>
      </c>
      <c r="S762" s="383" t="str">
        <f t="shared" si="48"/>
        <v/>
      </c>
      <c r="T762" s="384" t="str">
        <f t="shared" si="47"/>
        <v/>
      </c>
      <c r="V762" s="385"/>
      <c r="W762" s="385"/>
      <c r="X762" s="386"/>
    </row>
    <row r="763" spans="2:24">
      <c r="B763" s="395"/>
      <c r="C763" s="371"/>
      <c r="D763" s="372" t="str">
        <f>IFERROR(INDEX('[12]Equipment List'!$B$2:$B$2038,MATCH(E763,'[12]Equipment List'!$A$2:$A$2038,0)),"")</f>
        <v/>
      </c>
      <c r="E763" s="388"/>
      <c r="F763" s="374"/>
      <c r="G763" s="375"/>
      <c r="H763" s="397"/>
      <c r="I763" s="377"/>
      <c r="J763" s="378"/>
      <c r="K763" s="379"/>
      <c r="L763" s="387"/>
      <c r="M763" s="380" t="str">
        <f t="array" ref="M763">IF(L763="","",(MAX(IF(AN$15:AN$144=B763,AO$15:AO$144))/60))</f>
        <v/>
      </c>
      <c r="N763" s="387"/>
      <c r="O763" s="387"/>
      <c r="P763" s="381" t="str">
        <f t="shared" si="45"/>
        <v/>
      </c>
      <c r="Q763" s="382" t="str">
        <f t="array" ref="Q763">IFERROR(INDEX($D$13:$D$1000,MATCH(0,COUNTIF($Q$13:Q762,$D$13:$D$1000&amp;"")+IF($D$13:$D$1000="",1,0),0)),"")</f>
        <v/>
      </c>
      <c r="R763" s="356" t="str">
        <f t="shared" si="46"/>
        <v/>
      </c>
      <c r="S763" s="383" t="str">
        <f t="shared" si="48"/>
        <v/>
      </c>
      <c r="T763" s="384" t="str">
        <f t="shared" si="47"/>
        <v/>
      </c>
      <c r="V763" s="385"/>
      <c r="W763" s="385"/>
      <c r="X763" s="386"/>
    </row>
    <row r="764" spans="2:24">
      <c r="B764" s="395"/>
      <c r="C764" s="371"/>
      <c r="D764" s="372" t="str">
        <f>IFERROR(INDEX('[12]Equipment List'!$B$2:$B$2038,MATCH(E764,'[12]Equipment List'!$A$2:$A$2038,0)),"")</f>
        <v/>
      </c>
      <c r="E764" s="388"/>
      <c r="F764" s="374"/>
      <c r="G764" s="375"/>
      <c r="H764" s="397"/>
      <c r="I764" s="377"/>
      <c r="J764" s="378"/>
      <c r="K764" s="379"/>
      <c r="L764" s="387"/>
      <c r="M764" s="380" t="str">
        <f t="array" ref="M764">IF(L764="","",(MAX(IF(AN$15:AN$144=B764,AO$15:AO$144))/60))</f>
        <v/>
      </c>
      <c r="N764" s="387"/>
      <c r="O764" s="387"/>
      <c r="P764" s="381" t="str">
        <f t="shared" si="45"/>
        <v/>
      </c>
      <c r="Q764" s="382" t="str">
        <f t="array" ref="Q764">IFERROR(INDEX($D$13:$D$1000,MATCH(0,COUNTIF($Q$13:Q763,$D$13:$D$1000&amp;"")+IF($D$13:$D$1000="",1,0),0)),"")</f>
        <v/>
      </c>
      <c r="R764" s="356" t="str">
        <f t="shared" si="46"/>
        <v/>
      </c>
      <c r="S764" s="383" t="str">
        <f t="shared" si="48"/>
        <v/>
      </c>
      <c r="T764" s="384" t="str">
        <f t="shared" si="47"/>
        <v/>
      </c>
      <c r="V764" s="385"/>
      <c r="W764" s="385"/>
      <c r="X764" s="386"/>
    </row>
    <row r="765" spans="2:24">
      <c r="B765" s="395"/>
      <c r="C765" s="371"/>
      <c r="D765" s="372" t="str">
        <f>IFERROR(INDEX('[12]Equipment List'!$B$2:$B$2038,MATCH(E765,'[12]Equipment List'!$A$2:$A$2038,0)),"")</f>
        <v/>
      </c>
      <c r="E765" s="388"/>
      <c r="F765" s="374"/>
      <c r="G765" s="375"/>
      <c r="H765" s="397"/>
      <c r="I765" s="377"/>
      <c r="J765" s="378"/>
      <c r="K765" s="379"/>
      <c r="L765" s="387"/>
      <c r="M765" s="380" t="str">
        <f t="array" ref="M765">IF(L765="","",(MAX(IF(AN$15:AN$144=B765,AO$15:AO$144))/60))</f>
        <v/>
      </c>
      <c r="N765" s="387"/>
      <c r="O765" s="387"/>
      <c r="P765" s="381" t="str">
        <f t="shared" si="45"/>
        <v/>
      </c>
      <c r="Q765" s="382" t="str">
        <f t="array" ref="Q765">IFERROR(INDEX($D$13:$D$1000,MATCH(0,COUNTIF($Q$13:Q764,$D$13:$D$1000&amp;"")+IF($D$13:$D$1000="",1,0),0)),"")</f>
        <v/>
      </c>
      <c r="R765" s="356" t="str">
        <f t="shared" si="46"/>
        <v/>
      </c>
      <c r="S765" s="383" t="str">
        <f t="shared" si="48"/>
        <v/>
      </c>
      <c r="T765" s="384" t="str">
        <f t="shared" si="47"/>
        <v/>
      </c>
      <c r="V765" s="385"/>
      <c r="W765" s="385"/>
      <c r="X765" s="386"/>
    </row>
    <row r="766" spans="2:24">
      <c r="B766" s="395"/>
      <c r="C766" s="371"/>
      <c r="D766" s="372" t="str">
        <f>IFERROR(INDEX('[12]Equipment List'!$B$2:$B$2038,MATCH(E766,'[12]Equipment List'!$A$2:$A$2038,0)),"")</f>
        <v/>
      </c>
      <c r="E766" s="388"/>
      <c r="F766" s="374"/>
      <c r="G766" s="375"/>
      <c r="H766" s="397"/>
      <c r="I766" s="377"/>
      <c r="J766" s="378"/>
      <c r="K766" s="379"/>
      <c r="L766" s="387"/>
      <c r="M766" s="380" t="str">
        <f t="array" ref="M766">IF(L766="","",(MAX(IF(AN$15:AN$144=B766,AO$15:AO$144))/60))</f>
        <v/>
      </c>
      <c r="N766" s="387"/>
      <c r="O766" s="387"/>
      <c r="P766" s="381" t="str">
        <f t="shared" si="45"/>
        <v/>
      </c>
      <c r="Q766" s="382" t="str">
        <f t="array" ref="Q766">IFERROR(INDEX($D$13:$D$1000,MATCH(0,COUNTIF($Q$13:Q765,$D$13:$D$1000&amp;"")+IF($D$13:$D$1000="",1,0),0)),"")</f>
        <v/>
      </c>
      <c r="R766" s="356" t="str">
        <f t="shared" si="46"/>
        <v/>
      </c>
      <c r="S766" s="383" t="str">
        <f t="shared" si="48"/>
        <v/>
      </c>
      <c r="T766" s="384" t="str">
        <f t="shared" si="47"/>
        <v/>
      </c>
      <c r="V766" s="385"/>
      <c r="W766" s="385"/>
      <c r="X766" s="386"/>
    </row>
    <row r="767" spans="2:24">
      <c r="B767" s="395"/>
      <c r="C767" s="371"/>
      <c r="D767" s="372" t="str">
        <f>IFERROR(INDEX('[12]Equipment List'!$B$2:$B$2038,MATCH(E767,'[12]Equipment List'!$A$2:$A$2038,0)),"")</f>
        <v/>
      </c>
      <c r="E767" s="388"/>
      <c r="F767" s="374"/>
      <c r="G767" s="375"/>
      <c r="H767" s="397"/>
      <c r="I767" s="377"/>
      <c r="J767" s="378"/>
      <c r="K767" s="379"/>
      <c r="L767" s="387"/>
      <c r="M767" s="380" t="str">
        <f t="array" ref="M767">IF(L767="","",(MAX(IF(AN$15:AN$144=B767,AO$15:AO$144))/60))</f>
        <v/>
      </c>
      <c r="N767" s="387"/>
      <c r="O767" s="387"/>
      <c r="P767" s="381" t="str">
        <f t="shared" si="45"/>
        <v/>
      </c>
      <c r="Q767" s="382" t="str">
        <f t="array" ref="Q767">IFERROR(INDEX($D$13:$D$1000,MATCH(0,COUNTIF($Q$13:Q766,$D$13:$D$1000&amp;"")+IF($D$13:$D$1000="",1,0),0)),"")</f>
        <v/>
      </c>
      <c r="R767" s="356" t="str">
        <f t="shared" si="46"/>
        <v/>
      </c>
      <c r="S767" s="383" t="str">
        <f t="shared" si="48"/>
        <v/>
      </c>
      <c r="T767" s="384" t="str">
        <f t="shared" si="47"/>
        <v/>
      </c>
      <c r="V767" s="385"/>
      <c r="W767" s="385"/>
      <c r="X767" s="386"/>
    </row>
    <row r="768" spans="2:24">
      <c r="B768" s="395"/>
      <c r="C768" s="371"/>
      <c r="D768" s="372" t="str">
        <f>IFERROR(INDEX('[12]Equipment List'!$B$2:$B$2038,MATCH(E768,'[12]Equipment List'!$A$2:$A$2038,0)),"")</f>
        <v/>
      </c>
      <c r="E768" s="388"/>
      <c r="F768" s="374"/>
      <c r="G768" s="375"/>
      <c r="H768" s="397"/>
      <c r="I768" s="377"/>
      <c r="J768" s="378"/>
      <c r="K768" s="379"/>
      <c r="L768" s="387"/>
      <c r="M768" s="380" t="str">
        <f t="array" ref="M768">IF(L768="","",(MAX(IF(AN$15:AN$144=B768,AO$15:AO$144))/60))</f>
        <v/>
      </c>
      <c r="N768" s="387"/>
      <c r="O768" s="387"/>
      <c r="P768" s="381" t="str">
        <f t="shared" si="45"/>
        <v/>
      </c>
      <c r="Q768" s="382" t="str">
        <f t="array" ref="Q768">IFERROR(INDEX($D$13:$D$1000,MATCH(0,COUNTIF($Q$13:Q767,$D$13:$D$1000&amp;"")+IF($D$13:$D$1000="",1,0),0)),"")</f>
        <v/>
      </c>
      <c r="R768" s="356" t="str">
        <f t="shared" si="46"/>
        <v/>
      </c>
      <c r="S768" s="383" t="str">
        <f t="shared" si="48"/>
        <v/>
      </c>
      <c r="T768" s="384" t="str">
        <f t="shared" si="47"/>
        <v/>
      </c>
      <c r="V768" s="385"/>
      <c r="W768" s="385"/>
      <c r="X768" s="386"/>
    </row>
    <row r="769" spans="2:24">
      <c r="B769" s="395"/>
      <c r="C769" s="371"/>
      <c r="D769" s="372" t="str">
        <f>IFERROR(INDEX('[12]Equipment List'!$B$2:$B$2038,MATCH(E769,'[12]Equipment List'!$A$2:$A$2038,0)),"")</f>
        <v/>
      </c>
      <c r="E769" s="388"/>
      <c r="F769" s="374"/>
      <c r="G769" s="375"/>
      <c r="H769" s="397"/>
      <c r="I769" s="377"/>
      <c r="J769" s="378"/>
      <c r="K769" s="379"/>
      <c r="L769" s="387"/>
      <c r="M769" s="380" t="str">
        <f t="array" ref="M769">IF(L769="","",(MAX(IF(AN$15:AN$144=B769,AO$15:AO$144))/60))</f>
        <v/>
      </c>
      <c r="N769" s="387"/>
      <c r="O769" s="387"/>
      <c r="P769" s="381" t="str">
        <f t="shared" si="45"/>
        <v/>
      </c>
      <c r="Q769" s="382" t="str">
        <f t="array" ref="Q769">IFERROR(INDEX($D$13:$D$1000,MATCH(0,COUNTIF($Q$13:Q768,$D$13:$D$1000&amp;"")+IF($D$13:$D$1000="",1,0),0)),"")</f>
        <v/>
      </c>
      <c r="R769" s="356" t="str">
        <f t="shared" si="46"/>
        <v/>
      </c>
      <c r="S769" s="383" t="str">
        <f t="shared" si="48"/>
        <v/>
      </c>
      <c r="T769" s="384" t="str">
        <f t="shared" si="47"/>
        <v/>
      </c>
      <c r="V769" s="385"/>
      <c r="W769" s="385"/>
      <c r="X769" s="386"/>
    </row>
    <row r="770" spans="2:24">
      <c r="B770" s="395"/>
      <c r="C770" s="371"/>
      <c r="D770" s="372" t="str">
        <f>IFERROR(INDEX('[12]Equipment List'!$B$2:$B$2038,MATCH(E770,'[12]Equipment List'!$A$2:$A$2038,0)),"")</f>
        <v/>
      </c>
      <c r="E770" s="388"/>
      <c r="F770" s="374"/>
      <c r="G770" s="375"/>
      <c r="H770" s="397"/>
      <c r="I770" s="377"/>
      <c r="J770" s="378"/>
      <c r="K770" s="379"/>
      <c r="L770" s="387"/>
      <c r="M770" s="380" t="str">
        <f t="array" ref="M770">IF(L770="","",(MAX(IF(AN$15:AN$144=B770,AO$15:AO$144))/60))</f>
        <v/>
      </c>
      <c r="N770" s="387"/>
      <c r="O770" s="387"/>
      <c r="P770" s="381" t="str">
        <f t="shared" si="45"/>
        <v/>
      </c>
      <c r="Q770" s="382" t="str">
        <f t="array" ref="Q770">IFERROR(INDEX($D$13:$D$1000,MATCH(0,COUNTIF($Q$13:Q769,$D$13:$D$1000&amp;"")+IF($D$13:$D$1000="",1,0),0)),"")</f>
        <v/>
      </c>
      <c r="R770" s="356" t="str">
        <f t="shared" si="46"/>
        <v/>
      </c>
      <c r="S770" s="383" t="str">
        <f t="shared" si="48"/>
        <v/>
      </c>
      <c r="T770" s="384" t="str">
        <f t="shared" si="47"/>
        <v/>
      </c>
      <c r="V770" s="385"/>
      <c r="W770" s="385"/>
      <c r="X770" s="386"/>
    </row>
    <row r="771" spans="2:24">
      <c r="B771" s="395"/>
      <c r="C771" s="371"/>
      <c r="D771" s="372" t="str">
        <f>IFERROR(INDEX('[12]Equipment List'!$B$2:$B$2038,MATCH(E771,'[12]Equipment List'!$A$2:$A$2038,0)),"")</f>
        <v/>
      </c>
      <c r="E771" s="388"/>
      <c r="F771" s="374"/>
      <c r="G771" s="375"/>
      <c r="H771" s="397"/>
      <c r="I771" s="377"/>
      <c r="J771" s="378"/>
      <c r="K771" s="379"/>
      <c r="L771" s="387"/>
      <c r="M771" s="380" t="str">
        <f t="array" ref="M771">IF(L771="","",(MAX(IF(AN$15:AN$144=B771,AO$15:AO$144))/60))</f>
        <v/>
      </c>
      <c r="N771" s="387"/>
      <c r="O771" s="387"/>
      <c r="P771" s="381" t="str">
        <f t="shared" si="45"/>
        <v/>
      </c>
      <c r="Q771" s="382" t="str">
        <f t="array" ref="Q771">IFERROR(INDEX($D$13:$D$1000,MATCH(0,COUNTIF($Q$13:Q770,$D$13:$D$1000&amp;"")+IF($D$13:$D$1000="",1,0),0)),"")</f>
        <v/>
      </c>
      <c r="R771" s="356" t="str">
        <f t="shared" si="46"/>
        <v/>
      </c>
      <c r="S771" s="383" t="str">
        <f t="shared" si="48"/>
        <v/>
      </c>
      <c r="T771" s="384" t="str">
        <f t="shared" si="47"/>
        <v/>
      </c>
      <c r="V771" s="385"/>
      <c r="W771" s="385"/>
      <c r="X771" s="386"/>
    </row>
    <row r="772" spans="2:24">
      <c r="B772" s="395"/>
      <c r="C772" s="371"/>
      <c r="D772" s="372" t="str">
        <f>IFERROR(INDEX('[12]Equipment List'!$B$2:$B$2038,MATCH(E772,'[12]Equipment List'!$A$2:$A$2038,0)),"")</f>
        <v/>
      </c>
      <c r="E772" s="388"/>
      <c r="F772" s="374"/>
      <c r="G772" s="375"/>
      <c r="H772" s="397"/>
      <c r="I772" s="377"/>
      <c r="J772" s="378"/>
      <c r="K772" s="379"/>
      <c r="L772" s="387"/>
      <c r="M772" s="380" t="str">
        <f t="array" ref="M772">IF(L772="","",(MAX(IF(AN$15:AN$144=B772,AO$15:AO$144))/60))</f>
        <v/>
      </c>
      <c r="N772" s="387"/>
      <c r="O772" s="387"/>
      <c r="P772" s="381" t="str">
        <f t="shared" si="45"/>
        <v/>
      </c>
      <c r="Q772" s="382" t="str">
        <f t="array" ref="Q772">IFERROR(INDEX($D$13:$D$1000,MATCH(0,COUNTIF($Q$13:Q771,$D$13:$D$1000&amp;"")+IF($D$13:$D$1000="",1,0),0)),"")</f>
        <v/>
      </c>
      <c r="R772" s="356" t="str">
        <f t="shared" si="46"/>
        <v/>
      </c>
      <c r="S772" s="383" t="str">
        <f t="shared" si="48"/>
        <v/>
      </c>
      <c r="T772" s="384" t="str">
        <f t="shared" si="47"/>
        <v/>
      </c>
      <c r="V772" s="385"/>
      <c r="W772" s="385"/>
      <c r="X772" s="386"/>
    </row>
    <row r="773" spans="2:24">
      <c r="B773" s="395"/>
      <c r="C773" s="371"/>
      <c r="D773" s="372" t="str">
        <f>IFERROR(INDEX('[12]Equipment List'!$B$2:$B$2038,MATCH(E773,'[12]Equipment List'!$A$2:$A$2038,0)),"")</f>
        <v/>
      </c>
      <c r="E773" s="388"/>
      <c r="F773" s="374"/>
      <c r="G773" s="375"/>
      <c r="H773" s="397"/>
      <c r="I773" s="377"/>
      <c r="J773" s="378"/>
      <c r="K773" s="379"/>
      <c r="L773" s="387"/>
      <c r="M773" s="380" t="str">
        <f t="array" ref="M773">IF(L773="","",(MAX(IF(AN$15:AN$144=B773,AO$15:AO$144))/60))</f>
        <v/>
      </c>
      <c r="N773" s="387"/>
      <c r="O773" s="387"/>
      <c r="P773" s="381" t="str">
        <f t="shared" si="45"/>
        <v/>
      </c>
      <c r="Q773" s="382" t="str">
        <f t="array" ref="Q773">IFERROR(INDEX($D$13:$D$1000,MATCH(0,COUNTIF($Q$13:Q772,$D$13:$D$1000&amp;"")+IF($D$13:$D$1000="",1,0),0)),"")</f>
        <v/>
      </c>
      <c r="R773" s="356" t="str">
        <f t="shared" si="46"/>
        <v/>
      </c>
      <c r="S773" s="383" t="str">
        <f t="shared" si="48"/>
        <v/>
      </c>
      <c r="T773" s="384" t="str">
        <f t="shared" si="47"/>
        <v/>
      </c>
      <c r="V773" s="385"/>
      <c r="W773" s="385"/>
      <c r="X773" s="386"/>
    </row>
    <row r="774" spans="2:24">
      <c r="B774" s="395"/>
      <c r="C774" s="371"/>
      <c r="D774" s="372" t="str">
        <f>IFERROR(INDEX('[12]Equipment List'!$B$2:$B$2038,MATCH(E774,'[12]Equipment List'!$A$2:$A$2038,0)),"")</f>
        <v/>
      </c>
      <c r="E774" s="388"/>
      <c r="F774" s="374"/>
      <c r="G774" s="375"/>
      <c r="H774" s="397"/>
      <c r="I774" s="377"/>
      <c r="J774" s="378"/>
      <c r="K774" s="379"/>
      <c r="L774" s="387"/>
      <c r="M774" s="380" t="str">
        <f t="array" ref="M774">IF(L774="","",(MAX(IF(AN$15:AN$144=B774,AO$15:AO$144))/60))</f>
        <v/>
      </c>
      <c r="N774" s="387"/>
      <c r="O774" s="387"/>
      <c r="P774" s="381" t="str">
        <f t="shared" si="45"/>
        <v/>
      </c>
      <c r="Q774" s="382" t="str">
        <f t="array" ref="Q774">IFERROR(INDEX($D$13:$D$1000,MATCH(0,COUNTIF($Q$13:Q773,$D$13:$D$1000&amp;"")+IF($D$13:$D$1000="",1,0),0)),"")</f>
        <v/>
      </c>
      <c r="R774" s="356" t="str">
        <f t="shared" si="46"/>
        <v/>
      </c>
      <c r="S774" s="383" t="str">
        <f t="shared" si="48"/>
        <v/>
      </c>
      <c r="T774" s="384" t="str">
        <f t="shared" si="47"/>
        <v/>
      </c>
      <c r="V774" s="385"/>
      <c r="W774" s="385"/>
      <c r="X774" s="386"/>
    </row>
    <row r="775" spans="2:24">
      <c r="B775" s="395"/>
      <c r="C775" s="371"/>
      <c r="D775" s="372" t="str">
        <f>IFERROR(INDEX('[12]Equipment List'!$B$2:$B$2038,MATCH(E775,'[12]Equipment List'!$A$2:$A$2038,0)),"")</f>
        <v/>
      </c>
      <c r="E775" s="388"/>
      <c r="F775" s="374"/>
      <c r="G775" s="375"/>
      <c r="H775" s="397"/>
      <c r="I775" s="377"/>
      <c r="J775" s="378"/>
      <c r="K775" s="379"/>
      <c r="L775" s="387"/>
      <c r="M775" s="380" t="str">
        <f t="array" ref="M775">IF(L775="","",(MAX(IF(AN$15:AN$144=B775,AO$15:AO$144))/60))</f>
        <v/>
      </c>
      <c r="N775" s="387"/>
      <c r="O775" s="387"/>
      <c r="P775" s="381" t="str">
        <f t="shared" si="45"/>
        <v/>
      </c>
      <c r="Q775" s="382" t="str">
        <f t="array" ref="Q775">IFERROR(INDEX($D$13:$D$1000,MATCH(0,COUNTIF($Q$13:Q774,$D$13:$D$1000&amp;"")+IF($D$13:$D$1000="",1,0),0)),"")</f>
        <v/>
      </c>
      <c r="R775" s="356" t="str">
        <f t="shared" si="46"/>
        <v/>
      </c>
      <c r="S775" s="383" t="str">
        <f t="shared" si="48"/>
        <v/>
      </c>
      <c r="T775" s="384" t="str">
        <f t="shared" si="47"/>
        <v/>
      </c>
      <c r="V775" s="385"/>
      <c r="W775" s="385"/>
      <c r="X775" s="386"/>
    </row>
    <row r="776" spans="2:24">
      <c r="B776" s="395"/>
      <c r="C776" s="371"/>
      <c r="D776" s="372" t="str">
        <f>IFERROR(INDEX('[12]Equipment List'!$B$2:$B$2038,MATCH(E776,'[12]Equipment List'!$A$2:$A$2038,0)),"")</f>
        <v/>
      </c>
      <c r="E776" s="388"/>
      <c r="F776" s="374"/>
      <c r="G776" s="375"/>
      <c r="H776" s="397"/>
      <c r="I776" s="377"/>
      <c r="J776" s="378"/>
      <c r="K776" s="379"/>
      <c r="L776" s="387"/>
      <c r="M776" s="380" t="str">
        <f t="array" ref="M776">IF(L776="","",(MAX(IF(AN$15:AN$144=B776,AO$15:AO$144))/60))</f>
        <v/>
      </c>
      <c r="N776" s="387"/>
      <c r="O776" s="387"/>
      <c r="P776" s="381" t="str">
        <f t="shared" si="45"/>
        <v/>
      </c>
      <c r="Q776" s="382" t="str">
        <f t="array" ref="Q776">IFERROR(INDEX($D$13:$D$1000,MATCH(0,COUNTIF($Q$13:Q775,$D$13:$D$1000&amp;"")+IF($D$13:$D$1000="",1,0),0)),"")</f>
        <v/>
      </c>
      <c r="R776" s="356" t="str">
        <f t="shared" si="46"/>
        <v/>
      </c>
      <c r="S776" s="383" t="str">
        <f t="shared" si="48"/>
        <v/>
      </c>
      <c r="T776" s="384" t="str">
        <f t="shared" si="47"/>
        <v/>
      </c>
      <c r="V776" s="385"/>
      <c r="W776" s="385"/>
      <c r="X776" s="386"/>
    </row>
    <row r="777" spans="2:24">
      <c r="B777" s="395"/>
      <c r="C777" s="371"/>
      <c r="D777" s="372" t="str">
        <f>IFERROR(INDEX('[12]Equipment List'!$B$2:$B$2038,MATCH(E777,'[12]Equipment List'!$A$2:$A$2038,0)),"")</f>
        <v/>
      </c>
      <c r="E777" s="388"/>
      <c r="F777" s="374"/>
      <c r="G777" s="375"/>
      <c r="H777" s="397"/>
      <c r="I777" s="377"/>
      <c r="J777" s="378"/>
      <c r="K777" s="379"/>
      <c r="L777" s="387"/>
      <c r="M777" s="380" t="str">
        <f t="array" ref="M777">IF(L777="","",(MAX(IF(AN$15:AN$144=B777,AO$15:AO$144))/60))</f>
        <v/>
      </c>
      <c r="N777" s="387"/>
      <c r="O777" s="387"/>
      <c r="P777" s="381" t="str">
        <f t="shared" si="45"/>
        <v/>
      </c>
      <c r="Q777" s="382" t="str">
        <f t="array" ref="Q777">IFERROR(INDEX($D$13:$D$1000,MATCH(0,COUNTIF($Q$13:Q776,$D$13:$D$1000&amp;"")+IF($D$13:$D$1000="",1,0),0)),"")</f>
        <v/>
      </c>
      <c r="R777" s="356" t="str">
        <f t="shared" si="46"/>
        <v/>
      </c>
      <c r="S777" s="383" t="str">
        <f t="shared" si="48"/>
        <v/>
      </c>
      <c r="T777" s="384" t="str">
        <f t="shared" si="47"/>
        <v/>
      </c>
      <c r="V777" s="385"/>
      <c r="W777" s="385"/>
      <c r="X777" s="386"/>
    </row>
    <row r="778" spans="2:24">
      <c r="B778" s="395"/>
      <c r="C778" s="371"/>
      <c r="D778" s="372" t="str">
        <f>IFERROR(INDEX('[12]Equipment List'!$B$2:$B$2038,MATCH(E778,'[12]Equipment List'!$A$2:$A$2038,0)),"")</f>
        <v/>
      </c>
      <c r="E778" s="388"/>
      <c r="F778" s="374"/>
      <c r="G778" s="375"/>
      <c r="H778" s="397"/>
      <c r="I778" s="377"/>
      <c r="J778" s="378"/>
      <c r="K778" s="379"/>
      <c r="L778" s="387"/>
      <c r="M778" s="380" t="str">
        <f t="array" ref="M778">IF(L778="","",(MAX(IF(AN$15:AN$144=B778,AO$15:AO$144))/60))</f>
        <v/>
      </c>
      <c r="N778" s="387"/>
      <c r="O778" s="387"/>
      <c r="P778" s="381" t="str">
        <f t="shared" si="45"/>
        <v/>
      </c>
      <c r="Q778" s="382" t="str">
        <f t="array" ref="Q778">IFERROR(INDEX($D$13:$D$1000,MATCH(0,COUNTIF($Q$13:Q777,$D$13:$D$1000&amp;"")+IF($D$13:$D$1000="",1,0),0)),"")</f>
        <v/>
      </c>
      <c r="R778" s="356" t="str">
        <f t="shared" si="46"/>
        <v/>
      </c>
      <c r="S778" s="383" t="str">
        <f t="shared" si="48"/>
        <v/>
      </c>
      <c r="T778" s="384" t="str">
        <f t="shared" si="47"/>
        <v/>
      </c>
      <c r="V778" s="385"/>
      <c r="W778" s="385"/>
      <c r="X778" s="386"/>
    </row>
    <row r="779" spans="2:24">
      <c r="B779" s="395"/>
      <c r="C779" s="371"/>
      <c r="D779" s="372" t="str">
        <f>IFERROR(INDEX('[12]Equipment List'!$B$2:$B$2038,MATCH(E779,'[12]Equipment List'!$A$2:$A$2038,0)),"")</f>
        <v/>
      </c>
      <c r="E779" s="388"/>
      <c r="F779" s="374"/>
      <c r="G779" s="375"/>
      <c r="H779" s="397"/>
      <c r="I779" s="377"/>
      <c r="J779" s="378"/>
      <c r="K779" s="379"/>
      <c r="L779" s="387"/>
      <c r="M779" s="380" t="str">
        <f t="array" ref="M779">IF(L779="","",(MAX(IF(AN$15:AN$144=B779,AO$15:AO$144))/60))</f>
        <v/>
      </c>
      <c r="N779" s="387"/>
      <c r="O779" s="387"/>
      <c r="P779" s="381" t="str">
        <f t="shared" si="45"/>
        <v/>
      </c>
      <c r="Q779" s="382" t="str">
        <f t="array" ref="Q779">IFERROR(INDEX($D$13:$D$1000,MATCH(0,COUNTIF($Q$13:Q778,$D$13:$D$1000&amp;"")+IF($D$13:$D$1000="",1,0),0)),"")</f>
        <v/>
      </c>
      <c r="R779" s="356" t="str">
        <f t="shared" si="46"/>
        <v/>
      </c>
      <c r="S779" s="383" t="str">
        <f t="shared" si="48"/>
        <v/>
      </c>
      <c r="T779" s="384" t="str">
        <f t="shared" si="47"/>
        <v/>
      </c>
      <c r="V779" s="385"/>
      <c r="W779" s="385"/>
      <c r="X779" s="386"/>
    </row>
    <row r="780" spans="2:24">
      <c r="B780" s="395"/>
      <c r="C780" s="371"/>
      <c r="D780" s="372" t="str">
        <f>IFERROR(INDEX('[12]Equipment List'!$B$2:$B$2038,MATCH(E780,'[12]Equipment List'!$A$2:$A$2038,0)),"")</f>
        <v/>
      </c>
      <c r="E780" s="388"/>
      <c r="F780" s="374"/>
      <c r="G780" s="375"/>
      <c r="H780" s="397"/>
      <c r="I780" s="377"/>
      <c r="J780" s="378"/>
      <c r="K780" s="379"/>
      <c r="L780" s="387"/>
      <c r="M780" s="380" t="str">
        <f t="array" ref="M780">IF(L780="","",(MAX(IF(AN$15:AN$144=B780,AO$15:AO$144))/60))</f>
        <v/>
      </c>
      <c r="N780" s="387"/>
      <c r="O780" s="387"/>
      <c r="P780" s="381" t="str">
        <f t="shared" ref="P780:P843" si="49">IFERROR((((K780/5/250/$F$8)+(N780*$F$9))/$S$4)*(M780/60),"")</f>
        <v/>
      </c>
      <c r="Q780" s="382" t="str">
        <f t="array" ref="Q780">IFERROR(INDEX($D$13:$D$1000,MATCH(0,COUNTIF($Q$13:Q779,$D$13:$D$1000&amp;"")+IF($D$13:$D$1000="",1,0),0)),"")</f>
        <v/>
      </c>
      <c r="R780" s="356" t="str">
        <f t="shared" si="46"/>
        <v/>
      </c>
      <c r="S780" s="383" t="str">
        <f t="shared" si="48"/>
        <v/>
      </c>
      <c r="T780" s="384" t="str">
        <f t="shared" si="47"/>
        <v/>
      </c>
      <c r="V780" s="385"/>
      <c r="W780" s="385"/>
      <c r="X780" s="386"/>
    </row>
    <row r="781" spans="2:24">
      <c r="B781" s="395"/>
      <c r="C781" s="371"/>
      <c r="D781" s="372" t="str">
        <f>IFERROR(INDEX('[12]Equipment List'!$B$2:$B$2038,MATCH(E781,'[12]Equipment List'!$A$2:$A$2038,0)),"")</f>
        <v/>
      </c>
      <c r="E781" s="388"/>
      <c r="F781" s="374"/>
      <c r="G781" s="375"/>
      <c r="H781" s="397"/>
      <c r="I781" s="377"/>
      <c r="J781" s="378"/>
      <c r="K781" s="379"/>
      <c r="L781" s="387"/>
      <c r="M781" s="380" t="str">
        <f t="array" ref="M781">IF(L781="","",(MAX(IF(AN$15:AN$144=B781,AO$15:AO$144))/60))</f>
        <v/>
      </c>
      <c r="N781" s="387"/>
      <c r="O781" s="387"/>
      <c r="P781" s="381" t="str">
        <f t="shared" si="49"/>
        <v/>
      </c>
      <c r="Q781" s="382" t="str">
        <f t="array" ref="Q781">IFERROR(INDEX($D$13:$D$1000,MATCH(0,COUNTIF($Q$13:Q780,$D$13:$D$1000&amp;"")+IF($D$13:$D$1000="",1,0),0)),"")</f>
        <v/>
      </c>
      <c r="R781" s="356" t="str">
        <f t="shared" ref="R781:R844" si="50">IF(Q781="","",COUNTIF($D$13:$D$1000,$Q781))</f>
        <v/>
      </c>
      <c r="S781" s="383" t="str">
        <f t="shared" si="48"/>
        <v/>
      </c>
      <c r="T781" s="384" t="str">
        <f t="shared" ref="T781:T844" si="51">IF($Q781="","",SUMIF($D$13:$D$1000,$Q781,N$13:N$1000))</f>
        <v/>
      </c>
      <c r="V781" s="385"/>
      <c r="W781" s="385"/>
      <c r="X781" s="386"/>
    </row>
    <row r="782" spans="2:24">
      <c r="B782" s="395"/>
      <c r="C782" s="371"/>
      <c r="D782" s="372" t="str">
        <f>IFERROR(INDEX('[12]Equipment List'!$B$2:$B$2038,MATCH(E782,'[12]Equipment List'!$A$2:$A$2038,0)),"")</f>
        <v/>
      </c>
      <c r="E782" s="388"/>
      <c r="F782" s="374"/>
      <c r="G782" s="375"/>
      <c r="H782" s="397"/>
      <c r="I782" s="377"/>
      <c r="J782" s="378"/>
      <c r="K782" s="379"/>
      <c r="L782" s="387"/>
      <c r="M782" s="380" t="str">
        <f t="array" ref="M782">IF(L782="","",(MAX(IF(AN$15:AN$144=B782,AO$15:AO$144))/60))</f>
        <v/>
      </c>
      <c r="N782" s="387"/>
      <c r="O782" s="387"/>
      <c r="P782" s="381" t="str">
        <f t="shared" si="49"/>
        <v/>
      </c>
      <c r="Q782" s="382" t="str">
        <f t="array" ref="Q782">IFERROR(INDEX($D$13:$D$1000,MATCH(0,COUNTIF($Q$13:Q781,$D$13:$D$1000&amp;"")+IF($D$13:$D$1000="",1,0),0)),"")</f>
        <v/>
      </c>
      <c r="R782" s="356" t="str">
        <f t="shared" si="50"/>
        <v/>
      </c>
      <c r="S782" s="383" t="str">
        <f t="shared" si="48"/>
        <v/>
      </c>
      <c r="T782" s="384" t="str">
        <f t="shared" si="51"/>
        <v/>
      </c>
      <c r="V782" s="385"/>
      <c r="W782" s="385"/>
      <c r="X782" s="386"/>
    </row>
    <row r="783" spans="2:24">
      <c r="B783" s="395"/>
      <c r="C783" s="371"/>
      <c r="D783" s="372" t="str">
        <f>IFERROR(INDEX('[12]Equipment List'!$B$2:$B$2038,MATCH(E783,'[12]Equipment List'!$A$2:$A$2038,0)),"")</f>
        <v/>
      </c>
      <c r="E783" s="388"/>
      <c r="F783" s="374"/>
      <c r="G783" s="375"/>
      <c r="H783" s="397"/>
      <c r="I783" s="377"/>
      <c r="J783" s="378"/>
      <c r="K783" s="379"/>
      <c r="L783" s="387"/>
      <c r="M783" s="380" t="str">
        <f t="array" ref="M783">IF(L783="","",(MAX(IF(AN$15:AN$144=B783,AO$15:AO$144))/60))</f>
        <v/>
      </c>
      <c r="N783" s="387"/>
      <c r="O783" s="387"/>
      <c r="P783" s="381" t="str">
        <f t="shared" si="49"/>
        <v/>
      </c>
      <c r="Q783" s="382" t="str">
        <f t="array" ref="Q783">IFERROR(INDEX($D$13:$D$1000,MATCH(0,COUNTIF($Q$13:Q782,$D$13:$D$1000&amp;"")+IF($D$13:$D$1000="",1,0),0)),"")</f>
        <v/>
      </c>
      <c r="R783" s="356" t="str">
        <f t="shared" si="50"/>
        <v/>
      </c>
      <c r="S783" s="383" t="str">
        <f t="shared" si="48"/>
        <v/>
      </c>
      <c r="T783" s="384" t="str">
        <f t="shared" si="51"/>
        <v/>
      </c>
      <c r="V783" s="385"/>
      <c r="W783" s="385"/>
      <c r="X783" s="386"/>
    </row>
    <row r="784" spans="2:24">
      <c r="B784" s="395"/>
      <c r="C784" s="371"/>
      <c r="D784" s="372" t="str">
        <f>IFERROR(INDEX('[12]Equipment List'!$B$2:$B$2038,MATCH(E784,'[12]Equipment List'!$A$2:$A$2038,0)),"")</f>
        <v/>
      </c>
      <c r="E784" s="388"/>
      <c r="F784" s="374"/>
      <c r="G784" s="375"/>
      <c r="H784" s="397"/>
      <c r="I784" s="377"/>
      <c r="J784" s="378"/>
      <c r="K784" s="379"/>
      <c r="L784" s="387"/>
      <c r="M784" s="380" t="str">
        <f t="array" ref="M784">IF(L784="","",(MAX(IF(AN$15:AN$144=B784,AO$15:AO$144))/60))</f>
        <v/>
      </c>
      <c r="N784" s="387"/>
      <c r="O784" s="387"/>
      <c r="P784" s="381" t="str">
        <f t="shared" si="49"/>
        <v/>
      </c>
      <c r="Q784" s="382" t="str">
        <f t="array" ref="Q784">IFERROR(INDEX($D$13:$D$1000,MATCH(0,COUNTIF($Q$13:Q783,$D$13:$D$1000&amp;"")+IF($D$13:$D$1000="",1,0),0)),"")</f>
        <v/>
      </c>
      <c r="R784" s="356" t="str">
        <f t="shared" si="50"/>
        <v/>
      </c>
      <c r="S784" s="383" t="str">
        <f t="shared" si="48"/>
        <v/>
      </c>
      <c r="T784" s="384" t="str">
        <f t="shared" si="51"/>
        <v/>
      </c>
      <c r="V784" s="385"/>
      <c r="W784" s="385"/>
      <c r="X784" s="386"/>
    </row>
    <row r="785" spans="2:24">
      <c r="B785" s="395"/>
      <c r="C785" s="371"/>
      <c r="D785" s="372" t="str">
        <f>IFERROR(INDEX('[12]Equipment List'!$B$2:$B$2038,MATCH(E785,'[12]Equipment List'!$A$2:$A$2038,0)),"")</f>
        <v/>
      </c>
      <c r="E785" s="388"/>
      <c r="F785" s="374"/>
      <c r="G785" s="375"/>
      <c r="H785" s="397"/>
      <c r="I785" s="377"/>
      <c r="J785" s="378"/>
      <c r="K785" s="379"/>
      <c r="L785" s="387"/>
      <c r="M785" s="380" t="str">
        <f t="array" ref="M785">IF(L785="","",(MAX(IF(AN$15:AN$144=B785,AO$15:AO$144))/60))</f>
        <v/>
      </c>
      <c r="N785" s="387"/>
      <c r="O785" s="387"/>
      <c r="P785" s="381" t="str">
        <f t="shared" si="49"/>
        <v/>
      </c>
      <c r="Q785" s="382" t="str">
        <f t="array" ref="Q785">IFERROR(INDEX($D$13:$D$1000,MATCH(0,COUNTIF($Q$13:Q784,$D$13:$D$1000&amp;"")+IF($D$13:$D$1000="",1,0),0)),"")</f>
        <v/>
      </c>
      <c r="R785" s="356" t="str">
        <f t="shared" si="50"/>
        <v/>
      </c>
      <c r="S785" s="383" t="str">
        <f t="shared" si="48"/>
        <v/>
      </c>
      <c r="T785" s="384" t="str">
        <f t="shared" si="51"/>
        <v/>
      </c>
      <c r="V785" s="385"/>
      <c r="W785" s="385"/>
      <c r="X785" s="386"/>
    </row>
    <row r="786" spans="2:24">
      <c r="B786" s="395"/>
      <c r="C786" s="371"/>
      <c r="D786" s="372" t="str">
        <f>IFERROR(INDEX('[12]Equipment List'!$B$2:$B$2038,MATCH(E786,'[12]Equipment List'!$A$2:$A$2038,0)),"")</f>
        <v/>
      </c>
      <c r="E786" s="388"/>
      <c r="F786" s="374"/>
      <c r="G786" s="375"/>
      <c r="H786" s="397"/>
      <c r="I786" s="377"/>
      <c r="J786" s="378"/>
      <c r="K786" s="379"/>
      <c r="L786" s="387"/>
      <c r="M786" s="380" t="str">
        <f t="array" ref="M786">IF(L786="","",(MAX(IF(AN$15:AN$144=B786,AO$15:AO$144))/60))</f>
        <v/>
      </c>
      <c r="N786" s="387"/>
      <c r="O786" s="387"/>
      <c r="P786" s="381" t="str">
        <f t="shared" si="49"/>
        <v/>
      </c>
      <c r="Q786" s="382" t="str">
        <f t="array" ref="Q786">IFERROR(INDEX($D$13:$D$1000,MATCH(0,COUNTIF($Q$13:Q785,$D$13:$D$1000&amp;"")+IF($D$13:$D$1000="",1,0),0)),"")</f>
        <v/>
      </c>
      <c r="R786" s="356" t="str">
        <f t="shared" si="50"/>
        <v/>
      </c>
      <c r="S786" s="383" t="str">
        <f t="shared" si="48"/>
        <v/>
      </c>
      <c r="T786" s="384" t="str">
        <f t="shared" si="51"/>
        <v/>
      </c>
      <c r="V786" s="385"/>
      <c r="W786" s="385"/>
      <c r="X786" s="386"/>
    </row>
    <row r="787" spans="2:24">
      <c r="B787" s="395"/>
      <c r="C787" s="371"/>
      <c r="D787" s="372" t="str">
        <f>IFERROR(INDEX('[12]Equipment List'!$B$2:$B$2038,MATCH(E787,'[12]Equipment List'!$A$2:$A$2038,0)),"")</f>
        <v/>
      </c>
      <c r="E787" s="388"/>
      <c r="F787" s="374"/>
      <c r="G787" s="375"/>
      <c r="H787" s="397"/>
      <c r="I787" s="377"/>
      <c r="J787" s="378"/>
      <c r="K787" s="379"/>
      <c r="L787" s="387"/>
      <c r="M787" s="380" t="str">
        <f t="array" ref="M787">IF(L787="","",(MAX(IF(AN$15:AN$144=B787,AO$15:AO$144))/60))</f>
        <v/>
      </c>
      <c r="N787" s="387"/>
      <c r="O787" s="387"/>
      <c r="P787" s="381" t="str">
        <f t="shared" si="49"/>
        <v/>
      </c>
      <c r="Q787" s="382" t="str">
        <f t="array" ref="Q787">IFERROR(INDEX($D$13:$D$1000,MATCH(0,COUNTIF($Q$13:Q786,$D$13:$D$1000&amp;"")+IF($D$13:$D$1000="",1,0),0)),"")</f>
        <v/>
      </c>
      <c r="R787" s="356" t="str">
        <f t="shared" si="50"/>
        <v/>
      </c>
      <c r="S787" s="383" t="str">
        <f t="shared" si="48"/>
        <v/>
      </c>
      <c r="T787" s="384" t="str">
        <f t="shared" si="51"/>
        <v/>
      </c>
      <c r="V787" s="385"/>
      <c r="W787" s="385"/>
      <c r="X787" s="386"/>
    </row>
    <row r="788" spans="2:24">
      <c r="B788" s="395"/>
      <c r="C788" s="371"/>
      <c r="D788" s="372" t="str">
        <f>IFERROR(INDEX('[12]Equipment List'!$B$2:$B$2038,MATCH(E788,'[12]Equipment List'!$A$2:$A$2038,0)),"")</f>
        <v/>
      </c>
      <c r="E788" s="388"/>
      <c r="F788" s="374"/>
      <c r="G788" s="375"/>
      <c r="H788" s="397"/>
      <c r="I788" s="377"/>
      <c r="J788" s="378"/>
      <c r="K788" s="379"/>
      <c r="L788" s="387"/>
      <c r="M788" s="380" t="str">
        <f t="array" ref="M788">IF(L788="","",(MAX(IF(AN$15:AN$144=B788,AO$15:AO$144))/60))</f>
        <v/>
      </c>
      <c r="N788" s="387"/>
      <c r="O788" s="387"/>
      <c r="P788" s="381" t="str">
        <f t="shared" si="49"/>
        <v/>
      </c>
      <c r="Q788" s="382" t="str">
        <f t="array" ref="Q788">IFERROR(INDEX($D$13:$D$1000,MATCH(0,COUNTIF($Q$13:Q787,$D$13:$D$1000&amp;"")+IF($D$13:$D$1000="",1,0),0)),"")</f>
        <v/>
      </c>
      <c r="R788" s="356" t="str">
        <f t="shared" si="50"/>
        <v/>
      </c>
      <c r="S788" s="383" t="str">
        <f t="shared" si="48"/>
        <v/>
      </c>
      <c r="T788" s="384" t="str">
        <f t="shared" si="51"/>
        <v/>
      </c>
      <c r="V788" s="385"/>
      <c r="W788" s="385"/>
      <c r="X788" s="386"/>
    </row>
    <row r="789" spans="2:24">
      <c r="B789" s="395"/>
      <c r="C789" s="371"/>
      <c r="D789" s="372" t="str">
        <f>IFERROR(INDEX('[12]Equipment List'!$B$2:$B$2038,MATCH(E789,'[12]Equipment List'!$A$2:$A$2038,0)),"")</f>
        <v/>
      </c>
      <c r="E789" s="388"/>
      <c r="F789" s="374"/>
      <c r="G789" s="375"/>
      <c r="H789" s="397"/>
      <c r="I789" s="377"/>
      <c r="J789" s="378"/>
      <c r="K789" s="379"/>
      <c r="L789" s="387"/>
      <c r="M789" s="380" t="str">
        <f t="array" ref="M789">IF(L789="","",(MAX(IF(AN$15:AN$144=B789,AO$15:AO$144))/60))</f>
        <v/>
      </c>
      <c r="N789" s="387"/>
      <c r="O789" s="387"/>
      <c r="P789" s="381" t="str">
        <f t="shared" si="49"/>
        <v/>
      </c>
      <c r="Q789" s="382" t="str">
        <f t="array" ref="Q789">IFERROR(INDEX($D$13:$D$1000,MATCH(0,COUNTIF($Q$13:Q788,$D$13:$D$1000&amp;"")+IF($D$13:$D$1000="",1,0),0)),"")</f>
        <v/>
      </c>
      <c r="R789" s="356" t="str">
        <f t="shared" si="50"/>
        <v/>
      </c>
      <c r="S789" s="383" t="str">
        <f t="shared" si="48"/>
        <v/>
      </c>
      <c r="T789" s="384" t="str">
        <f t="shared" si="51"/>
        <v/>
      </c>
      <c r="V789" s="385"/>
      <c r="W789" s="385"/>
      <c r="X789" s="386"/>
    </row>
    <row r="790" spans="2:24">
      <c r="B790" s="395"/>
      <c r="C790" s="371"/>
      <c r="D790" s="372" t="str">
        <f>IFERROR(INDEX('[12]Equipment List'!$B$2:$B$2038,MATCH(E790,'[12]Equipment List'!$A$2:$A$2038,0)),"")</f>
        <v/>
      </c>
      <c r="E790" s="388"/>
      <c r="F790" s="374"/>
      <c r="G790" s="375"/>
      <c r="H790" s="397"/>
      <c r="I790" s="377"/>
      <c r="J790" s="378"/>
      <c r="K790" s="379"/>
      <c r="L790" s="387"/>
      <c r="M790" s="380" t="str">
        <f t="array" ref="M790">IF(L790="","",(MAX(IF(AN$15:AN$144=B790,AO$15:AO$144))/60))</f>
        <v/>
      </c>
      <c r="N790" s="387"/>
      <c r="O790" s="387"/>
      <c r="P790" s="381" t="str">
        <f t="shared" si="49"/>
        <v/>
      </c>
      <c r="Q790" s="382" t="str">
        <f t="array" ref="Q790">IFERROR(INDEX($D$13:$D$1000,MATCH(0,COUNTIF($Q$13:Q789,$D$13:$D$1000&amp;"")+IF($D$13:$D$1000="",1,0),0)),"")</f>
        <v/>
      </c>
      <c r="R790" s="356" t="str">
        <f t="shared" si="50"/>
        <v/>
      </c>
      <c r="S790" s="383" t="str">
        <f t="shared" si="48"/>
        <v/>
      </c>
      <c r="T790" s="384" t="str">
        <f t="shared" si="51"/>
        <v/>
      </c>
      <c r="V790" s="385"/>
      <c r="W790" s="385"/>
      <c r="X790" s="386"/>
    </row>
    <row r="791" spans="2:24">
      <c r="B791" s="395"/>
      <c r="C791" s="371"/>
      <c r="D791" s="372" t="str">
        <f>IFERROR(INDEX('[12]Equipment List'!$B$2:$B$2038,MATCH(E791,'[12]Equipment List'!$A$2:$A$2038,0)),"")</f>
        <v/>
      </c>
      <c r="E791" s="388"/>
      <c r="F791" s="374"/>
      <c r="G791" s="375"/>
      <c r="H791" s="397"/>
      <c r="I791" s="377"/>
      <c r="J791" s="378"/>
      <c r="K791" s="379"/>
      <c r="L791" s="387"/>
      <c r="M791" s="380" t="str">
        <f t="array" ref="M791">IF(L791="","",(MAX(IF(AN$15:AN$144=B791,AO$15:AO$144))/60))</f>
        <v/>
      </c>
      <c r="N791" s="387"/>
      <c r="O791" s="387"/>
      <c r="P791" s="381" t="str">
        <f t="shared" si="49"/>
        <v/>
      </c>
      <c r="Q791" s="382" t="str">
        <f t="array" ref="Q791">IFERROR(INDEX($D$13:$D$1000,MATCH(0,COUNTIF($Q$13:Q790,$D$13:$D$1000&amp;"")+IF($D$13:$D$1000="",1,0),0)),"")</f>
        <v/>
      </c>
      <c r="R791" s="356" t="str">
        <f t="shared" si="50"/>
        <v/>
      </c>
      <c r="S791" s="383" t="str">
        <f t="shared" si="48"/>
        <v/>
      </c>
      <c r="T791" s="384" t="str">
        <f t="shared" si="51"/>
        <v/>
      </c>
      <c r="V791" s="385"/>
      <c r="W791" s="385"/>
      <c r="X791" s="386"/>
    </row>
    <row r="792" spans="2:24">
      <c r="B792" s="395"/>
      <c r="C792" s="371"/>
      <c r="D792" s="372" t="str">
        <f>IFERROR(INDEX('[12]Equipment List'!$B$2:$B$2038,MATCH(E792,'[12]Equipment List'!$A$2:$A$2038,0)),"")</f>
        <v/>
      </c>
      <c r="E792" s="388"/>
      <c r="F792" s="374"/>
      <c r="G792" s="375"/>
      <c r="H792" s="397"/>
      <c r="I792" s="377"/>
      <c r="J792" s="378"/>
      <c r="K792" s="379"/>
      <c r="L792" s="387"/>
      <c r="M792" s="380" t="str">
        <f t="array" ref="M792">IF(L792="","",(MAX(IF(AN$15:AN$144=B792,AO$15:AO$144))/60))</f>
        <v/>
      </c>
      <c r="N792" s="387"/>
      <c r="O792" s="387"/>
      <c r="P792" s="381" t="str">
        <f t="shared" si="49"/>
        <v/>
      </c>
      <c r="Q792" s="382" t="str">
        <f t="array" ref="Q792">IFERROR(INDEX($D$13:$D$1000,MATCH(0,COUNTIF($Q$13:Q791,$D$13:$D$1000&amp;"")+IF($D$13:$D$1000="",1,0),0)),"")</f>
        <v/>
      </c>
      <c r="R792" s="356" t="str">
        <f t="shared" si="50"/>
        <v/>
      </c>
      <c r="S792" s="383" t="str">
        <f t="shared" si="48"/>
        <v/>
      </c>
      <c r="T792" s="384" t="str">
        <f t="shared" si="51"/>
        <v/>
      </c>
      <c r="V792" s="385"/>
      <c r="W792" s="385"/>
      <c r="X792" s="386"/>
    </row>
    <row r="793" spans="2:24">
      <c r="B793" s="395"/>
      <c r="C793" s="371"/>
      <c r="D793" s="372" t="str">
        <f>IFERROR(INDEX('[12]Equipment List'!$B$2:$B$2038,MATCH(E793,'[12]Equipment List'!$A$2:$A$2038,0)),"")</f>
        <v/>
      </c>
      <c r="E793" s="388"/>
      <c r="F793" s="374"/>
      <c r="G793" s="375"/>
      <c r="H793" s="397"/>
      <c r="I793" s="377"/>
      <c r="J793" s="378"/>
      <c r="K793" s="379"/>
      <c r="L793" s="387"/>
      <c r="M793" s="380" t="str">
        <f t="array" ref="M793">IF(L793="","",(MAX(IF(AN$15:AN$144=B793,AO$15:AO$144))/60))</f>
        <v/>
      </c>
      <c r="N793" s="387"/>
      <c r="O793" s="387"/>
      <c r="P793" s="381" t="str">
        <f t="shared" si="49"/>
        <v/>
      </c>
      <c r="Q793" s="382" t="str">
        <f t="array" ref="Q793">IFERROR(INDEX($D$13:$D$1000,MATCH(0,COUNTIF($Q$13:Q792,$D$13:$D$1000&amp;"")+IF($D$13:$D$1000="",1,0),0)),"")</f>
        <v/>
      </c>
      <c r="R793" s="356" t="str">
        <f t="shared" si="50"/>
        <v/>
      </c>
      <c r="S793" s="383" t="str">
        <f t="shared" si="48"/>
        <v/>
      </c>
      <c r="T793" s="384" t="str">
        <f t="shared" si="51"/>
        <v/>
      </c>
      <c r="V793" s="385"/>
      <c r="W793" s="385"/>
      <c r="X793" s="386"/>
    </row>
    <row r="794" spans="2:24">
      <c r="B794" s="395"/>
      <c r="C794" s="371"/>
      <c r="D794" s="372" t="str">
        <f>IFERROR(INDEX('[12]Equipment List'!$B$2:$B$2038,MATCH(E794,'[12]Equipment List'!$A$2:$A$2038,0)),"")</f>
        <v/>
      </c>
      <c r="E794" s="388"/>
      <c r="F794" s="374"/>
      <c r="G794" s="375"/>
      <c r="H794" s="397"/>
      <c r="I794" s="377"/>
      <c r="J794" s="378"/>
      <c r="K794" s="379"/>
      <c r="L794" s="387"/>
      <c r="M794" s="380" t="str">
        <f t="array" ref="M794">IF(L794="","",(MAX(IF(AN$15:AN$144=B794,AO$15:AO$144))/60))</f>
        <v/>
      </c>
      <c r="N794" s="387"/>
      <c r="O794" s="387"/>
      <c r="P794" s="381" t="str">
        <f t="shared" si="49"/>
        <v/>
      </c>
      <c r="Q794" s="382" t="str">
        <f t="array" ref="Q794">IFERROR(INDEX($D$13:$D$1000,MATCH(0,COUNTIF($Q$13:Q793,$D$13:$D$1000&amp;"")+IF($D$13:$D$1000="",1,0),0)),"")</f>
        <v/>
      </c>
      <c r="R794" s="356" t="str">
        <f t="shared" si="50"/>
        <v/>
      </c>
      <c r="S794" s="383" t="str">
        <f t="shared" si="48"/>
        <v/>
      </c>
      <c r="T794" s="384" t="str">
        <f t="shared" si="51"/>
        <v/>
      </c>
      <c r="V794" s="385"/>
      <c r="W794" s="385"/>
      <c r="X794" s="386"/>
    </row>
    <row r="795" spans="2:24">
      <c r="B795" s="395"/>
      <c r="C795" s="371"/>
      <c r="D795" s="372" t="str">
        <f>IFERROR(INDEX('[12]Equipment List'!$B$2:$B$2038,MATCH(E795,'[12]Equipment List'!$A$2:$A$2038,0)),"")</f>
        <v/>
      </c>
      <c r="E795" s="388"/>
      <c r="F795" s="374"/>
      <c r="G795" s="375"/>
      <c r="H795" s="397"/>
      <c r="I795" s="377"/>
      <c r="J795" s="378"/>
      <c r="K795" s="379"/>
      <c r="L795" s="387"/>
      <c r="M795" s="380" t="str">
        <f t="array" ref="M795">IF(L795="","",(MAX(IF(AN$15:AN$144=B795,AO$15:AO$144))/60))</f>
        <v/>
      </c>
      <c r="N795" s="387"/>
      <c r="O795" s="387"/>
      <c r="P795" s="381" t="str">
        <f t="shared" si="49"/>
        <v/>
      </c>
      <c r="Q795" s="382" t="str">
        <f t="array" ref="Q795">IFERROR(INDEX($D$13:$D$1000,MATCH(0,COUNTIF($Q$13:Q794,$D$13:$D$1000&amp;"")+IF($D$13:$D$1000="",1,0),0)),"")</f>
        <v/>
      </c>
      <c r="R795" s="356" t="str">
        <f t="shared" si="50"/>
        <v/>
      </c>
      <c r="S795" s="383" t="str">
        <f t="shared" si="48"/>
        <v/>
      </c>
      <c r="T795" s="384" t="str">
        <f t="shared" si="51"/>
        <v/>
      </c>
      <c r="V795" s="385"/>
      <c r="W795" s="385"/>
      <c r="X795" s="386"/>
    </row>
    <row r="796" spans="2:24">
      <c r="B796" s="395"/>
      <c r="C796" s="371"/>
      <c r="D796" s="372" t="str">
        <f>IFERROR(INDEX('[12]Equipment List'!$B$2:$B$2038,MATCH(E796,'[12]Equipment List'!$A$2:$A$2038,0)),"")</f>
        <v/>
      </c>
      <c r="E796" s="388"/>
      <c r="F796" s="374"/>
      <c r="G796" s="375"/>
      <c r="H796" s="397"/>
      <c r="I796" s="377"/>
      <c r="J796" s="378"/>
      <c r="K796" s="379"/>
      <c r="L796" s="387"/>
      <c r="M796" s="380" t="str">
        <f t="array" ref="M796">IF(L796="","",(MAX(IF(AN$15:AN$144=B796,AO$15:AO$144))/60))</f>
        <v/>
      </c>
      <c r="N796" s="387"/>
      <c r="O796" s="387"/>
      <c r="P796" s="381" t="str">
        <f t="shared" si="49"/>
        <v/>
      </c>
      <c r="Q796" s="382" t="str">
        <f t="array" ref="Q796">IFERROR(INDEX($D$13:$D$1000,MATCH(0,COUNTIF($Q$13:Q795,$D$13:$D$1000&amp;"")+IF($D$13:$D$1000="",1,0),0)),"")</f>
        <v/>
      </c>
      <c r="R796" s="356" t="str">
        <f t="shared" si="50"/>
        <v/>
      </c>
      <c r="S796" s="383" t="str">
        <f t="shared" si="48"/>
        <v/>
      </c>
      <c r="T796" s="384" t="str">
        <f t="shared" si="51"/>
        <v/>
      </c>
      <c r="V796" s="385"/>
      <c r="W796" s="385"/>
      <c r="X796" s="386"/>
    </row>
    <row r="797" spans="2:24">
      <c r="B797" s="395"/>
      <c r="C797" s="371"/>
      <c r="D797" s="372" t="str">
        <f>IFERROR(INDEX('[12]Equipment List'!$B$2:$B$2038,MATCH(E797,'[12]Equipment List'!$A$2:$A$2038,0)),"")</f>
        <v/>
      </c>
      <c r="E797" s="388"/>
      <c r="F797" s="374"/>
      <c r="G797" s="375"/>
      <c r="H797" s="397"/>
      <c r="I797" s="377"/>
      <c r="J797" s="378"/>
      <c r="K797" s="379"/>
      <c r="L797" s="387"/>
      <c r="M797" s="380" t="str">
        <f t="array" ref="M797">IF(L797="","",(MAX(IF(AN$15:AN$144=B797,AO$15:AO$144))/60))</f>
        <v/>
      </c>
      <c r="N797" s="387"/>
      <c r="O797" s="387"/>
      <c r="P797" s="381" t="str">
        <f t="shared" si="49"/>
        <v/>
      </c>
      <c r="Q797" s="382" t="str">
        <f t="array" ref="Q797">IFERROR(INDEX($D$13:$D$1000,MATCH(0,COUNTIF($Q$13:Q796,$D$13:$D$1000&amp;"")+IF($D$13:$D$1000="",1,0),0)),"")</f>
        <v/>
      </c>
      <c r="R797" s="356" t="str">
        <f t="shared" si="50"/>
        <v/>
      </c>
      <c r="S797" s="383" t="str">
        <f t="shared" si="48"/>
        <v/>
      </c>
      <c r="T797" s="384" t="str">
        <f t="shared" si="51"/>
        <v/>
      </c>
      <c r="V797" s="385"/>
      <c r="W797" s="385"/>
      <c r="X797" s="386"/>
    </row>
    <row r="798" spans="2:24">
      <c r="B798" s="395"/>
      <c r="C798" s="371"/>
      <c r="D798" s="372" t="str">
        <f>IFERROR(INDEX('[12]Equipment List'!$B$2:$B$2038,MATCH(E798,'[12]Equipment List'!$A$2:$A$2038,0)),"")</f>
        <v/>
      </c>
      <c r="E798" s="388"/>
      <c r="F798" s="374"/>
      <c r="G798" s="375"/>
      <c r="H798" s="397"/>
      <c r="I798" s="377"/>
      <c r="J798" s="378"/>
      <c r="K798" s="379"/>
      <c r="L798" s="387"/>
      <c r="M798" s="380" t="str">
        <f t="array" ref="M798">IF(L798="","",(MAX(IF(AN$15:AN$144=B798,AO$15:AO$144))/60))</f>
        <v/>
      </c>
      <c r="N798" s="387"/>
      <c r="O798" s="387"/>
      <c r="P798" s="381" t="str">
        <f t="shared" si="49"/>
        <v/>
      </c>
      <c r="Q798" s="382" t="str">
        <f t="array" ref="Q798">IFERROR(INDEX($D$13:$D$1000,MATCH(0,COUNTIF($Q$13:Q797,$D$13:$D$1000&amp;"")+IF($D$13:$D$1000="",1,0),0)),"")</f>
        <v/>
      </c>
      <c r="R798" s="356" t="str">
        <f t="shared" si="50"/>
        <v/>
      </c>
      <c r="S798" s="383" t="str">
        <f t="shared" si="48"/>
        <v/>
      </c>
      <c r="T798" s="384" t="str">
        <f t="shared" si="51"/>
        <v/>
      </c>
      <c r="V798" s="385"/>
      <c r="W798" s="385"/>
      <c r="X798" s="386"/>
    </row>
    <row r="799" spans="2:24">
      <c r="B799" s="395"/>
      <c r="C799" s="371"/>
      <c r="D799" s="372" t="str">
        <f>IFERROR(INDEX('[12]Equipment List'!$B$2:$B$2038,MATCH(E799,'[12]Equipment List'!$A$2:$A$2038,0)),"")</f>
        <v/>
      </c>
      <c r="E799" s="388"/>
      <c r="F799" s="374"/>
      <c r="G799" s="375"/>
      <c r="H799" s="397"/>
      <c r="I799" s="377"/>
      <c r="J799" s="378"/>
      <c r="K799" s="379"/>
      <c r="L799" s="387"/>
      <c r="M799" s="380" t="str">
        <f t="array" ref="M799">IF(L799="","",(MAX(IF(AN$15:AN$144=B799,AO$15:AO$144))/60))</f>
        <v/>
      </c>
      <c r="N799" s="387"/>
      <c r="O799" s="387"/>
      <c r="P799" s="381" t="str">
        <f t="shared" si="49"/>
        <v/>
      </c>
      <c r="Q799" s="382" t="str">
        <f t="array" ref="Q799">IFERROR(INDEX($D$13:$D$1000,MATCH(0,COUNTIF($Q$13:Q798,$D$13:$D$1000&amp;"")+IF($D$13:$D$1000="",1,0),0)),"")</f>
        <v/>
      </c>
      <c r="R799" s="356" t="str">
        <f t="shared" si="50"/>
        <v/>
      </c>
      <c r="S799" s="383" t="str">
        <f t="shared" si="48"/>
        <v/>
      </c>
      <c r="T799" s="384" t="str">
        <f t="shared" si="51"/>
        <v/>
      </c>
      <c r="V799" s="385"/>
      <c r="W799" s="385"/>
      <c r="X799" s="386"/>
    </row>
    <row r="800" spans="2:24">
      <c r="B800" s="395"/>
      <c r="C800" s="371"/>
      <c r="D800" s="372" t="str">
        <f>IFERROR(INDEX('[12]Equipment List'!$B$2:$B$2038,MATCH(E800,'[12]Equipment List'!$A$2:$A$2038,0)),"")</f>
        <v/>
      </c>
      <c r="E800" s="388"/>
      <c r="F800" s="374"/>
      <c r="G800" s="375"/>
      <c r="H800" s="397"/>
      <c r="I800" s="377"/>
      <c r="J800" s="378"/>
      <c r="K800" s="379"/>
      <c r="L800" s="387"/>
      <c r="M800" s="380" t="str">
        <f t="array" ref="M800">IF(L800="","",(MAX(IF(AN$15:AN$144=B800,AO$15:AO$144))/60))</f>
        <v/>
      </c>
      <c r="N800" s="387"/>
      <c r="O800" s="387"/>
      <c r="P800" s="381" t="str">
        <f t="shared" si="49"/>
        <v/>
      </c>
      <c r="Q800" s="382" t="str">
        <f t="array" ref="Q800">IFERROR(INDEX($D$13:$D$1000,MATCH(0,COUNTIF($Q$13:Q799,$D$13:$D$1000&amp;"")+IF($D$13:$D$1000="",1,0),0)),"")</f>
        <v/>
      </c>
      <c r="R800" s="356" t="str">
        <f t="shared" si="50"/>
        <v/>
      </c>
      <c r="S800" s="383" t="str">
        <f t="shared" si="48"/>
        <v/>
      </c>
      <c r="T800" s="384" t="str">
        <f t="shared" si="51"/>
        <v/>
      </c>
      <c r="V800" s="385"/>
      <c r="W800" s="385"/>
      <c r="X800" s="386"/>
    </row>
    <row r="801" spans="2:24">
      <c r="B801" s="395"/>
      <c r="C801" s="371"/>
      <c r="D801" s="372" t="str">
        <f>IFERROR(INDEX('[12]Equipment List'!$B$2:$B$2038,MATCH(E801,'[12]Equipment List'!$A$2:$A$2038,0)),"")</f>
        <v/>
      </c>
      <c r="E801" s="388"/>
      <c r="F801" s="374"/>
      <c r="G801" s="375"/>
      <c r="H801" s="397"/>
      <c r="I801" s="377"/>
      <c r="J801" s="378"/>
      <c r="K801" s="379"/>
      <c r="L801" s="387"/>
      <c r="M801" s="380" t="str">
        <f t="array" ref="M801">IF(L801="","",(MAX(IF(AN$15:AN$144=B801,AO$15:AO$144))/60))</f>
        <v/>
      </c>
      <c r="N801" s="387"/>
      <c r="O801" s="387"/>
      <c r="P801" s="381" t="str">
        <f t="shared" si="49"/>
        <v/>
      </c>
      <c r="Q801" s="382" t="str">
        <f t="array" ref="Q801">IFERROR(INDEX($D$13:$D$1000,MATCH(0,COUNTIF($Q$13:Q800,$D$13:$D$1000&amp;"")+IF($D$13:$D$1000="",1,0),0)),"")</f>
        <v/>
      </c>
      <c r="R801" s="356" t="str">
        <f t="shared" si="50"/>
        <v/>
      </c>
      <c r="S801" s="383" t="str">
        <f t="shared" si="48"/>
        <v/>
      </c>
      <c r="T801" s="384" t="str">
        <f t="shared" si="51"/>
        <v/>
      </c>
      <c r="V801" s="385"/>
      <c r="W801" s="385"/>
      <c r="X801" s="386"/>
    </row>
    <row r="802" spans="2:24">
      <c r="B802" s="395"/>
      <c r="C802" s="371"/>
      <c r="D802" s="372" t="str">
        <f>IFERROR(INDEX('[12]Equipment List'!$B$2:$B$2038,MATCH(E802,'[12]Equipment List'!$A$2:$A$2038,0)),"")</f>
        <v/>
      </c>
      <c r="E802" s="388"/>
      <c r="F802" s="374"/>
      <c r="G802" s="375"/>
      <c r="H802" s="397"/>
      <c r="I802" s="377"/>
      <c r="J802" s="378"/>
      <c r="K802" s="379"/>
      <c r="L802" s="387"/>
      <c r="M802" s="380" t="str">
        <f t="array" ref="M802">IF(L802="","",(MAX(IF(AN$15:AN$144=B802,AO$15:AO$144))/60))</f>
        <v/>
      </c>
      <c r="N802" s="387"/>
      <c r="O802" s="387"/>
      <c r="P802" s="381" t="str">
        <f t="shared" si="49"/>
        <v/>
      </c>
      <c r="Q802" s="382" t="str">
        <f t="array" ref="Q802">IFERROR(INDEX($D$13:$D$1000,MATCH(0,COUNTIF($Q$13:Q801,$D$13:$D$1000&amp;"")+IF($D$13:$D$1000="",1,0),0)),"")</f>
        <v/>
      </c>
      <c r="R802" s="356" t="str">
        <f t="shared" si="50"/>
        <v/>
      </c>
      <c r="S802" s="383" t="str">
        <f t="shared" si="48"/>
        <v/>
      </c>
      <c r="T802" s="384" t="str">
        <f t="shared" si="51"/>
        <v/>
      </c>
      <c r="V802" s="385"/>
      <c r="W802" s="385"/>
      <c r="X802" s="386"/>
    </row>
    <row r="803" spans="2:24">
      <c r="B803" s="395"/>
      <c r="C803" s="371"/>
      <c r="D803" s="372" t="str">
        <f>IFERROR(INDEX('[12]Equipment List'!$B$2:$B$2038,MATCH(E803,'[12]Equipment List'!$A$2:$A$2038,0)),"")</f>
        <v/>
      </c>
      <c r="E803" s="388"/>
      <c r="F803" s="374"/>
      <c r="G803" s="375"/>
      <c r="H803" s="397"/>
      <c r="I803" s="377"/>
      <c r="J803" s="378"/>
      <c r="K803" s="379"/>
      <c r="L803" s="387"/>
      <c r="M803" s="380" t="str">
        <f t="array" ref="M803">IF(L803="","",(MAX(IF(AN$15:AN$144=B803,AO$15:AO$144))/60))</f>
        <v/>
      </c>
      <c r="N803" s="387"/>
      <c r="O803" s="387"/>
      <c r="P803" s="381" t="str">
        <f t="shared" si="49"/>
        <v/>
      </c>
      <c r="Q803" s="382" t="str">
        <f t="array" ref="Q803">IFERROR(INDEX($D$13:$D$1000,MATCH(0,COUNTIF($Q$13:Q802,$D$13:$D$1000&amp;"")+IF($D$13:$D$1000="",1,0),0)),"")</f>
        <v/>
      </c>
      <c r="R803" s="356" t="str">
        <f t="shared" si="50"/>
        <v/>
      </c>
      <c r="S803" s="383" t="str">
        <f t="shared" si="48"/>
        <v/>
      </c>
      <c r="T803" s="384" t="str">
        <f t="shared" si="51"/>
        <v/>
      </c>
      <c r="V803" s="385"/>
      <c r="W803" s="385"/>
      <c r="X803" s="386"/>
    </row>
    <row r="804" spans="2:24">
      <c r="B804" s="395"/>
      <c r="C804" s="371"/>
      <c r="D804" s="372" t="str">
        <f>IFERROR(INDEX('[12]Equipment List'!$B$2:$B$2038,MATCH(E804,'[12]Equipment List'!$A$2:$A$2038,0)),"")</f>
        <v/>
      </c>
      <c r="E804" s="388"/>
      <c r="F804" s="374"/>
      <c r="G804" s="375"/>
      <c r="H804" s="397"/>
      <c r="I804" s="377"/>
      <c r="J804" s="378"/>
      <c r="K804" s="379"/>
      <c r="L804" s="387"/>
      <c r="M804" s="380" t="str">
        <f t="array" ref="M804">IF(L804="","",(MAX(IF(AN$15:AN$144=B804,AO$15:AO$144))/60))</f>
        <v/>
      </c>
      <c r="N804" s="387"/>
      <c r="O804" s="387"/>
      <c r="P804" s="381" t="str">
        <f t="shared" si="49"/>
        <v/>
      </c>
      <c r="Q804" s="382" t="str">
        <f t="array" ref="Q804">IFERROR(INDEX($D$13:$D$1000,MATCH(0,COUNTIF($Q$13:Q803,$D$13:$D$1000&amp;"")+IF($D$13:$D$1000="",1,0),0)),"")</f>
        <v/>
      </c>
      <c r="R804" s="356" t="str">
        <f t="shared" si="50"/>
        <v/>
      </c>
      <c r="S804" s="383" t="str">
        <f t="shared" si="48"/>
        <v/>
      </c>
      <c r="T804" s="384" t="str">
        <f t="shared" si="51"/>
        <v/>
      </c>
      <c r="V804" s="385"/>
      <c r="W804" s="385"/>
      <c r="X804" s="386"/>
    </row>
    <row r="805" spans="2:24">
      <c r="B805" s="395"/>
      <c r="C805" s="371"/>
      <c r="D805" s="372" t="str">
        <f>IFERROR(INDEX('[12]Equipment List'!$B$2:$B$2038,MATCH(E805,'[12]Equipment List'!$A$2:$A$2038,0)),"")</f>
        <v/>
      </c>
      <c r="E805" s="388"/>
      <c r="F805" s="374"/>
      <c r="G805" s="375"/>
      <c r="H805" s="397"/>
      <c r="I805" s="377"/>
      <c r="J805" s="378"/>
      <c r="K805" s="379"/>
      <c r="L805" s="387"/>
      <c r="M805" s="380" t="str">
        <f t="array" ref="M805">IF(L805="","",(MAX(IF(AN$15:AN$144=B805,AO$15:AO$144))/60))</f>
        <v/>
      </c>
      <c r="N805" s="387"/>
      <c r="O805" s="387"/>
      <c r="P805" s="381" t="str">
        <f t="shared" si="49"/>
        <v/>
      </c>
      <c r="Q805" s="382" t="str">
        <f t="array" ref="Q805">IFERROR(INDEX($D$13:$D$1000,MATCH(0,COUNTIF($Q$13:Q804,$D$13:$D$1000&amp;"")+IF($D$13:$D$1000="",1,0),0)),"")</f>
        <v/>
      </c>
      <c r="R805" s="356" t="str">
        <f t="shared" si="50"/>
        <v/>
      </c>
      <c r="S805" s="383" t="str">
        <f t="shared" si="48"/>
        <v/>
      </c>
      <c r="T805" s="384" t="str">
        <f t="shared" si="51"/>
        <v/>
      </c>
      <c r="V805" s="385"/>
      <c r="W805" s="385"/>
      <c r="X805" s="386"/>
    </row>
    <row r="806" spans="2:24">
      <c r="B806" s="395"/>
      <c r="C806" s="371"/>
      <c r="D806" s="372" t="str">
        <f>IFERROR(INDEX('[12]Equipment List'!$B$2:$B$2038,MATCH(E806,'[12]Equipment List'!$A$2:$A$2038,0)),"")</f>
        <v/>
      </c>
      <c r="E806" s="388"/>
      <c r="F806" s="374"/>
      <c r="G806" s="375"/>
      <c r="H806" s="397"/>
      <c r="I806" s="377"/>
      <c r="J806" s="378"/>
      <c r="K806" s="379"/>
      <c r="L806" s="387"/>
      <c r="M806" s="380" t="str">
        <f t="array" ref="M806">IF(L806="","",(MAX(IF(AN$15:AN$144=B806,AO$15:AO$144))/60))</f>
        <v/>
      </c>
      <c r="N806" s="387"/>
      <c r="O806" s="387"/>
      <c r="P806" s="381" t="str">
        <f t="shared" si="49"/>
        <v/>
      </c>
      <c r="Q806" s="382" t="str">
        <f t="array" ref="Q806">IFERROR(INDEX($D$13:$D$1000,MATCH(0,COUNTIF($Q$13:Q805,$D$13:$D$1000&amp;"")+IF($D$13:$D$1000="",1,0),0)),"")</f>
        <v/>
      </c>
      <c r="R806" s="356" t="str">
        <f t="shared" si="50"/>
        <v/>
      </c>
      <c r="S806" s="383" t="str">
        <f t="shared" si="48"/>
        <v/>
      </c>
      <c r="T806" s="384" t="str">
        <f t="shared" si="51"/>
        <v/>
      </c>
      <c r="V806" s="385"/>
      <c r="W806" s="385"/>
      <c r="X806" s="386"/>
    </row>
    <row r="807" spans="2:24">
      <c r="B807" s="395"/>
      <c r="C807" s="371"/>
      <c r="D807" s="372" t="str">
        <f>IFERROR(INDEX('[12]Equipment List'!$B$2:$B$2038,MATCH(E807,'[12]Equipment List'!$A$2:$A$2038,0)),"")</f>
        <v/>
      </c>
      <c r="E807" s="388"/>
      <c r="F807" s="374"/>
      <c r="G807" s="375"/>
      <c r="H807" s="397"/>
      <c r="I807" s="377"/>
      <c r="J807" s="378"/>
      <c r="K807" s="379"/>
      <c r="L807" s="387"/>
      <c r="M807" s="380" t="str">
        <f t="array" ref="M807">IF(L807="","",(MAX(IF(AN$15:AN$144=B807,AO$15:AO$144))/60))</f>
        <v/>
      </c>
      <c r="N807" s="387"/>
      <c r="O807" s="387"/>
      <c r="P807" s="381" t="str">
        <f t="shared" si="49"/>
        <v/>
      </c>
      <c r="Q807" s="382" t="str">
        <f t="array" ref="Q807">IFERROR(INDEX($D$13:$D$1000,MATCH(0,COUNTIF($Q$13:Q806,$D$13:$D$1000&amp;"")+IF($D$13:$D$1000="",1,0),0)),"")</f>
        <v/>
      </c>
      <c r="R807" s="356" t="str">
        <f t="shared" si="50"/>
        <v/>
      </c>
      <c r="S807" s="383" t="str">
        <f t="shared" si="48"/>
        <v/>
      </c>
      <c r="T807" s="384" t="str">
        <f t="shared" si="51"/>
        <v/>
      </c>
      <c r="V807" s="385"/>
      <c r="W807" s="385"/>
      <c r="X807" s="386"/>
    </row>
    <row r="808" spans="2:24">
      <c r="B808" s="395"/>
      <c r="C808" s="371"/>
      <c r="D808" s="372" t="str">
        <f>IFERROR(INDEX('[12]Equipment List'!$B$2:$B$2038,MATCH(E808,'[12]Equipment List'!$A$2:$A$2038,0)),"")</f>
        <v/>
      </c>
      <c r="E808" s="388"/>
      <c r="F808" s="374"/>
      <c r="G808" s="375"/>
      <c r="H808" s="397"/>
      <c r="I808" s="377"/>
      <c r="J808" s="378"/>
      <c r="K808" s="379"/>
      <c r="L808" s="387"/>
      <c r="M808" s="380" t="str">
        <f t="array" ref="M808">IF(L808="","",(MAX(IF(AN$15:AN$144=B808,AO$15:AO$144))/60))</f>
        <v/>
      </c>
      <c r="N808" s="387"/>
      <c r="O808" s="387"/>
      <c r="P808" s="381" t="str">
        <f t="shared" si="49"/>
        <v/>
      </c>
      <c r="Q808" s="382" t="str">
        <f t="array" ref="Q808">IFERROR(INDEX($D$13:$D$1000,MATCH(0,COUNTIF($Q$13:Q807,$D$13:$D$1000&amp;"")+IF($D$13:$D$1000="",1,0),0)),"")</f>
        <v/>
      </c>
      <c r="R808" s="356" t="str">
        <f t="shared" si="50"/>
        <v/>
      </c>
      <c r="S808" s="383" t="str">
        <f t="shared" si="48"/>
        <v/>
      </c>
      <c r="T808" s="384" t="str">
        <f t="shared" si="51"/>
        <v/>
      </c>
      <c r="V808" s="385"/>
      <c r="W808" s="385"/>
      <c r="X808" s="386"/>
    </row>
    <row r="809" spans="2:24">
      <c r="B809" s="395"/>
      <c r="C809" s="371"/>
      <c r="D809" s="372" t="str">
        <f>IFERROR(INDEX('[12]Equipment List'!$B$2:$B$2038,MATCH(E809,'[12]Equipment List'!$A$2:$A$2038,0)),"")</f>
        <v/>
      </c>
      <c r="E809" s="388"/>
      <c r="F809" s="374"/>
      <c r="G809" s="375"/>
      <c r="H809" s="397"/>
      <c r="I809" s="377"/>
      <c r="J809" s="378"/>
      <c r="K809" s="379"/>
      <c r="L809" s="387"/>
      <c r="M809" s="380" t="str">
        <f t="array" ref="M809">IF(L809="","",(MAX(IF(AN$15:AN$144=B809,AO$15:AO$144))/60))</f>
        <v/>
      </c>
      <c r="N809" s="387"/>
      <c r="O809" s="387"/>
      <c r="P809" s="381" t="str">
        <f t="shared" si="49"/>
        <v/>
      </c>
      <c r="Q809" s="382" t="str">
        <f t="array" ref="Q809">IFERROR(INDEX($D$13:$D$1000,MATCH(0,COUNTIF($Q$13:Q808,$D$13:$D$1000&amp;"")+IF($D$13:$D$1000="",1,0),0)),"")</f>
        <v/>
      </c>
      <c r="R809" s="356" t="str">
        <f t="shared" si="50"/>
        <v/>
      </c>
      <c r="S809" s="383" t="str">
        <f t="shared" si="48"/>
        <v/>
      </c>
      <c r="T809" s="384" t="str">
        <f t="shared" si="51"/>
        <v/>
      </c>
      <c r="V809" s="385"/>
      <c r="W809" s="385"/>
      <c r="X809" s="386"/>
    </row>
    <row r="810" spans="2:24">
      <c r="B810" s="395"/>
      <c r="C810" s="371"/>
      <c r="D810" s="372" t="str">
        <f>IFERROR(INDEX('[12]Equipment List'!$B$2:$B$2038,MATCH(E810,'[12]Equipment List'!$A$2:$A$2038,0)),"")</f>
        <v/>
      </c>
      <c r="E810" s="388"/>
      <c r="F810" s="374"/>
      <c r="G810" s="375"/>
      <c r="H810" s="397"/>
      <c r="I810" s="377"/>
      <c r="J810" s="378"/>
      <c r="K810" s="379"/>
      <c r="L810" s="387"/>
      <c r="M810" s="380" t="str">
        <f t="array" ref="M810">IF(L810="","",(MAX(IF(AN$15:AN$144=B810,AO$15:AO$144))/60))</f>
        <v/>
      </c>
      <c r="N810" s="387"/>
      <c r="O810" s="387"/>
      <c r="P810" s="381" t="str">
        <f t="shared" si="49"/>
        <v/>
      </c>
      <c r="Q810" s="382" t="str">
        <f t="array" ref="Q810">IFERROR(INDEX($D$13:$D$1000,MATCH(0,COUNTIF($Q$13:Q809,$D$13:$D$1000&amp;"")+IF($D$13:$D$1000="",1,0),0)),"")</f>
        <v/>
      </c>
      <c r="R810" s="356" t="str">
        <f t="shared" si="50"/>
        <v/>
      </c>
      <c r="S810" s="383" t="str">
        <f t="shared" si="48"/>
        <v/>
      </c>
      <c r="T810" s="384" t="str">
        <f t="shared" si="51"/>
        <v/>
      </c>
      <c r="V810" s="385"/>
      <c r="W810" s="385"/>
      <c r="X810" s="386"/>
    </row>
    <row r="811" spans="2:24">
      <c r="B811" s="395"/>
      <c r="C811" s="371"/>
      <c r="D811" s="372" t="str">
        <f>IFERROR(INDEX('[12]Equipment List'!$B$2:$B$2038,MATCH(E811,'[12]Equipment List'!$A$2:$A$2038,0)),"")</f>
        <v/>
      </c>
      <c r="E811" s="388"/>
      <c r="F811" s="374"/>
      <c r="G811" s="375"/>
      <c r="H811" s="397"/>
      <c r="I811" s="377"/>
      <c r="J811" s="378"/>
      <c r="K811" s="379"/>
      <c r="L811" s="387"/>
      <c r="M811" s="380" t="str">
        <f t="array" ref="M811">IF(L811="","",(MAX(IF(AN$15:AN$144=B811,AO$15:AO$144))/60))</f>
        <v/>
      </c>
      <c r="N811" s="387"/>
      <c r="O811" s="387"/>
      <c r="P811" s="381" t="str">
        <f t="shared" si="49"/>
        <v/>
      </c>
      <c r="Q811" s="382" t="str">
        <f t="array" ref="Q811">IFERROR(INDEX($D$13:$D$1000,MATCH(0,COUNTIF($Q$13:Q810,$D$13:$D$1000&amp;"")+IF($D$13:$D$1000="",1,0),0)),"")</f>
        <v/>
      </c>
      <c r="R811" s="356" t="str">
        <f t="shared" si="50"/>
        <v/>
      </c>
      <c r="S811" s="383" t="str">
        <f t="shared" ref="S811:S874" si="52">IF($Q811="","",SUMIF($D$13:$D$1000,$Q811,I$13:I$1000))</f>
        <v/>
      </c>
      <c r="T811" s="384" t="str">
        <f t="shared" si="51"/>
        <v/>
      </c>
      <c r="V811" s="385"/>
      <c r="W811" s="385"/>
      <c r="X811" s="386"/>
    </row>
    <row r="812" spans="2:24">
      <c r="B812" s="395"/>
      <c r="C812" s="371"/>
      <c r="D812" s="372" t="str">
        <f>IFERROR(INDEX('[12]Equipment List'!$B$2:$B$2038,MATCH(E812,'[12]Equipment List'!$A$2:$A$2038,0)),"")</f>
        <v/>
      </c>
      <c r="E812" s="388"/>
      <c r="F812" s="374"/>
      <c r="G812" s="375"/>
      <c r="H812" s="397"/>
      <c r="I812" s="377"/>
      <c r="J812" s="378"/>
      <c r="K812" s="379"/>
      <c r="L812" s="387"/>
      <c r="M812" s="380" t="str">
        <f t="array" ref="M812">IF(L812="","",(MAX(IF(AN$15:AN$144=B812,AO$15:AO$144))/60))</f>
        <v/>
      </c>
      <c r="N812" s="387"/>
      <c r="O812" s="387"/>
      <c r="P812" s="381" t="str">
        <f t="shared" si="49"/>
        <v/>
      </c>
      <c r="Q812" s="382" t="str">
        <f t="array" ref="Q812">IFERROR(INDEX($D$13:$D$1000,MATCH(0,COUNTIF($Q$13:Q811,$D$13:$D$1000&amp;"")+IF($D$13:$D$1000="",1,0),0)),"")</f>
        <v/>
      </c>
      <c r="R812" s="356" t="str">
        <f t="shared" si="50"/>
        <v/>
      </c>
      <c r="S812" s="383" t="str">
        <f t="shared" si="52"/>
        <v/>
      </c>
      <c r="T812" s="384" t="str">
        <f t="shared" si="51"/>
        <v/>
      </c>
      <c r="V812" s="385"/>
      <c r="W812" s="385"/>
      <c r="X812" s="386"/>
    </row>
    <row r="813" spans="2:24">
      <c r="B813" s="395"/>
      <c r="C813" s="371"/>
      <c r="D813" s="372" t="str">
        <f>IFERROR(INDEX('[12]Equipment List'!$B$2:$B$2038,MATCH(E813,'[12]Equipment List'!$A$2:$A$2038,0)),"")</f>
        <v/>
      </c>
      <c r="E813" s="388"/>
      <c r="F813" s="374"/>
      <c r="G813" s="375"/>
      <c r="H813" s="397"/>
      <c r="I813" s="377"/>
      <c r="J813" s="378"/>
      <c r="K813" s="379"/>
      <c r="L813" s="387"/>
      <c r="M813" s="380" t="str">
        <f t="array" ref="M813">IF(L813="","",(MAX(IF(AN$15:AN$144=B813,AO$15:AO$144))/60))</f>
        <v/>
      </c>
      <c r="N813" s="387"/>
      <c r="O813" s="387"/>
      <c r="P813" s="381" t="str">
        <f t="shared" si="49"/>
        <v/>
      </c>
      <c r="Q813" s="382" t="str">
        <f t="array" ref="Q813">IFERROR(INDEX($D$13:$D$1000,MATCH(0,COUNTIF($Q$13:Q812,$D$13:$D$1000&amp;"")+IF($D$13:$D$1000="",1,0),0)),"")</f>
        <v/>
      </c>
      <c r="R813" s="356" t="str">
        <f t="shared" si="50"/>
        <v/>
      </c>
      <c r="S813" s="383" t="str">
        <f t="shared" si="52"/>
        <v/>
      </c>
      <c r="T813" s="384" t="str">
        <f t="shared" si="51"/>
        <v/>
      </c>
      <c r="V813" s="385"/>
      <c r="W813" s="385"/>
      <c r="X813" s="386"/>
    </row>
    <row r="814" spans="2:24">
      <c r="B814" s="395"/>
      <c r="C814" s="371"/>
      <c r="D814" s="372" t="str">
        <f>IFERROR(INDEX('[12]Equipment List'!$B$2:$B$2038,MATCH(E814,'[12]Equipment List'!$A$2:$A$2038,0)),"")</f>
        <v/>
      </c>
      <c r="E814" s="388"/>
      <c r="F814" s="374"/>
      <c r="G814" s="375"/>
      <c r="H814" s="397"/>
      <c r="I814" s="377"/>
      <c r="J814" s="378"/>
      <c r="K814" s="379"/>
      <c r="L814" s="387"/>
      <c r="M814" s="380" t="str">
        <f t="array" ref="M814">IF(L814="","",(MAX(IF(AN$15:AN$144=B814,AO$15:AO$144))/60))</f>
        <v/>
      </c>
      <c r="N814" s="387"/>
      <c r="O814" s="387"/>
      <c r="P814" s="381" t="str">
        <f t="shared" si="49"/>
        <v/>
      </c>
      <c r="Q814" s="382" t="str">
        <f t="array" ref="Q814">IFERROR(INDEX($D$13:$D$1000,MATCH(0,COUNTIF($Q$13:Q813,$D$13:$D$1000&amp;"")+IF($D$13:$D$1000="",1,0),0)),"")</f>
        <v/>
      </c>
      <c r="R814" s="356" t="str">
        <f t="shared" si="50"/>
        <v/>
      </c>
      <c r="S814" s="383" t="str">
        <f t="shared" si="52"/>
        <v/>
      </c>
      <c r="T814" s="384" t="str">
        <f t="shared" si="51"/>
        <v/>
      </c>
      <c r="V814" s="385"/>
      <c r="W814" s="385"/>
      <c r="X814" s="386"/>
    </row>
    <row r="815" spans="2:24">
      <c r="B815" s="395"/>
      <c r="C815" s="371"/>
      <c r="D815" s="372" t="str">
        <f>IFERROR(INDEX('[12]Equipment List'!$B$2:$B$2038,MATCH(E815,'[12]Equipment List'!$A$2:$A$2038,0)),"")</f>
        <v/>
      </c>
      <c r="E815" s="388"/>
      <c r="F815" s="374"/>
      <c r="G815" s="375"/>
      <c r="H815" s="397"/>
      <c r="I815" s="377"/>
      <c r="J815" s="378"/>
      <c r="K815" s="379"/>
      <c r="L815" s="387"/>
      <c r="M815" s="380" t="str">
        <f t="array" ref="M815">IF(L815="","",(MAX(IF(AN$15:AN$144=B815,AO$15:AO$144))/60))</f>
        <v/>
      </c>
      <c r="N815" s="387"/>
      <c r="O815" s="387"/>
      <c r="P815" s="381" t="str">
        <f t="shared" si="49"/>
        <v/>
      </c>
      <c r="Q815" s="382" t="str">
        <f t="array" ref="Q815">IFERROR(INDEX($D$13:$D$1000,MATCH(0,COUNTIF($Q$13:Q814,$D$13:$D$1000&amp;"")+IF($D$13:$D$1000="",1,0),0)),"")</f>
        <v/>
      </c>
      <c r="R815" s="356" t="str">
        <f t="shared" si="50"/>
        <v/>
      </c>
      <c r="S815" s="383" t="str">
        <f t="shared" si="52"/>
        <v/>
      </c>
      <c r="T815" s="384" t="str">
        <f t="shared" si="51"/>
        <v/>
      </c>
      <c r="V815" s="385"/>
      <c r="W815" s="385"/>
      <c r="X815" s="386"/>
    </row>
    <row r="816" spans="2:24">
      <c r="B816" s="395"/>
      <c r="C816" s="371"/>
      <c r="D816" s="372" t="str">
        <f>IFERROR(INDEX('[12]Equipment List'!$B$2:$B$2038,MATCH(E816,'[12]Equipment List'!$A$2:$A$2038,0)),"")</f>
        <v/>
      </c>
      <c r="E816" s="388"/>
      <c r="F816" s="374"/>
      <c r="G816" s="375"/>
      <c r="H816" s="397"/>
      <c r="I816" s="377"/>
      <c r="J816" s="378"/>
      <c r="K816" s="379"/>
      <c r="L816" s="387"/>
      <c r="M816" s="380" t="str">
        <f t="array" ref="M816">IF(L816="","",(MAX(IF(AN$15:AN$144=B816,AO$15:AO$144))/60))</f>
        <v/>
      </c>
      <c r="N816" s="387"/>
      <c r="O816" s="387"/>
      <c r="P816" s="381" t="str">
        <f t="shared" si="49"/>
        <v/>
      </c>
      <c r="Q816" s="382" t="str">
        <f t="array" ref="Q816">IFERROR(INDEX($D$13:$D$1000,MATCH(0,COUNTIF($Q$13:Q815,$D$13:$D$1000&amp;"")+IF($D$13:$D$1000="",1,0),0)),"")</f>
        <v/>
      </c>
      <c r="R816" s="356" t="str">
        <f t="shared" si="50"/>
        <v/>
      </c>
      <c r="S816" s="383" t="str">
        <f t="shared" si="52"/>
        <v/>
      </c>
      <c r="T816" s="384" t="str">
        <f t="shared" si="51"/>
        <v/>
      </c>
      <c r="V816" s="385"/>
      <c r="W816" s="385"/>
      <c r="X816" s="386"/>
    </row>
    <row r="817" spans="2:24">
      <c r="B817" s="395"/>
      <c r="C817" s="371"/>
      <c r="D817" s="372" t="str">
        <f>IFERROR(INDEX('[12]Equipment List'!$B$2:$B$2038,MATCH(E817,'[12]Equipment List'!$A$2:$A$2038,0)),"")</f>
        <v/>
      </c>
      <c r="E817" s="388"/>
      <c r="F817" s="374"/>
      <c r="G817" s="375"/>
      <c r="H817" s="397"/>
      <c r="I817" s="377"/>
      <c r="J817" s="378"/>
      <c r="K817" s="379"/>
      <c r="L817" s="387"/>
      <c r="M817" s="380" t="str">
        <f t="array" ref="M817">IF(L817="","",(MAX(IF(AN$15:AN$144=B817,AO$15:AO$144))/60))</f>
        <v/>
      </c>
      <c r="N817" s="387"/>
      <c r="O817" s="387"/>
      <c r="P817" s="381" t="str">
        <f t="shared" si="49"/>
        <v/>
      </c>
      <c r="Q817" s="382" t="str">
        <f t="array" ref="Q817">IFERROR(INDEX($D$13:$D$1000,MATCH(0,COUNTIF($Q$13:Q816,$D$13:$D$1000&amp;"")+IF($D$13:$D$1000="",1,0),0)),"")</f>
        <v/>
      </c>
      <c r="R817" s="356" t="str">
        <f t="shared" si="50"/>
        <v/>
      </c>
      <c r="S817" s="383" t="str">
        <f t="shared" si="52"/>
        <v/>
      </c>
      <c r="T817" s="384" t="str">
        <f t="shared" si="51"/>
        <v/>
      </c>
      <c r="V817" s="385"/>
      <c r="W817" s="385"/>
      <c r="X817" s="386"/>
    </row>
    <row r="818" spans="2:24">
      <c r="B818" s="395"/>
      <c r="C818" s="371"/>
      <c r="D818" s="372" t="str">
        <f>IFERROR(INDEX('[12]Equipment List'!$B$2:$B$2038,MATCH(E818,'[12]Equipment List'!$A$2:$A$2038,0)),"")</f>
        <v/>
      </c>
      <c r="E818" s="388"/>
      <c r="F818" s="374"/>
      <c r="G818" s="375"/>
      <c r="H818" s="397"/>
      <c r="I818" s="377"/>
      <c r="J818" s="378"/>
      <c r="K818" s="379"/>
      <c r="L818" s="387"/>
      <c r="M818" s="380" t="str">
        <f t="array" ref="M818">IF(L818="","",(MAX(IF(AN$15:AN$144=B818,AO$15:AO$144))/60))</f>
        <v/>
      </c>
      <c r="N818" s="387"/>
      <c r="O818" s="387"/>
      <c r="P818" s="381" t="str">
        <f t="shared" si="49"/>
        <v/>
      </c>
      <c r="Q818" s="382" t="str">
        <f t="array" ref="Q818">IFERROR(INDEX($D$13:$D$1000,MATCH(0,COUNTIF($Q$13:Q817,$D$13:$D$1000&amp;"")+IF($D$13:$D$1000="",1,0),0)),"")</f>
        <v/>
      </c>
      <c r="R818" s="356" t="str">
        <f t="shared" si="50"/>
        <v/>
      </c>
      <c r="S818" s="383" t="str">
        <f t="shared" si="52"/>
        <v/>
      </c>
      <c r="T818" s="384" t="str">
        <f t="shared" si="51"/>
        <v/>
      </c>
      <c r="V818" s="385"/>
      <c r="W818" s="385"/>
      <c r="X818" s="386"/>
    </row>
    <row r="819" spans="2:24">
      <c r="B819" s="395"/>
      <c r="C819" s="371"/>
      <c r="D819" s="372" t="str">
        <f>IFERROR(INDEX('[12]Equipment List'!$B$2:$B$2038,MATCH(E819,'[12]Equipment List'!$A$2:$A$2038,0)),"")</f>
        <v/>
      </c>
      <c r="E819" s="388"/>
      <c r="F819" s="374"/>
      <c r="G819" s="375"/>
      <c r="H819" s="397"/>
      <c r="I819" s="377"/>
      <c r="J819" s="378"/>
      <c r="K819" s="379"/>
      <c r="L819" s="387"/>
      <c r="M819" s="380" t="str">
        <f t="array" ref="M819">IF(L819="","",(MAX(IF(AN$15:AN$144=B819,AO$15:AO$144))/60))</f>
        <v/>
      </c>
      <c r="N819" s="387"/>
      <c r="O819" s="387"/>
      <c r="P819" s="381" t="str">
        <f t="shared" si="49"/>
        <v/>
      </c>
      <c r="Q819" s="382" t="str">
        <f t="array" ref="Q819">IFERROR(INDEX($D$13:$D$1000,MATCH(0,COUNTIF($Q$13:Q818,$D$13:$D$1000&amp;"")+IF($D$13:$D$1000="",1,0),0)),"")</f>
        <v/>
      </c>
      <c r="R819" s="356" t="str">
        <f t="shared" si="50"/>
        <v/>
      </c>
      <c r="S819" s="383" t="str">
        <f t="shared" si="52"/>
        <v/>
      </c>
      <c r="T819" s="384" t="str">
        <f t="shared" si="51"/>
        <v/>
      </c>
      <c r="V819" s="385"/>
      <c r="W819" s="385"/>
      <c r="X819" s="386"/>
    </row>
    <row r="820" spans="2:24">
      <c r="B820" s="395"/>
      <c r="C820" s="371"/>
      <c r="D820" s="372" t="str">
        <f>IFERROR(INDEX('[12]Equipment List'!$B$2:$B$2038,MATCH(E820,'[12]Equipment List'!$A$2:$A$2038,0)),"")</f>
        <v/>
      </c>
      <c r="E820" s="388"/>
      <c r="F820" s="374"/>
      <c r="G820" s="375"/>
      <c r="H820" s="397"/>
      <c r="I820" s="377"/>
      <c r="J820" s="378"/>
      <c r="K820" s="379"/>
      <c r="L820" s="387"/>
      <c r="M820" s="380" t="str">
        <f t="array" ref="M820">IF(L820="","",(MAX(IF(AN$15:AN$144=B820,AO$15:AO$144))/60))</f>
        <v/>
      </c>
      <c r="N820" s="387"/>
      <c r="O820" s="387"/>
      <c r="P820" s="381" t="str">
        <f t="shared" si="49"/>
        <v/>
      </c>
      <c r="Q820" s="382" t="str">
        <f t="array" ref="Q820">IFERROR(INDEX($D$13:$D$1000,MATCH(0,COUNTIF($Q$13:Q819,$D$13:$D$1000&amp;"")+IF($D$13:$D$1000="",1,0),0)),"")</f>
        <v/>
      </c>
      <c r="R820" s="356" t="str">
        <f t="shared" si="50"/>
        <v/>
      </c>
      <c r="S820" s="383" t="str">
        <f t="shared" si="52"/>
        <v/>
      </c>
      <c r="T820" s="384" t="str">
        <f t="shared" si="51"/>
        <v/>
      </c>
      <c r="V820" s="385"/>
      <c r="W820" s="385"/>
      <c r="X820" s="386"/>
    </row>
    <row r="821" spans="2:24">
      <c r="B821" s="395"/>
      <c r="C821" s="371"/>
      <c r="D821" s="372" t="str">
        <f>IFERROR(INDEX('[12]Equipment List'!$B$2:$B$2038,MATCH(E821,'[12]Equipment List'!$A$2:$A$2038,0)),"")</f>
        <v/>
      </c>
      <c r="E821" s="388"/>
      <c r="F821" s="374"/>
      <c r="G821" s="375"/>
      <c r="H821" s="397"/>
      <c r="I821" s="377"/>
      <c r="J821" s="378"/>
      <c r="K821" s="379"/>
      <c r="L821" s="387"/>
      <c r="M821" s="380" t="str">
        <f t="array" ref="M821">IF(L821="","",(MAX(IF(AN$15:AN$144=B821,AO$15:AO$144))/60))</f>
        <v/>
      </c>
      <c r="N821" s="387"/>
      <c r="O821" s="387"/>
      <c r="P821" s="381" t="str">
        <f t="shared" si="49"/>
        <v/>
      </c>
      <c r="Q821" s="382" t="str">
        <f t="array" ref="Q821">IFERROR(INDEX($D$13:$D$1000,MATCH(0,COUNTIF($Q$13:Q820,$D$13:$D$1000&amp;"")+IF($D$13:$D$1000="",1,0),0)),"")</f>
        <v/>
      </c>
      <c r="R821" s="356" t="str">
        <f t="shared" si="50"/>
        <v/>
      </c>
      <c r="S821" s="383" t="str">
        <f t="shared" si="52"/>
        <v/>
      </c>
      <c r="T821" s="384" t="str">
        <f t="shared" si="51"/>
        <v/>
      </c>
      <c r="V821" s="385"/>
      <c r="W821" s="385"/>
      <c r="X821" s="386"/>
    </row>
    <row r="822" spans="2:24">
      <c r="B822" s="395"/>
      <c r="C822" s="371"/>
      <c r="D822" s="372" t="str">
        <f>IFERROR(INDEX('[12]Equipment List'!$B$2:$B$2038,MATCH(E822,'[12]Equipment List'!$A$2:$A$2038,0)),"")</f>
        <v/>
      </c>
      <c r="E822" s="388"/>
      <c r="F822" s="374"/>
      <c r="G822" s="375"/>
      <c r="H822" s="397"/>
      <c r="I822" s="377"/>
      <c r="J822" s="378"/>
      <c r="K822" s="379"/>
      <c r="L822" s="387"/>
      <c r="M822" s="380" t="str">
        <f t="array" ref="M822">IF(L822="","",(MAX(IF(AN$15:AN$144=B822,AO$15:AO$144))/60))</f>
        <v/>
      </c>
      <c r="N822" s="387"/>
      <c r="O822" s="387"/>
      <c r="P822" s="381" t="str">
        <f t="shared" si="49"/>
        <v/>
      </c>
      <c r="Q822" s="382" t="str">
        <f t="array" ref="Q822">IFERROR(INDEX($D$13:$D$1000,MATCH(0,COUNTIF($Q$13:Q821,$D$13:$D$1000&amp;"")+IF($D$13:$D$1000="",1,0),0)),"")</f>
        <v/>
      </c>
      <c r="R822" s="356" t="str">
        <f t="shared" si="50"/>
        <v/>
      </c>
      <c r="S822" s="383" t="str">
        <f t="shared" si="52"/>
        <v/>
      </c>
      <c r="T822" s="384" t="str">
        <f t="shared" si="51"/>
        <v/>
      </c>
      <c r="V822" s="385"/>
      <c r="W822" s="385"/>
      <c r="X822" s="386"/>
    </row>
    <row r="823" spans="2:24">
      <c r="B823" s="395"/>
      <c r="C823" s="371"/>
      <c r="D823" s="372" t="str">
        <f>IFERROR(INDEX('[12]Equipment List'!$B$2:$B$2038,MATCH(E823,'[12]Equipment List'!$A$2:$A$2038,0)),"")</f>
        <v/>
      </c>
      <c r="E823" s="388"/>
      <c r="F823" s="374"/>
      <c r="G823" s="375"/>
      <c r="H823" s="397"/>
      <c r="I823" s="377"/>
      <c r="J823" s="378"/>
      <c r="K823" s="379"/>
      <c r="L823" s="387"/>
      <c r="M823" s="380" t="str">
        <f t="array" ref="M823">IF(L823="","",(MAX(IF(AN$15:AN$144=B823,AO$15:AO$144))/60))</f>
        <v/>
      </c>
      <c r="N823" s="387"/>
      <c r="O823" s="387"/>
      <c r="P823" s="381" t="str">
        <f t="shared" si="49"/>
        <v/>
      </c>
      <c r="Q823" s="382" t="str">
        <f t="array" ref="Q823">IFERROR(INDEX($D$13:$D$1000,MATCH(0,COUNTIF($Q$13:Q822,$D$13:$D$1000&amp;"")+IF($D$13:$D$1000="",1,0),0)),"")</f>
        <v/>
      </c>
      <c r="R823" s="356" t="str">
        <f t="shared" si="50"/>
        <v/>
      </c>
      <c r="S823" s="383" t="str">
        <f t="shared" si="52"/>
        <v/>
      </c>
      <c r="T823" s="384" t="str">
        <f t="shared" si="51"/>
        <v/>
      </c>
      <c r="V823" s="385"/>
      <c r="W823" s="385"/>
      <c r="X823" s="386"/>
    </row>
    <row r="824" spans="2:24">
      <c r="B824" s="395"/>
      <c r="C824" s="371"/>
      <c r="D824" s="372" t="str">
        <f>IFERROR(INDEX('[12]Equipment List'!$B$2:$B$2038,MATCH(E824,'[12]Equipment List'!$A$2:$A$2038,0)),"")</f>
        <v/>
      </c>
      <c r="E824" s="388"/>
      <c r="F824" s="374"/>
      <c r="G824" s="375"/>
      <c r="H824" s="397"/>
      <c r="I824" s="377"/>
      <c r="J824" s="378"/>
      <c r="K824" s="379"/>
      <c r="L824" s="387"/>
      <c r="M824" s="380" t="str">
        <f t="array" ref="M824">IF(L824="","",(MAX(IF(AN$15:AN$144=B824,AO$15:AO$144))/60))</f>
        <v/>
      </c>
      <c r="N824" s="387"/>
      <c r="O824" s="387"/>
      <c r="P824" s="381" t="str">
        <f t="shared" si="49"/>
        <v/>
      </c>
      <c r="Q824" s="382" t="str">
        <f t="array" ref="Q824">IFERROR(INDEX($D$13:$D$1000,MATCH(0,COUNTIF($Q$13:Q823,$D$13:$D$1000&amp;"")+IF($D$13:$D$1000="",1,0),0)),"")</f>
        <v/>
      </c>
      <c r="R824" s="356" t="str">
        <f t="shared" si="50"/>
        <v/>
      </c>
      <c r="S824" s="383" t="str">
        <f t="shared" si="52"/>
        <v/>
      </c>
      <c r="T824" s="384" t="str">
        <f t="shared" si="51"/>
        <v/>
      </c>
      <c r="V824" s="385"/>
      <c r="W824" s="385"/>
      <c r="X824" s="386"/>
    </row>
    <row r="825" spans="2:24">
      <c r="B825" s="395"/>
      <c r="C825" s="371"/>
      <c r="D825" s="372" t="str">
        <f>IFERROR(INDEX('[12]Equipment List'!$B$2:$B$2038,MATCH(E825,'[12]Equipment List'!$A$2:$A$2038,0)),"")</f>
        <v/>
      </c>
      <c r="E825" s="388"/>
      <c r="F825" s="374"/>
      <c r="G825" s="375"/>
      <c r="H825" s="397"/>
      <c r="I825" s="377"/>
      <c r="J825" s="378"/>
      <c r="K825" s="379"/>
      <c r="L825" s="387"/>
      <c r="M825" s="380" t="str">
        <f t="array" ref="M825">IF(L825="","",(MAX(IF(AN$15:AN$144=B825,AO$15:AO$144))/60))</f>
        <v/>
      </c>
      <c r="N825" s="387"/>
      <c r="O825" s="387"/>
      <c r="P825" s="381" t="str">
        <f t="shared" si="49"/>
        <v/>
      </c>
      <c r="Q825" s="382" t="str">
        <f t="array" ref="Q825">IFERROR(INDEX($D$13:$D$1000,MATCH(0,COUNTIF($Q$13:Q824,$D$13:$D$1000&amp;"")+IF($D$13:$D$1000="",1,0),0)),"")</f>
        <v/>
      </c>
      <c r="R825" s="356" t="str">
        <f t="shared" si="50"/>
        <v/>
      </c>
      <c r="S825" s="383" t="str">
        <f t="shared" si="52"/>
        <v/>
      </c>
      <c r="T825" s="384" t="str">
        <f t="shared" si="51"/>
        <v/>
      </c>
      <c r="V825" s="385"/>
      <c r="W825" s="385"/>
      <c r="X825" s="386"/>
    </row>
    <row r="826" spans="2:24">
      <c r="B826" s="395"/>
      <c r="C826" s="371"/>
      <c r="D826" s="372" t="str">
        <f>IFERROR(INDEX('[12]Equipment List'!$B$2:$B$2038,MATCH(E826,'[12]Equipment List'!$A$2:$A$2038,0)),"")</f>
        <v/>
      </c>
      <c r="E826" s="388"/>
      <c r="F826" s="374"/>
      <c r="G826" s="375"/>
      <c r="H826" s="397"/>
      <c r="I826" s="377"/>
      <c r="J826" s="378"/>
      <c r="K826" s="379"/>
      <c r="L826" s="387"/>
      <c r="M826" s="380" t="str">
        <f t="array" ref="M826">IF(L826="","",(MAX(IF(AN$15:AN$144=B826,AO$15:AO$144))/60))</f>
        <v/>
      </c>
      <c r="N826" s="387"/>
      <c r="O826" s="387"/>
      <c r="P826" s="381" t="str">
        <f t="shared" si="49"/>
        <v/>
      </c>
      <c r="Q826" s="382" t="str">
        <f t="array" ref="Q826">IFERROR(INDEX($D$13:$D$1000,MATCH(0,COUNTIF($Q$13:Q825,$D$13:$D$1000&amp;"")+IF($D$13:$D$1000="",1,0),0)),"")</f>
        <v/>
      </c>
      <c r="R826" s="356" t="str">
        <f t="shared" si="50"/>
        <v/>
      </c>
      <c r="S826" s="383" t="str">
        <f t="shared" si="52"/>
        <v/>
      </c>
      <c r="T826" s="384" t="str">
        <f t="shared" si="51"/>
        <v/>
      </c>
      <c r="V826" s="385"/>
      <c r="W826" s="385"/>
      <c r="X826" s="386"/>
    </row>
    <row r="827" spans="2:24">
      <c r="B827" s="395"/>
      <c r="C827" s="371"/>
      <c r="D827" s="372" t="str">
        <f>IFERROR(INDEX('[12]Equipment List'!$B$2:$B$2038,MATCH(E827,'[12]Equipment List'!$A$2:$A$2038,0)),"")</f>
        <v/>
      </c>
      <c r="E827" s="388"/>
      <c r="F827" s="374"/>
      <c r="G827" s="375"/>
      <c r="H827" s="397"/>
      <c r="I827" s="377"/>
      <c r="J827" s="378"/>
      <c r="K827" s="379"/>
      <c r="L827" s="387"/>
      <c r="M827" s="380" t="str">
        <f t="array" ref="M827">IF(L827="","",(MAX(IF(AN$15:AN$144=B827,AO$15:AO$144))/60))</f>
        <v/>
      </c>
      <c r="N827" s="387"/>
      <c r="O827" s="387"/>
      <c r="P827" s="381" t="str">
        <f t="shared" si="49"/>
        <v/>
      </c>
      <c r="Q827" s="382" t="str">
        <f t="array" ref="Q827">IFERROR(INDEX($D$13:$D$1000,MATCH(0,COUNTIF($Q$13:Q826,$D$13:$D$1000&amp;"")+IF($D$13:$D$1000="",1,0),0)),"")</f>
        <v/>
      </c>
      <c r="R827" s="356" t="str">
        <f t="shared" si="50"/>
        <v/>
      </c>
      <c r="S827" s="383" t="str">
        <f t="shared" si="52"/>
        <v/>
      </c>
      <c r="T827" s="384" t="str">
        <f t="shared" si="51"/>
        <v/>
      </c>
      <c r="V827" s="385"/>
      <c r="W827" s="385"/>
      <c r="X827" s="386"/>
    </row>
    <row r="828" spans="2:24">
      <c r="B828" s="395"/>
      <c r="C828" s="371"/>
      <c r="D828" s="372" t="str">
        <f>IFERROR(INDEX('[12]Equipment List'!$B$2:$B$2038,MATCH(E828,'[12]Equipment List'!$A$2:$A$2038,0)),"")</f>
        <v/>
      </c>
      <c r="E828" s="388"/>
      <c r="F828" s="374"/>
      <c r="G828" s="375"/>
      <c r="H828" s="397"/>
      <c r="I828" s="377"/>
      <c r="J828" s="378"/>
      <c r="K828" s="379"/>
      <c r="L828" s="387"/>
      <c r="M828" s="380" t="str">
        <f t="array" ref="M828">IF(L828="","",(MAX(IF(AN$15:AN$144=B828,AO$15:AO$144))/60))</f>
        <v/>
      </c>
      <c r="N828" s="387"/>
      <c r="O828" s="387"/>
      <c r="P828" s="381" t="str">
        <f t="shared" si="49"/>
        <v/>
      </c>
      <c r="Q828" s="382" t="str">
        <f t="array" ref="Q828">IFERROR(INDEX($D$13:$D$1000,MATCH(0,COUNTIF($Q$13:Q827,$D$13:$D$1000&amp;"")+IF($D$13:$D$1000="",1,0),0)),"")</f>
        <v/>
      </c>
      <c r="R828" s="356" t="str">
        <f t="shared" si="50"/>
        <v/>
      </c>
      <c r="S828" s="383" t="str">
        <f t="shared" si="52"/>
        <v/>
      </c>
      <c r="T828" s="384" t="str">
        <f t="shared" si="51"/>
        <v/>
      </c>
      <c r="V828" s="385"/>
      <c r="W828" s="385"/>
      <c r="X828" s="386"/>
    </row>
    <row r="829" spans="2:24">
      <c r="B829" s="395"/>
      <c r="C829" s="371"/>
      <c r="D829" s="372" t="str">
        <f>IFERROR(INDEX('[12]Equipment List'!$B$2:$B$2038,MATCH(E829,'[12]Equipment List'!$A$2:$A$2038,0)),"")</f>
        <v/>
      </c>
      <c r="E829" s="388"/>
      <c r="F829" s="374"/>
      <c r="G829" s="375"/>
      <c r="H829" s="397"/>
      <c r="I829" s="377"/>
      <c r="J829" s="378"/>
      <c r="K829" s="379"/>
      <c r="L829" s="387"/>
      <c r="M829" s="380" t="str">
        <f t="array" ref="M829">IF(L829="","",(MAX(IF(AN$15:AN$144=B829,AO$15:AO$144))/60))</f>
        <v/>
      </c>
      <c r="N829" s="387"/>
      <c r="O829" s="387"/>
      <c r="P829" s="381" t="str">
        <f t="shared" si="49"/>
        <v/>
      </c>
      <c r="Q829" s="382" t="str">
        <f t="array" ref="Q829">IFERROR(INDEX($D$13:$D$1000,MATCH(0,COUNTIF($Q$13:Q828,$D$13:$D$1000&amp;"")+IF($D$13:$D$1000="",1,0),0)),"")</f>
        <v/>
      </c>
      <c r="R829" s="356" t="str">
        <f t="shared" si="50"/>
        <v/>
      </c>
      <c r="S829" s="383" t="str">
        <f t="shared" si="52"/>
        <v/>
      </c>
      <c r="T829" s="384" t="str">
        <f t="shared" si="51"/>
        <v/>
      </c>
      <c r="V829" s="385"/>
      <c r="W829" s="385"/>
      <c r="X829" s="386"/>
    </row>
    <row r="830" spans="2:24">
      <c r="B830" s="395"/>
      <c r="C830" s="371"/>
      <c r="D830" s="372" t="str">
        <f>IFERROR(INDEX('[12]Equipment List'!$B$2:$B$2038,MATCH(E830,'[12]Equipment List'!$A$2:$A$2038,0)),"")</f>
        <v/>
      </c>
      <c r="E830" s="388"/>
      <c r="F830" s="374"/>
      <c r="G830" s="375"/>
      <c r="H830" s="397"/>
      <c r="I830" s="377"/>
      <c r="J830" s="378"/>
      <c r="K830" s="379"/>
      <c r="L830" s="387"/>
      <c r="M830" s="380" t="str">
        <f t="array" ref="M830">IF(L830="","",(MAX(IF(AN$15:AN$144=B830,AO$15:AO$144))/60))</f>
        <v/>
      </c>
      <c r="N830" s="387"/>
      <c r="O830" s="387"/>
      <c r="P830" s="381" t="str">
        <f t="shared" si="49"/>
        <v/>
      </c>
      <c r="Q830" s="382" t="str">
        <f t="array" ref="Q830">IFERROR(INDEX($D$13:$D$1000,MATCH(0,COUNTIF($Q$13:Q829,$D$13:$D$1000&amp;"")+IF($D$13:$D$1000="",1,0),0)),"")</f>
        <v/>
      </c>
      <c r="R830" s="356" t="str">
        <f t="shared" si="50"/>
        <v/>
      </c>
      <c r="S830" s="383" t="str">
        <f t="shared" si="52"/>
        <v/>
      </c>
      <c r="T830" s="384" t="str">
        <f t="shared" si="51"/>
        <v/>
      </c>
      <c r="V830" s="385"/>
      <c r="W830" s="385"/>
      <c r="X830" s="386"/>
    </row>
    <row r="831" spans="2:24">
      <c r="B831" s="395"/>
      <c r="C831" s="371"/>
      <c r="D831" s="372" t="str">
        <f>IFERROR(INDEX('[12]Equipment List'!$B$2:$B$2038,MATCH(E831,'[12]Equipment List'!$A$2:$A$2038,0)),"")</f>
        <v/>
      </c>
      <c r="E831" s="388"/>
      <c r="F831" s="374"/>
      <c r="G831" s="375"/>
      <c r="H831" s="397"/>
      <c r="I831" s="377"/>
      <c r="J831" s="378"/>
      <c r="K831" s="379"/>
      <c r="L831" s="387"/>
      <c r="M831" s="380" t="str">
        <f t="array" ref="M831">IF(L831="","",(MAX(IF(AN$15:AN$144=B831,AO$15:AO$144))/60))</f>
        <v/>
      </c>
      <c r="N831" s="387"/>
      <c r="O831" s="387"/>
      <c r="P831" s="381" t="str">
        <f t="shared" si="49"/>
        <v/>
      </c>
      <c r="Q831" s="382" t="str">
        <f t="array" ref="Q831">IFERROR(INDEX($D$13:$D$1000,MATCH(0,COUNTIF($Q$13:Q830,$D$13:$D$1000&amp;"")+IF($D$13:$D$1000="",1,0),0)),"")</f>
        <v/>
      </c>
      <c r="R831" s="356" t="str">
        <f t="shared" si="50"/>
        <v/>
      </c>
      <c r="S831" s="383" t="str">
        <f t="shared" si="52"/>
        <v/>
      </c>
      <c r="T831" s="384" t="str">
        <f t="shared" si="51"/>
        <v/>
      </c>
      <c r="V831" s="385"/>
      <c r="W831" s="385"/>
      <c r="X831" s="386"/>
    </row>
    <row r="832" spans="2:24">
      <c r="B832" s="395"/>
      <c r="C832" s="371"/>
      <c r="D832" s="372" t="str">
        <f>IFERROR(INDEX('[12]Equipment List'!$B$2:$B$2038,MATCH(E832,'[12]Equipment List'!$A$2:$A$2038,0)),"")</f>
        <v/>
      </c>
      <c r="E832" s="388"/>
      <c r="F832" s="374"/>
      <c r="G832" s="375"/>
      <c r="H832" s="397"/>
      <c r="I832" s="377"/>
      <c r="J832" s="378"/>
      <c r="K832" s="379"/>
      <c r="L832" s="387"/>
      <c r="M832" s="380" t="str">
        <f t="array" ref="M832">IF(L832="","",(MAX(IF(AN$15:AN$144=B832,AO$15:AO$144))/60))</f>
        <v/>
      </c>
      <c r="N832" s="387"/>
      <c r="O832" s="387"/>
      <c r="P832" s="381" t="str">
        <f t="shared" si="49"/>
        <v/>
      </c>
      <c r="Q832" s="382" t="str">
        <f t="array" ref="Q832">IFERROR(INDEX($D$13:$D$1000,MATCH(0,COUNTIF($Q$13:Q831,$D$13:$D$1000&amp;"")+IF($D$13:$D$1000="",1,0),0)),"")</f>
        <v/>
      </c>
      <c r="R832" s="356" t="str">
        <f t="shared" si="50"/>
        <v/>
      </c>
      <c r="S832" s="383" t="str">
        <f t="shared" si="52"/>
        <v/>
      </c>
      <c r="T832" s="384" t="str">
        <f t="shared" si="51"/>
        <v/>
      </c>
      <c r="V832" s="385"/>
      <c r="W832" s="385"/>
      <c r="X832" s="386"/>
    </row>
    <row r="833" spans="2:24">
      <c r="B833" s="395"/>
      <c r="C833" s="371"/>
      <c r="D833" s="372" t="str">
        <f>IFERROR(INDEX('[12]Equipment List'!$B$2:$B$2038,MATCH(E833,'[12]Equipment List'!$A$2:$A$2038,0)),"")</f>
        <v/>
      </c>
      <c r="E833" s="388"/>
      <c r="F833" s="374"/>
      <c r="G833" s="375"/>
      <c r="H833" s="397"/>
      <c r="I833" s="377"/>
      <c r="J833" s="378"/>
      <c r="K833" s="379"/>
      <c r="L833" s="387"/>
      <c r="M833" s="380" t="str">
        <f t="array" ref="M833">IF(L833="","",(MAX(IF(AN$15:AN$144=B833,AO$15:AO$144))/60))</f>
        <v/>
      </c>
      <c r="N833" s="387"/>
      <c r="O833" s="387"/>
      <c r="P833" s="381" t="str">
        <f t="shared" si="49"/>
        <v/>
      </c>
      <c r="Q833" s="382" t="str">
        <f t="array" ref="Q833">IFERROR(INDEX($D$13:$D$1000,MATCH(0,COUNTIF($Q$13:Q832,$D$13:$D$1000&amp;"")+IF($D$13:$D$1000="",1,0),0)),"")</f>
        <v/>
      </c>
      <c r="R833" s="356" t="str">
        <f t="shared" si="50"/>
        <v/>
      </c>
      <c r="S833" s="383" t="str">
        <f t="shared" si="52"/>
        <v/>
      </c>
      <c r="T833" s="384" t="str">
        <f t="shared" si="51"/>
        <v/>
      </c>
      <c r="V833" s="385"/>
      <c r="W833" s="385"/>
      <c r="X833" s="386"/>
    </row>
    <row r="834" spans="2:24">
      <c r="B834" s="395"/>
      <c r="C834" s="371"/>
      <c r="D834" s="372" t="str">
        <f>IFERROR(INDEX('[12]Equipment List'!$B$2:$B$2038,MATCH(E834,'[12]Equipment List'!$A$2:$A$2038,0)),"")</f>
        <v/>
      </c>
      <c r="E834" s="388"/>
      <c r="F834" s="374"/>
      <c r="G834" s="375"/>
      <c r="H834" s="397"/>
      <c r="I834" s="377"/>
      <c r="J834" s="378"/>
      <c r="K834" s="379"/>
      <c r="L834" s="387"/>
      <c r="M834" s="380" t="str">
        <f t="array" ref="M834">IF(L834="","",(MAX(IF(AN$15:AN$144=B834,AO$15:AO$144))/60))</f>
        <v/>
      </c>
      <c r="N834" s="387"/>
      <c r="O834" s="387"/>
      <c r="P834" s="381" t="str">
        <f t="shared" si="49"/>
        <v/>
      </c>
      <c r="Q834" s="382" t="str">
        <f t="array" ref="Q834">IFERROR(INDEX($D$13:$D$1000,MATCH(0,COUNTIF($Q$13:Q833,$D$13:$D$1000&amp;"")+IF($D$13:$D$1000="",1,0),0)),"")</f>
        <v/>
      </c>
      <c r="R834" s="356" t="str">
        <f t="shared" si="50"/>
        <v/>
      </c>
      <c r="S834" s="383" t="str">
        <f t="shared" si="52"/>
        <v/>
      </c>
      <c r="T834" s="384" t="str">
        <f t="shared" si="51"/>
        <v/>
      </c>
      <c r="V834" s="385"/>
      <c r="W834" s="385"/>
      <c r="X834" s="386"/>
    </row>
    <row r="835" spans="2:24">
      <c r="B835" s="395"/>
      <c r="C835" s="371"/>
      <c r="D835" s="372" t="str">
        <f>IFERROR(INDEX('[12]Equipment List'!$B$2:$B$2038,MATCH(E835,'[12]Equipment List'!$A$2:$A$2038,0)),"")</f>
        <v/>
      </c>
      <c r="E835" s="388"/>
      <c r="F835" s="374"/>
      <c r="G835" s="375"/>
      <c r="H835" s="397"/>
      <c r="I835" s="377"/>
      <c r="J835" s="378"/>
      <c r="K835" s="379"/>
      <c r="L835" s="387"/>
      <c r="M835" s="380" t="str">
        <f t="array" ref="M835">IF(L835="","",(MAX(IF(AN$15:AN$144=B835,AO$15:AO$144))/60))</f>
        <v/>
      </c>
      <c r="N835" s="387"/>
      <c r="O835" s="387"/>
      <c r="P835" s="381" t="str">
        <f t="shared" si="49"/>
        <v/>
      </c>
      <c r="Q835" s="382" t="str">
        <f t="array" ref="Q835">IFERROR(INDEX($D$13:$D$1000,MATCH(0,COUNTIF($Q$13:Q834,$D$13:$D$1000&amp;"")+IF($D$13:$D$1000="",1,0),0)),"")</f>
        <v/>
      </c>
      <c r="R835" s="356" t="str">
        <f t="shared" si="50"/>
        <v/>
      </c>
      <c r="S835" s="383" t="str">
        <f t="shared" si="52"/>
        <v/>
      </c>
      <c r="T835" s="384" t="str">
        <f t="shared" si="51"/>
        <v/>
      </c>
      <c r="V835" s="385"/>
      <c r="W835" s="385"/>
      <c r="X835" s="386"/>
    </row>
    <row r="836" spans="2:24">
      <c r="B836" s="395"/>
      <c r="C836" s="371"/>
      <c r="D836" s="372" t="str">
        <f>IFERROR(INDEX('[12]Equipment List'!$B$2:$B$2038,MATCH(E836,'[12]Equipment List'!$A$2:$A$2038,0)),"")</f>
        <v/>
      </c>
      <c r="E836" s="388"/>
      <c r="F836" s="374"/>
      <c r="G836" s="375"/>
      <c r="H836" s="397"/>
      <c r="I836" s="377"/>
      <c r="J836" s="378"/>
      <c r="K836" s="379"/>
      <c r="L836" s="387"/>
      <c r="M836" s="380" t="str">
        <f t="array" ref="M836">IF(L836="","",(MAX(IF(AN$15:AN$144=B836,AO$15:AO$144))/60))</f>
        <v/>
      </c>
      <c r="N836" s="387"/>
      <c r="O836" s="387"/>
      <c r="P836" s="381" t="str">
        <f t="shared" si="49"/>
        <v/>
      </c>
      <c r="Q836" s="382" t="str">
        <f t="array" ref="Q836">IFERROR(INDEX($D$13:$D$1000,MATCH(0,COUNTIF($Q$13:Q835,$D$13:$D$1000&amp;"")+IF($D$13:$D$1000="",1,0),0)),"")</f>
        <v/>
      </c>
      <c r="R836" s="356" t="str">
        <f t="shared" si="50"/>
        <v/>
      </c>
      <c r="S836" s="383" t="str">
        <f t="shared" si="52"/>
        <v/>
      </c>
      <c r="T836" s="384" t="str">
        <f t="shared" si="51"/>
        <v/>
      </c>
      <c r="V836" s="385"/>
      <c r="W836" s="385"/>
      <c r="X836" s="386"/>
    </row>
    <row r="837" spans="2:24">
      <c r="B837" s="395"/>
      <c r="C837" s="371"/>
      <c r="D837" s="372" t="str">
        <f>IFERROR(INDEX('[12]Equipment List'!$B$2:$B$2038,MATCH(E837,'[12]Equipment List'!$A$2:$A$2038,0)),"")</f>
        <v/>
      </c>
      <c r="E837" s="388"/>
      <c r="F837" s="374"/>
      <c r="G837" s="375"/>
      <c r="H837" s="397"/>
      <c r="I837" s="377"/>
      <c r="J837" s="378"/>
      <c r="K837" s="379"/>
      <c r="L837" s="387"/>
      <c r="M837" s="380" t="str">
        <f t="array" ref="M837">IF(L837="","",(MAX(IF(AN$15:AN$144=B837,AO$15:AO$144))/60))</f>
        <v/>
      </c>
      <c r="N837" s="387"/>
      <c r="O837" s="387"/>
      <c r="P837" s="381" t="str">
        <f t="shared" si="49"/>
        <v/>
      </c>
      <c r="Q837" s="382" t="str">
        <f t="array" ref="Q837">IFERROR(INDEX($D$13:$D$1000,MATCH(0,COUNTIF($Q$13:Q836,$D$13:$D$1000&amp;"")+IF($D$13:$D$1000="",1,0),0)),"")</f>
        <v/>
      </c>
      <c r="R837" s="356" t="str">
        <f t="shared" si="50"/>
        <v/>
      </c>
      <c r="S837" s="383" t="str">
        <f t="shared" si="52"/>
        <v/>
      </c>
      <c r="T837" s="384" t="str">
        <f t="shared" si="51"/>
        <v/>
      </c>
      <c r="V837" s="385"/>
      <c r="W837" s="385"/>
      <c r="X837" s="386"/>
    </row>
    <row r="838" spans="2:24">
      <c r="B838" s="395"/>
      <c r="C838" s="371"/>
      <c r="D838" s="372" t="str">
        <f>IFERROR(INDEX('[12]Equipment List'!$B$2:$B$2038,MATCH(E838,'[12]Equipment List'!$A$2:$A$2038,0)),"")</f>
        <v/>
      </c>
      <c r="E838" s="388"/>
      <c r="F838" s="374"/>
      <c r="G838" s="375"/>
      <c r="H838" s="397"/>
      <c r="I838" s="377"/>
      <c r="J838" s="378"/>
      <c r="K838" s="379"/>
      <c r="L838" s="387"/>
      <c r="M838" s="380" t="str">
        <f t="array" ref="M838">IF(L838="","",(MAX(IF(AN$15:AN$144=B838,AO$15:AO$144))/60))</f>
        <v/>
      </c>
      <c r="N838" s="387"/>
      <c r="O838" s="387"/>
      <c r="P838" s="381" t="str">
        <f t="shared" si="49"/>
        <v/>
      </c>
      <c r="Q838" s="382" t="str">
        <f t="array" ref="Q838">IFERROR(INDEX($D$13:$D$1000,MATCH(0,COUNTIF($Q$13:Q837,$D$13:$D$1000&amp;"")+IF($D$13:$D$1000="",1,0),0)),"")</f>
        <v/>
      </c>
      <c r="R838" s="356" t="str">
        <f t="shared" si="50"/>
        <v/>
      </c>
      <c r="S838" s="383" t="str">
        <f t="shared" si="52"/>
        <v/>
      </c>
      <c r="T838" s="384" t="str">
        <f t="shared" si="51"/>
        <v/>
      </c>
      <c r="V838" s="385"/>
      <c r="W838" s="385"/>
      <c r="X838" s="386"/>
    </row>
    <row r="839" spans="2:24">
      <c r="B839" s="395"/>
      <c r="C839" s="371"/>
      <c r="D839" s="372" t="str">
        <f>IFERROR(INDEX('[12]Equipment List'!$B$2:$B$2038,MATCH(E839,'[12]Equipment List'!$A$2:$A$2038,0)),"")</f>
        <v/>
      </c>
      <c r="E839" s="388"/>
      <c r="F839" s="374"/>
      <c r="G839" s="375"/>
      <c r="H839" s="397"/>
      <c r="I839" s="377"/>
      <c r="J839" s="378"/>
      <c r="K839" s="379"/>
      <c r="L839" s="387"/>
      <c r="M839" s="380" t="str">
        <f t="array" ref="M839">IF(L839="","",(MAX(IF(AN$15:AN$144=B839,AO$15:AO$144))/60))</f>
        <v/>
      </c>
      <c r="N839" s="387"/>
      <c r="O839" s="387"/>
      <c r="P839" s="381" t="str">
        <f t="shared" si="49"/>
        <v/>
      </c>
      <c r="Q839" s="382" t="str">
        <f t="array" ref="Q839">IFERROR(INDEX($D$13:$D$1000,MATCH(0,COUNTIF($Q$13:Q838,$D$13:$D$1000&amp;"")+IF($D$13:$D$1000="",1,0),0)),"")</f>
        <v/>
      </c>
      <c r="R839" s="356" t="str">
        <f t="shared" si="50"/>
        <v/>
      </c>
      <c r="S839" s="383" t="str">
        <f t="shared" si="52"/>
        <v/>
      </c>
      <c r="T839" s="384" t="str">
        <f t="shared" si="51"/>
        <v/>
      </c>
      <c r="V839" s="385"/>
      <c r="W839" s="385"/>
      <c r="X839" s="386"/>
    </row>
    <row r="840" spans="2:24">
      <c r="B840" s="395"/>
      <c r="C840" s="371"/>
      <c r="D840" s="372" t="str">
        <f>IFERROR(INDEX('[12]Equipment List'!$B$2:$B$2038,MATCH(E840,'[12]Equipment List'!$A$2:$A$2038,0)),"")</f>
        <v/>
      </c>
      <c r="E840" s="388"/>
      <c r="F840" s="374"/>
      <c r="G840" s="375"/>
      <c r="H840" s="397"/>
      <c r="I840" s="377"/>
      <c r="J840" s="378"/>
      <c r="K840" s="379"/>
      <c r="L840" s="387"/>
      <c r="M840" s="380" t="str">
        <f t="array" ref="M840">IF(L840="","",(MAX(IF(AN$15:AN$144=B840,AO$15:AO$144))/60))</f>
        <v/>
      </c>
      <c r="N840" s="387"/>
      <c r="O840" s="387"/>
      <c r="P840" s="381" t="str">
        <f t="shared" si="49"/>
        <v/>
      </c>
      <c r="Q840" s="382" t="str">
        <f t="array" ref="Q840">IFERROR(INDEX($D$13:$D$1000,MATCH(0,COUNTIF($Q$13:Q839,$D$13:$D$1000&amp;"")+IF($D$13:$D$1000="",1,0),0)),"")</f>
        <v/>
      </c>
      <c r="R840" s="356" t="str">
        <f t="shared" si="50"/>
        <v/>
      </c>
      <c r="S840" s="383" t="str">
        <f t="shared" si="52"/>
        <v/>
      </c>
      <c r="T840" s="384" t="str">
        <f t="shared" si="51"/>
        <v/>
      </c>
      <c r="V840" s="385"/>
      <c r="W840" s="385"/>
      <c r="X840" s="386"/>
    </row>
    <row r="841" spans="2:24">
      <c r="B841" s="395"/>
      <c r="C841" s="371"/>
      <c r="D841" s="372" t="str">
        <f>IFERROR(INDEX('[12]Equipment List'!$B$2:$B$2038,MATCH(E841,'[12]Equipment List'!$A$2:$A$2038,0)),"")</f>
        <v/>
      </c>
      <c r="E841" s="388"/>
      <c r="F841" s="374"/>
      <c r="G841" s="375"/>
      <c r="H841" s="397"/>
      <c r="I841" s="377"/>
      <c r="J841" s="378"/>
      <c r="K841" s="379"/>
      <c r="L841" s="387"/>
      <c r="M841" s="380" t="str">
        <f t="array" ref="M841">IF(L841="","",(MAX(IF(AN$15:AN$144=B841,AO$15:AO$144))/60))</f>
        <v/>
      </c>
      <c r="N841" s="387"/>
      <c r="O841" s="387"/>
      <c r="P841" s="381" t="str">
        <f t="shared" si="49"/>
        <v/>
      </c>
      <c r="Q841" s="382" t="str">
        <f t="array" ref="Q841">IFERROR(INDEX($D$13:$D$1000,MATCH(0,COUNTIF($Q$13:Q840,$D$13:$D$1000&amp;"")+IF($D$13:$D$1000="",1,0),0)),"")</f>
        <v/>
      </c>
      <c r="R841" s="356" t="str">
        <f t="shared" si="50"/>
        <v/>
      </c>
      <c r="S841" s="383" t="str">
        <f t="shared" si="52"/>
        <v/>
      </c>
      <c r="T841" s="384" t="str">
        <f t="shared" si="51"/>
        <v/>
      </c>
      <c r="V841" s="385"/>
      <c r="W841" s="385"/>
      <c r="X841" s="386"/>
    </row>
    <row r="842" spans="2:24">
      <c r="B842" s="395"/>
      <c r="C842" s="371"/>
      <c r="D842" s="372" t="str">
        <f>IFERROR(INDEX('[12]Equipment List'!$B$2:$B$2038,MATCH(E842,'[12]Equipment List'!$A$2:$A$2038,0)),"")</f>
        <v/>
      </c>
      <c r="E842" s="388"/>
      <c r="F842" s="374"/>
      <c r="G842" s="375"/>
      <c r="H842" s="397"/>
      <c r="I842" s="377"/>
      <c r="J842" s="378"/>
      <c r="K842" s="379"/>
      <c r="L842" s="387"/>
      <c r="M842" s="380" t="str">
        <f t="array" ref="M842">IF(L842="","",(MAX(IF(AN$15:AN$144=B842,AO$15:AO$144))/60))</f>
        <v/>
      </c>
      <c r="N842" s="387"/>
      <c r="O842" s="387"/>
      <c r="P842" s="381" t="str">
        <f t="shared" si="49"/>
        <v/>
      </c>
      <c r="Q842" s="382" t="str">
        <f t="array" ref="Q842">IFERROR(INDEX($D$13:$D$1000,MATCH(0,COUNTIF($Q$13:Q841,$D$13:$D$1000&amp;"")+IF($D$13:$D$1000="",1,0),0)),"")</f>
        <v/>
      </c>
      <c r="R842" s="356" t="str">
        <f t="shared" si="50"/>
        <v/>
      </c>
      <c r="S842" s="383" t="str">
        <f t="shared" si="52"/>
        <v/>
      </c>
      <c r="T842" s="384" t="str">
        <f t="shared" si="51"/>
        <v/>
      </c>
      <c r="V842" s="385"/>
      <c r="W842" s="385"/>
      <c r="X842" s="386"/>
    </row>
    <row r="843" spans="2:24">
      <c r="B843" s="395"/>
      <c r="C843" s="371"/>
      <c r="D843" s="372" t="str">
        <f>IFERROR(INDEX('[12]Equipment List'!$B$2:$B$2038,MATCH(E843,'[12]Equipment List'!$A$2:$A$2038,0)),"")</f>
        <v/>
      </c>
      <c r="E843" s="388"/>
      <c r="F843" s="374"/>
      <c r="G843" s="375"/>
      <c r="H843" s="397"/>
      <c r="I843" s="377"/>
      <c r="J843" s="378"/>
      <c r="K843" s="379"/>
      <c r="L843" s="387"/>
      <c r="M843" s="380" t="str">
        <f t="array" ref="M843">IF(L843="","",(MAX(IF(AN$15:AN$144=B843,AO$15:AO$144))/60))</f>
        <v/>
      </c>
      <c r="N843" s="387"/>
      <c r="O843" s="387"/>
      <c r="P843" s="381" t="str">
        <f t="shared" si="49"/>
        <v/>
      </c>
      <c r="Q843" s="382" t="str">
        <f t="array" ref="Q843">IFERROR(INDEX($D$13:$D$1000,MATCH(0,COUNTIF($Q$13:Q842,$D$13:$D$1000&amp;"")+IF($D$13:$D$1000="",1,0),0)),"")</f>
        <v/>
      </c>
      <c r="R843" s="356" t="str">
        <f t="shared" si="50"/>
        <v/>
      </c>
      <c r="S843" s="383" t="str">
        <f t="shared" si="52"/>
        <v/>
      </c>
      <c r="T843" s="384" t="str">
        <f t="shared" si="51"/>
        <v/>
      </c>
      <c r="V843" s="385"/>
      <c r="W843" s="385"/>
      <c r="X843" s="386"/>
    </row>
    <row r="844" spans="2:24">
      <c r="B844" s="395"/>
      <c r="C844" s="371"/>
      <c r="D844" s="372" t="str">
        <f>IFERROR(INDEX('[12]Equipment List'!$B$2:$B$2038,MATCH(E844,'[12]Equipment List'!$A$2:$A$2038,0)),"")</f>
        <v/>
      </c>
      <c r="E844" s="388"/>
      <c r="F844" s="374"/>
      <c r="G844" s="375"/>
      <c r="H844" s="397"/>
      <c r="I844" s="377"/>
      <c r="J844" s="378"/>
      <c r="K844" s="379"/>
      <c r="L844" s="387"/>
      <c r="M844" s="380" t="str">
        <f t="array" ref="M844">IF(L844="","",(MAX(IF(AN$15:AN$144=B844,AO$15:AO$144))/60))</f>
        <v/>
      </c>
      <c r="N844" s="387"/>
      <c r="O844" s="387"/>
      <c r="P844" s="381" t="str">
        <f t="shared" ref="P844:P907" si="53">IFERROR((((K844/5/250/$F$8)+(N844*$F$9))/$S$4)*(M844/60),"")</f>
        <v/>
      </c>
      <c r="Q844" s="382" t="str">
        <f t="array" ref="Q844">IFERROR(INDEX($D$13:$D$1000,MATCH(0,COUNTIF($Q$13:Q843,$D$13:$D$1000&amp;"")+IF($D$13:$D$1000="",1,0),0)),"")</f>
        <v/>
      </c>
      <c r="R844" s="356" t="str">
        <f t="shared" si="50"/>
        <v/>
      </c>
      <c r="S844" s="383" t="str">
        <f t="shared" si="52"/>
        <v/>
      </c>
      <c r="T844" s="384" t="str">
        <f t="shared" si="51"/>
        <v/>
      </c>
      <c r="V844" s="385"/>
      <c r="W844" s="385"/>
      <c r="X844" s="386"/>
    </row>
    <row r="845" spans="2:24">
      <c r="B845" s="395"/>
      <c r="C845" s="371"/>
      <c r="D845" s="372" t="str">
        <f>IFERROR(INDEX('[12]Equipment List'!$B$2:$B$2038,MATCH(E845,'[12]Equipment List'!$A$2:$A$2038,0)),"")</f>
        <v/>
      </c>
      <c r="E845" s="388"/>
      <c r="F845" s="374"/>
      <c r="G845" s="375"/>
      <c r="H845" s="397"/>
      <c r="I845" s="377"/>
      <c r="J845" s="378"/>
      <c r="K845" s="379"/>
      <c r="L845" s="387"/>
      <c r="M845" s="380" t="str">
        <f t="array" ref="M845">IF(L845="","",(MAX(IF(AN$15:AN$144=B845,AO$15:AO$144))/60))</f>
        <v/>
      </c>
      <c r="N845" s="387"/>
      <c r="O845" s="387"/>
      <c r="P845" s="381" t="str">
        <f t="shared" si="53"/>
        <v/>
      </c>
      <c r="Q845" s="382" t="str">
        <f t="array" ref="Q845">IFERROR(INDEX($D$13:$D$1000,MATCH(0,COUNTIF($Q$13:Q844,$D$13:$D$1000&amp;"")+IF($D$13:$D$1000="",1,0),0)),"")</f>
        <v/>
      </c>
      <c r="R845" s="356" t="str">
        <f t="shared" ref="R845:R908" si="54">IF(Q845="","",COUNTIF($D$13:$D$1000,$Q845))</f>
        <v/>
      </c>
      <c r="S845" s="383" t="str">
        <f t="shared" si="52"/>
        <v/>
      </c>
      <c r="T845" s="384" t="str">
        <f t="shared" ref="T845:T908" si="55">IF($Q845="","",SUMIF($D$13:$D$1000,$Q845,N$13:N$1000))</f>
        <v/>
      </c>
      <c r="V845" s="385"/>
      <c r="W845" s="385"/>
      <c r="X845" s="386"/>
    </row>
    <row r="846" spans="2:24">
      <c r="B846" s="395"/>
      <c r="C846" s="371"/>
      <c r="D846" s="372" t="str">
        <f>IFERROR(INDEX('[12]Equipment List'!$B$2:$B$2038,MATCH(E846,'[12]Equipment List'!$A$2:$A$2038,0)),"")</f>
        <v/>
      </c>
      <c r="E846" s="388"/>
      <c r="F846" s="374"/>
      <c r="G846" s="375"/>
      <c r="H846" s="397"/>
      <c r="I846" s="377"/>
      <c r="J846" s="378"/>
      <c r="K846" s="379"/>
      <c r="L846" s="387"/>
      <c r="M846" s="380" t="str">
        <f t="array" ref="M846">IF(L846="","",(MAX(IF(AN$15:AN$144=B846,AO$15:AO$144))/60))</f>
        <v/>
      </c>
      <c r="N846" s="387"/>
      <c r="O846" s="387"/>
      <c r="P846" s="381" t="str">
        <f t="shared" si="53"/>
        <v/>
      </c>
      <c r="Q846" s="382" t="str">
        <f t="array" ref="Q846">IFERROR(INDEX($D$13:$D$1000,MATCH(0,COUNTIF($Q$13:Q845,$D$13:$D$1000&amp;"")+IF($D$13:$D$1000="",1,0),0)),"")</f>
        <v/>
      </c>
      <c r="R846" s="356" t="str">
        <f t="shared" si="54"/>
        <v/>
      </c>
      <c r="S846" s="383" t="str">
        <f t="shared" si="52"/>
        <v/>
      </c>
      <c r="T846" s="384" t="str">
        <f t="shared" si="55"/>
        <v/>
      </c>
      <c r="V846" s="385"/>
      <c r="W846" s="385"/>
      <c r="X846" s="386"/>
    </row>
    <row r="847" spans="2:24">
      <c r="B847" s="395"/>
      <c r="C847" s="371"/>
      <c r="D847" s="372" t="str">
        <f>IFERROR(INDEX('[12]Equipment List'!$B$2:$B$2038,MATCH(E847,'[12]Equipment List'!$A$2:$A$2038,0)),"")</f>
        <v/>
      </c>
      <c r="E847" s="388"/>
      <c r="F847" s="374"/>
      <c r="G847" s="375"/>
      <c r="H847" s="397"/>
      <c r="I847" s="377"/>
      <c r="J847" s="378"/>
      <c r="K847" s="379"/>
      <c r="L847" s="387"/>
      <c r="M847" s="380" t="str">
        <f t="array" ref="M847">IF(L847="","",(MAX(IF(AN$15:AN$144=B847,AO$15:AO$144))/60))</f>
        <v/>
      </c>
      <c r="N847" s="387"/>
      <c r="O847" s="387"/>
      <c r="P847" s="381" t="str">
        <f t="shared" si="53"/>
        <v/>
      </c>
      <c r="Q847" s="382" t="str">
        <f t="array" ref="Q847">IFERROR(INDEX($D$13:$D$1000,MATCH(0,COUNTIF($Q$13:Q846,$D$13:$D$1000&amp;"")+IF($D$13:$D$1000="",1,0),0)),"")</f>
        <v/>
      </c>
      <c r="R847" s="356" t="str">
        <f t="shared" si="54"/>
        <v/>
      </c>
      <c r="S847" s="383" t="str">
        <f t="shared" si="52"/>
        <v/>
      </c>
      <c r="T847" s="384" t="str">
        <f t="shared" si="55"/>
        <v/>
      </c>
      <c r="V847" s="385"/>
      <c r="W847" s="385"/>
      <c r="X847" s="386"/>
    </row>
    <row r="848" spans="2:24">
      <c r="B848" s="395"/>
      <c r="C848" s="371"/>
      <c r="D848" s="372" t="str">
        <f>IFERROR(INDEX('[12]Equipment List'!$B$2:$B$2038,MATCH(E848,'[12]Equipment List'!$A$2:$A$2038,0)),"")</f>
        <v/>
      </c>
      <c r="E848" s="388"/>
      <c r="F848" s="374"/>
      <c r="G848" s="375"/>
      <c r="H848" s="397"/>
      <c r="I848" s="377"/>
      <c r="J848" s="378"/>
      <c r="K848" s="379"/>
      <c r="L848" s="387"/>
      <c r="M848" s="380" t="str">
        <f t="array" ref="M848">IF(L848="","",(MAX(IF(AN$15:AN$144=B848,AO$15:AO$144))/60))</f>
        <v/>
      </c>
      <c r="N848" s="387"/>
      <c r="O848" s="387"/>
      <c r="P848" s="381" t="str">
        <f t="shared" si="53"/>
        <v/>
      </c>
      <c r="Q848" s="382" t="str">
        <f t="array" ref="Q848">IFERROR(INDEX($D$13:$D$1000,MATCH(0,COUNTIF($Q$13:Q847,$D$13:$D$1000&amp;"")+IF($D$13:$D$1000="",1,0),0)),"")</f>
        <v/>
      </c>
      <c r="R848" s="356" t="str">
        <f t="shared" si="54"/>
        <v/>
      </c>
      <c r="S848" s="383" t="str">
        <f t="shared" si="52"/>
        <v/>
      </c>
      <c r="T848" s="384" t="str">
        <f t="shared" si="55"/>
        <v/>
      </c>
      <c r="V848" s="385"/>
      <c r="W848" s="385"/>
      <c r="X848" s="386"/>
    </row>
    <row r="849" spans="2:24">
      <c r="B849" s="395"/>
      <c r="C849" s="371"/>
      <c r="D849" s="372" t="str">
        <f>IFERROR(INDEX('[12]Equipment List'!$B$2:$B$2038,MATCH(E849,'[12]Equipment List'!$A$2:$A$2038,0)),"")</f>
        <v/>
      </c>
      <c r="E849" s="388"/>
      <c r="F849" s="374"/>
      <c r="G849" s="375"/>
      <c r="H849" s="397"/>
      <c r="I849" s="377"/>
      <c r="J849" s="378"/>
      <c r="K849" s="379"/>
      <c r="L849" s="387"/>
      <c r="M849" s="380" t="str">
        <f t="array" ref="M849">IF(L849="","",(MAX(IF(AN$15:AN$144=B849,AO$15:AO$144))/60))</f>
        <v/>
      </c>
      <c r="N849" s="387"/>
      <c r="O849" s="387"/>
      <c r="P849" s="381" t="str">
        <f t="shared" si="53"/>
        <v/>
      </c>
      <c r="Q849" s="382" t="str">
        <f t="array" ref="Q849">IFERROR(INDEX($D$13:$D$1000,MATCH(0,COUNTIF($Q$13:Q848,$D$13:$D$1000&amp;"")+IF($D$13:$D$1000="",1,0),0)),"")</f>
        <v/>
      </c>
      <c r="R849" s="356" t="str">
        <f t="shared" si="54"/>
        <v/>
      </c>
      <c r="S849" s="383" t="str">
        <f t="shared" si="52"/>
        <v/>
      </c>
      <c r="T849" s="384" t="str">
        <f t="shared" si="55"/>
        <v/>
      </c>
      <c r="V849" s="385"/>
      <c r="W849" s="385"/>
      <c r="X849" s="386"/>
    </row>
    <row r="850" spans="2:24">
      <c r="B850" s="395"/>
      <c r="C850" s="371"/>
      <c r="D850" s="372" t="str">
        <f>IFERROR(INDEX('[12]Equipment List'!$B$2:$B$2038,MATCH(E850,'[12]Equipment List'!$A$2:$A$2038,0)),"")</f>
        <v/>
      </c>
      <c r="E850" s="388"/>
      <c r="F850" s="374"/>
      <c r="G850" s="375"/>
      <c r="H850" s="397"/>
      <c r="I850" s="377"/>
      <c r="J850" s="378"/>
      <c r="K850" s="379"/>
      <c r="L850" s="387"/>
      <c r="M850" s="380" t="str">
        <f t="array" ref="M850">IF(L850="","",(MAX(IF(AN$15:AN$144=B850,AO$15:AO$144))/60))</f>
        <v/>
      </c>
      <c r="N850" s="387"/>
      <c r="O850" s="387"/>
      <c r="P850" s="381" t="str">
        <f t="shared" si="53"/>
        <v/>
      </c>
      <c r="Q850" s="382" t="str">
        <f t="array" ref="Q850">IFERROR(INDEX($D$13:$D$1000,MATCH(0,COUNTIF($Q$13:Q849,$D$13:$D$1000&amp;"")+IF($D$13:$D$1000="",1,0),0)),"")</f>
        <v/>
      </c>
      <c r="R850" s="356" t="str">
        <f t="shared" si="54"/>
        <v/>
      </c>
      <c r="S850" s="383" t="str">
        <f t="shared" si="52"/>
        <v/>
      </c>
      <c r="T850" s="384" t="str">
        <f t="shared" si="55"/>
        <v/>
      </c>
      <c r="V850" s="385"/>
      <c r="W850" s="385"/>
      <c r="X850" s="386"/>
    </row>
    <row r="851" spans="2:24">
      <c r="B851" s="395"/>
      <c r="C851" s="371"/>
      <c r="D851" s="372" t="str">
        <f>IFERROR(INDEX('[12]Equipment List'!$B$2:$B$2038,MATCH(E851,'[12]Equipment List'!$A$2:$A$2038,0)),"")</f>
        <v/>
      </c>
      <c r="E851" s="388"/>
      <c r="F851" s="374"/>
      <c r="G851" s="375"/>
      <c r="H851" s="397"/>
      <c r="I851" s="377"/>
      <c r="J851" s="378"/>
      <c r="K851" s="379"/>
      <c r="L851" s="387"/>
      <c r="M851" s="380" t="str">
        <f t="array" ref="M851">IF(L851="","",(MAX(IF(AN$15:AN$144=B851,AO$15:AO$144))/60))</f>
        <v/>
      </c>
      <c r="N851" s="387"/>
      <c r="O851" s="387"/>
      <c r="P851" s="381" t="str">
        <f t="shared" si="53"/>
        <v/>
      </c>
      <c r="Q851" s="382" t="str">
        <f t="array" ref="Q851">IFERROR(INDEX($D$13:$D$1000,MATCH(0,COUNTIF($Q$13:Q850,$D$13:$D$1000&amp;"")+IF($D$13:$D$1000="",1,0),0)),"")</f>
        <v/>
      </c>
      <c r="R851" s="356" t="str">
        <f t="shared" si="54"/>
        <v/>
      </c>
      <c r="S851" s="383" t="str">
        <f t="shared" si="52"/>
        <v/>
      </c>
      <c r="T851" s="384" t="str">
        <f t="shared" si="55"/>
        <v/>
      </c>
      <c r="V851" s="385"/>
      <c r="W851" s="385"/>
      <c r="X851" s="386"/>
    </row>
    <row r="852" spans="2:24">
      <c r="B852" s="395"/>
      <c r="C852" s="371"/>
      <c r="D852" s="372" t="str">
        <f>IFERROR(INDEX('[12]Equipment List'!$B$2:$B$2038,MATCH(E852,'[12]Equipment List'!$A$2:$A$2038,0)),"")</f>
        <v/>
      </c>
      <c r="E852" s="388"/>
      <c r="F852" s="374"/>
      <c r="G852" s="375"/>
      <c r="H852" s="397"/>
      <c r="I852" s="377"/>
      <c r="J852" s="378"/>
      <c r="K852" s="379"/>
      <c r="L852" s="387"/>
      <c r="M852" s="380" t="str">
        <f t="array" ref="M852">IF(L852="","",(MAX(IF(AN$15:AN$144=B852,AO$15:AO$144))/60))</f>
        <v/>
      </c>
      <c r="N852" s="387"/>
      <c r="O852" s="387"/>
      <c r="P852" s="381" t="str">
        <f t="shared" si="53"/>
        <v/>
      </c>
      <c r="Q852" s="382" t="str">
        <f t="array" ref="Q852">IFERROR(INDEX($D$13:$D$1000,MATCH(0,COUNTIF($Q$13:Q851,$D$13:$D$1000&amp;"")+IF($D$13:$D$1000="",1,0),0)),"")</f>
        <v/>
      </c>
      <c r="R852" s="356" t="str">
        <f t="shared" si="54"/>
        <v/>
      </c>
      <c r="S852" s="383" t="str">
        <f t="shared" si="52"/>
        <v/>
      </c>
      <c r="T852" s="384" t="str">
        <f t="shared" si="55"/>
        <v/>
      </c>
      <c r="V852" s="385"/>
      <c r="W852" s="385"/>
      <c r="X852" s="386"/>
    </row>
    <row r="853" spans="2:24">
      <c r="B853" s="395"/>
      <c r="C853" s="371"/>
      <c r="D853" s="372" t="str">
        <f>IFERROR(INDEX('[12]Equipment List'!$B$2:$B$2038,MATCH(E853,'[12]Equipment List'!$A$2:$A$2038,0)),"")</f>
        <v/>
      </c>
      <c r="E853" s="388"/>
      <c r="F853" s="374"/>
      <c r="G853" s="375"/>
      <c r="H853" s="397"/>
      <c r="I853" s="377"/>
      <c r="J853" s="378"/>
      <c r="K853" s="379"/>
      <c r="L853" s="387"/>
      <c r="M853" s="380" t="str">
        <f t="array" ref="M853">IF(L853="","",(MAX(IF(AN$15:AN$144=B853,AO$15:AO$144))/60))</f>
        <v/>
      </c>
      <c r="N853" s="387"/>
      <c r="O853" s="387"/>
      <c r="P853" s="381" t="str">
        <f t="shared" si="53"/>
        <v/>
      </c>
      <c r="Q853" s="382" t="str">
        <f t="array" ref="Q853">IFERROR(INDEX($D$13:$D$1000,MATCH(0,COUNTIF($Q$13:Q852,$D$13:$D$1000&amp;"")+IF($D$13:$D$1000="",1,0),0)),"")</f>
        <v/>
      </c>
      <c r="R853" s="356" t="str">
        <f t="shared" si="54"/>
        <v/>
      </c>
      <c r="S853" s="383" t="str">
        <f t="shared" si="52"/>
        <v/>
      </c>
      <c r="T853" s="384" t="str">
        <f t="shared" si="55"/>
        <v/>
      </c>
      <c r="V853" s="385"/>
      <c r="W853" s="385"/>
      <c r="X853" s="386"/>
    </row>
    <row r="854" spans="2:24">
      <c r="B854" s="395"/>
      <c r="C854" s="371"/>
      <c r="D854" s="372" t="str">
        <f>IFERROR(INDEX('[12]Equipment List'!$B$2:$B$2038,MATCH(E854,'[12]Equipment List'!$A$2:$A$2038,0)),"")</f>
        <v/>
      </c>
      <c r="E854" s="388"/>
      <c r="F854" s="374"/>
      <c r="G854" s="375"/>
      <c r="H854" s="397"/>
      <c r="I854" s="377"/>
      <c r="J854" s="378"/>
      <c r="K854" s="379"/>
      <c r="L854" s="387"/>
      <c r="M854" s="380" t="str">
        <f t="array" ref="M854">IF(L854="","",(MAX(IF(AN$15:AN$144=B854,AO$15:AO$144))/60))</f>
        <v/>
      </c>
      <c r="N854" s="387"/>
      <c r="O854" s="387"/>
      <c r="P854" s="381" t="str">
        <f t="shared" si="53"/>
        <v/>
      </c>
      <c r="Q854" s="382" t="str">
        <f t="array" ref="Q854">IFERROR(INDEX($D$13:$D$1000,MATCH(0,COUNTIF($Q$13:Q853,$D$13:$D$1000&amp;"")+IF($D$13:$D$1000="",1,0),0)),"")</f>
        <v/>
      </c>
      <c r="R854" s="356" t="str">
        <f t="shared" si="54"/>
        <v/>
      </c>
      <c r="S854" s="383" t="str">
        <f t="shared" si="52"/>
        <v/>
      </c>
      <c r="T854" s="384" t="str">
        <f t="shared" si="55"/>
        <v/>
      </c>
      <c r="V854" s="385"/>
      <c r="W854" s="385"/>
      <c r="X854" s="386"/>
    </row>
    <row r="855" spans="2:24">
      <c r="B855" s="395"/>
      <c r="C855" s="371"/>
      <c r="D855" s="372" t="str">
        <f>IFERROR(INDEX('[12]Equipment List'!$B$2:$B$2038,MATCH(E855,'[12]Equipment List'!$A$2:$A$2038,0)),"")</f>
        <v/>
      </c>
      <c r="E855" s="388"/>
      <c r="F855" s="374"/>
      <c r="G855" s="375"/>
      <c r="H855" s="397"/>
      <c r="I855" s="377"/>
      <c r="J855" s="378"/>
      <c r="K855" s="379"/>
      <c r="L855" s="387"/>
      <c r="M855" s="380" t="str">
        <f t="array" ref="M855">IF(L855="","",(MAX(IF(AN$15:AN$144=B855,AO$15:AO$144))/60))</f>
        <v/>
      </c>
      <c r="N855" s="387"/>
      <c r="O855" s="387"/>
      <c r="P855" s="381" t="str">
        <f t="shared" si="53"/>
        <v/>
      </c>
      <c r="Q855" s="382" t="str">
        <f t="array" ref="Q855">IFERROR(INDEX($D$13:$D$1000,MATCH(0,COUNTIF($Q$13:Q854,$D$13:$D$1000&amp;"")+IF($D$13:$D$1000="",1,0),0)),"")</f>
        <v/>
      </c>
      <c r="R855" s="356" t="str">
        <f t="shared" si="54"/>
        <v/>
      </c>
      <c r="S855" s="383" t="str">
        <f t="shared" si="52"/>
        <v/>
      </c>
      <c r="T855" s="384" t="str">
        <f t="shared" si="55"/>
        <v/>
      </c>
      <c r="V855" s="385"/>
      <c r="W855" s="385"/>
      <c r="X855" s="386"/>
    </row>
    <row r="856" spans="2:24">
      <c r="B856" s="395"/>
      <c r="C856" s="371"/>
      <c r="D856" s="372" t="str">
        <f>IFERROR(INDEX('[12]Equipment List'!$B$2:$B$2038,MATCH(E856,'[12]Equipment List'!$A$2:$A$2038,0)),"")</f>
        <v/>
      </c>
      <c r="E856" s="388"/>
      <c r="F856" s="374"/>
      <c r="G856" s="375"/>
      <c r="H856" s="397"/>
      <c r="I856" s="377"/>
      <c r="J856" s="378"/>
      <c r="K856" s="379"/>
      <c r="L856" s="387"/>
      <c r="M856" s="380" t="str">
        <f t="array" ref="M856">IF(L856="","",(MAX(IF(AN$15:AN$144=B856,AO$15:AO$144))/60))</f>
        <v/>
      </c>
      <c r="N856" s="387"/>
      <c r="O856" s="387"/>
      <c r="P856" s="381" t="str">
        <f t="shared" si="53"/>
        <v/>
      </c>
      <c r="Q856" s="382" t="str">
        <f t="array" ref="Q856">IFERROR(INDEX($D$13:$D$1000,MATCH(0,COUNTIF($Q$13:Q855,$D$13:$D$1000&amp;"")+IF($D$13:$D$1000="",1,0),0)),"")</f>
        <v/>
      </c>
      <c r="R856" s="356" t="str">
        <f t="shared" si="54"/>
        <v/>
      </c>
      <c r="S856" s="383" t="str">
        <f t="shared" si="52"/>
        <v/>
      </c>
      <c r="T856" s="384" t="str">
        <f t="shared" si="55"/>
        <v/>
      </c>
      <c r="V856" s="385"/>
      <c r="W856" s="385"/>
      <c r="X856" s="386"/>
    </row>
    <row r="857" spans="2:24">
      <c r="B857" s="395"/>
      <c r="C857" s="371"/>
      <c r="D857" s="372" t="str">
        <f>IFERROR(INDEX('[12]Equipment List'!$B$2:$B$2038,MATCH(E857,'[12]Equipment List'!$A$2:$A$2038,0)),"")</f>
        <v/>
      </c>
      <c r="E857" s="388"/>
      <c r="F857" s="374"/>
      <c r="G857" s="375"/>
      <c r="H857" s="397"/>
      <c r="I857" s="377"/>
      <c r="J857" s="378"/>
      <c r="K857" s="379"/>
      <c r="L857" s="387"/>
      <c r="M857" s="380" t="str">
        <f t="array" ref="M857">IF(L857="","",(MAX(IF(AN$15:AN$144=B857,AO$15:AO$144))/60))</f>
        <v/>
      </c>
      <c r="N857" s="387"/>
      <c r="O857" s="387"/>
      <c r="P857" s="381" t="str">
        <f t="shared" si="53"/>
        <v/>
      </c>
      <c r="Q857" s="382" t="str">
        <f t="array" ref="Q857">IFERROR(INDEX($D$13:$D$1000,MATCH(0,COUNTIF($Q$13:Q856,$D$13:$D$1000&amp;"")+IF($D$13:$D$1000="",1,0),0)),"")</f>
        <v/>
      </c>
      <c r="R857" s="356" t="str">
        <f t="shared" si="54"/>
        <v/>
      </c>
      <c r="S857" s="383" t="str">
        <f t="shared" si="52"/>
        <v/>
      </c>
      <c r="T857" s="384" t="str">
        <f t="shared" si="55"/>
        <v/>
      </c>
      <c r="V857" s="385"/>
      <c r="W857" s="385"/>
      <c r="X857" s="386"/>
    </row>
    <row r="858" spans="2:24">
      <c r="B858" s="395"/>
      <c r="C858" s="371"/>
      <c r="D858" s="372" t="str">
        <f>IFERROR(INDEX('[12]Equipment List'!$B$2:$B$2038,MATCH(E858,'[12]Equipment List'!$A$2:$A$2038,0)),"")</f>
        <v/>
      </c>
      <c r="E858" s="388"/>
      <c r="F858" s="374"/>
      <c r="G858" s="375"/>
      <c r="H858" s="397"/>
      <c r="I858" s="377"/>
      <c r="J858" s="378"/>
      <c r="K858" s="379"/>
      <c r="L858" s="387"/>
      <c r="M858" s="380" t="str">
        <f t="array" ref="M858">IF(L858="","",(MAX(IF(AN$15:AN$144=B858,AO$15:AO$144))/60))</f>
        <v/>
      </c>
      <c r="N858" s="387"/>
      <c r="O858" s="387"/>
      <c r="P858" s="381" t="str">
        <f t="shared" si="53"/>
        <v/>
      </c>
      <c r="Q858" s="382" t="str">
        <f t="array" ref="Q858">IFERROR(INDEX($D$13:$D$1000,MATCH(0,COUNTIF($Q$13:Q857,$D$13:$D$1000&amp;"")+IF($D$13:$D$1000="",1,0),0)),"")</f>
        <v/>
      </c>
      <c r="R858" s="356" t="str">
        <f t="shared" si="54"/>
        <v/>
      </c>
      <c r="S858" s="383" t="str">
        <f t="shared" si="52"/>
        <v/>
      </c>
      <c r="T858" s="384" t="str">
        <f t="shared" si="55"/>
        <v/>
      </c>
      <c r="V858" s="385"/>
      <c r="W858" s="385"/>
      <c r="X858" s="386"/>
    </row>
    <row r="859" spans="2:24">
      <c r="B859" s="395"/>
      <c r="C859" s="371"/>
      <c r="D859" s="372" t="str">
        <f>IFERROR(INDEX('[12]Equipment List'!$B$2:$B$2038,MATCH(E859,'[12]Equipment List'!$A$2:$A$2038,0)),"")</f>
        <v/>
      </c>
      <c r="E859" s="388"/>
      <c r="F859" s="374"/>
      <c r="G859" s="375"/>
      <c r="H859" s="397"/>
      <c r="I859" s="377"/>
      <c r="J859" s="378"/>
      <c r="K859" s="379"/>
      <c r="L859" s="387"/>
      <c r="M859" s="380" t="str">
        <f t="array" ref="M859">IF(L859="","",(MAX(IF(AN$15:AN$144=B859,AO$15:AO$144))/60))</f>
        <v/>
      </c>
      <c r="N859" s="387"/>
      <c r="O859" s="387"/>
      <c r="P859" s="381" t="str">
        <f t="shared" si="53"/>
        <v/>
      </c>
      <c r="Q859" s="382" t="str">
        <f t="array" ref="Q859">IFERROR(INDEX($D$13:$D$1000,MATCH(0,COUNTIF($Q$13:Q858,$D$13:$D$1000&amp;"")+IF($D$13:$D$1000="",1,0),0)),"")</f>
        <v/>
      </c>
      <c r="R859" s="356" t="str">
        <f t="shared" si="54"/>
        <v/>
      </c>
      <c r="S859" s="383" t="str">
        <f t="shared" si="52"/>
        <v/>
      </c>
      <c r="T859" s="384" t="str">
        <f t="shared" si="55"/>
        <v/>
      </c>
      <c r="V859" s="385"/>
      <c r="W859" s="385"/>
      <c r="X859" s="386"/>
    </row>
    <row r="860" spans="2:24">
      <c r="B860" s="395"/>
      <c r="C860" s="371"/>
      <c r="D860" s="372" t="str">
        <f>IFERROR(INDEX('[12]Equipment List'!$B$2:$B$2038,MATCH(E860,'[12]Equipment List'!$A$2:$A$2038,0)),"")</f>
        <v/>
      </c>
      <c r="E860" s="388"/>
      <c r="F860" s="374"/>
      <c r="G860" s="375"/>
      <c r="H860" s="397"/>
      <c r="I860" s="377"/>
      <c r="J860" s="378"/>
      <c r="K860" s="379"/>
      <c r="L860" s="387"/>
      <c r="M860" s="380" t="str">
        <f t="array" ref="M860">IF(L860="","",(MAX(IF(AN$15:AN$144=B860,AO$15:AO$144))/60))</f>
        <v/>
      </c>
      <c r="N860" s="387"/>
      <c r="O860" s="387"/>
      <c r="P860" s="381" t="str">
        <f t="shared" si="53"/>
        <v/>
      </c>
      <c r="Q860" s="382" t="str">
        <f t="array" ref="Q860">IFERROR(INDEX($D$13:$D$1000,MATCH(0,COUNTIF($Q$13:Q859,$D$13:$D$1000&amp;"")+IF($D$13:$D$1000="",1,0),0)),"")</f>
        <v/>
      </c>
      <c r="R860" s="356" t="str">
        <f t="shared" si="54"/>
        <v/>
      </c>
      <c r="S860" s="383" t="str">
        <f t="shared" si="52"/>
        <v/>
      </c>
      <c r="T860" s="384" t="str">
        <f t="shared" si="55"/>
        <v/>
      </c>
      <c r="V860" s="385"/>
      <c r="W860" s="385"/>
      <c r="X860" s="386"/>
    </row>
    <row r="861" spans="2:24">
      <c r="B861" s="395"/>
      <c r="C861" s="371"/>
      <c r="D861" s="372" t="str">
        <f>IFERROR(INDEX('[12]Equipment List'!$B$2:$B$2038,MATCH(E861,'[12]Equipment List'!$A$2:$A$2038,0)),"")</f>
        <v/>
      </c>
      <c r="E861" s="388"/>
      <c r="F861" s="374"/>
      <c r="G861" s="375"/>
      <c r="H861" s="397"/>
      <c r="I861" s="377"/>
      <c r="J861" s="378"/>
      <c r="K861" s="379"/>
      <c r="L861" s="387"/>
      <c r="M861" s="380" t="str">
        <f t="array" ref="M861">IF(L861="","",(MAX(IF(AN$15:AN$144=B861,AO$15:AO$144))/60))</f>
        <v/>
      </c>
      <c r="N861" s="387"/>
      <c r="O861" s="387"/>
      <c r="P861" s="381" t="str">
        <f t="shared" si="53"/>
        <v/>
      </c>
      <c r="Q861" s="382" t="str">
        <f t="array" ref="Q861">IFERROR(INDEX($D$13:$D$1000,MATCH(0,COUNTIF($Q$13:Q860,$D$13:$D$1000&amp;"")+IF($D$13:$D$1000="",1,0),0)),"")</f>
        <v/>
      </c>
      <c r="R861" s="356" t="str">
        <f t="shared" si="54"/>
        <v/>
      </c>
      <c r="S861" s="383" t="str">
        <f t="shared" si="52"/>
        <v/>
      </c>
      <c r="T861" s="384" t="str">
        <f t="shared" si="55"/>
        <v/>
      </c>
      <c r="V861" s="385"/>
      <c r="W861" s="385"/>
      <c r="X861" s="386"/>
    </row>
    <row r="862" spans="2:24">
      <c r="B862" s="395"/>
      <c r="C862" s="371"/>
      <c r="D862" s="372" t="str">
        <f>IFERROR(INDEX('[12]Equipment List'!$B$2:$B$2038,MATCH(E862,'[12]Equipment List'!$A$2:$A$2038,0)),"")</f>
        <v/>
      </c>
      <c r="E862" s="388"/>
      <c r="F862" s="374"/>
      <c r="G862" s="375"/>
      <c r="H862" s="397"/>
      <c r="I862" s="377"/>
      <c r="J862" s="378"/>
      <c r="K862" s="379"/>
      <c r="L862" s="387"/>
      <c r="M862" s="380" t="str">
        <f t="array" ref="M862">IF(L862="","",(MAX(IF(AN$15:AN$144=B862,AO$15:AO$144))/60))</f>
        <v/>
      </c>
      <c r="N862" s="387"/>
      <c r="O862" s="387"/>
      <c r="P862" s="381" t="str">
        <f t="shared" si="53"/>
        <v/>
      </c>
      <c r="Q862" s="382" t="str">
        <f t="array" ref="Q862">IFERROR(INDEX($D$13:$D$1000,MATCH(0,COUNTIF($Q$13:Q861,$D$13:$D$1000&amp;"")+IF($D$13:$D$1000="",1,0),0)),"")</f>
        <v/>
      </c>
      <c r="R862" s="356" t="str">
        <f t="shared" si="54"/>
        <v/>
      </c>
      <c r="S862" s="383" t="str">
        <f t="shared" si="52"/>
        <v/>
      </c>
      <c r="T862" s="384" t="str">
        <f t="shared" si="55"/>
        <v/>
      </c>
      <c r="V862" s="385"/>
      <c r="W862" s="385"/>
      <c r="X862" s="386"/>
    </row>
    <row r="863" spans="2:24">
      <c r="B863" s="395"/>
      <c r="C863" s="371"/>
      <c r="D863" s="372" t="str">
        <f>IFERROR(INDEX('[12]Equipment List'!$B$2:$B$2038,MATCH(E863,'[12]Equipment List'!$A$2:$A$2038,0)),"")</f>
        <v/>
      </c>
      <c r="E863" s="388"/>
      <c r="F863" s="374"/>
      <c r="G863" s="375"/>
      <c r="H863" s="397"/>
      <c r="I863" s="377"/>
      <c r="J863" s="378"/>
      <c r="K863" s="379"/>
      <c r="L863" s="387"/>
      <c r="M863" s="380" t="str">
        <f t="array" ref="M863">IF(L863="","",(MAX(IF(AN$15:AN$144=B863,AO$15:AO$144))/60))</f>
        <v/>
      </c>
      <c r="N863" s="387"/>
      <c r="O863" s="387"/>
      <c r="P863" s="381" t="str">
        <f t="shared" si="53"/>
        <v/>
      </c>
      <c r="Q863" s="382" t="str">
        <f t="array" ref="Q863">IFERROR(INDEX($D$13:$D$1000,MATCH(0,COUNTIF($Q$13:Q862,$D$13:$D$1000&amp;"")+IF($D$13:$D$1000="",1,0),0)),"")</f>
        <v/>
      </c>
      <c r="R863" s="356" t="str">
        <f t="shared" si="54"/>
        <v/>
      </c>
      <c r="S863" s="383" t="str">
        <f t="shared" si="52"/>
        <v/>
      </c>
      <c r="T863" s="384" t="str">
        <f t="shared" si="55"/>
        <v/>
      </c>
      <c r="V863" s="385"/>
      <c r="W863" s="385"/>
      <c r="X863" s="386"/>
    </row>
    <row r="864" spans="2:24">
      <c r="B864" s="395"/>
      <c r="C864" s="371"/>
      <c r="D864" s="372" t="str">
        <f>IFERROR(INDEX('[12]Equipment List'!$B$2:$B$2038,MATCH(E864,'[12]Equipment List'!$A$2:$A$2038,0)),"")</f>
        <v/>
      </c>
      <c r="E864" s="388"/>
      <c r="F864" s="374"/>
      <c r="G864" s="375"/>
      <c r="H864" s="397"/>
      <c r="I864" s="377"/>
      <c r="J864" s="378"/>
      <c r="K864" s="379"/>
      <c r="L864" s="387"/>
      <c r="M864" s="380" t="str">
        <f t="array" ref="M864">IF(L864="","",(MAX(IF(AN$15:AN$144=B864,AO$15:AO$144))/60))</f>
        <v/>
      </c>
      <c r="N864" s="387"/>
      <c r="O864" s="387"/>
      <c r="P864" s="381" t="str">
        <f t="shared" si="53"/>
        <v/>
      </c>
      <c r="Q864" s="382" t="str">
        <f t="array" ref="Q864">IFERROR(INDEX($D$13:$D$1000,MATCH(0,COUNTIF($Q$13:Q863,$D$13:$D$1000&amp;"")+IF($D$13:$D$1000="",1,0),0)),"")</f>
        <v/>
      </c>
      <c r="R864" s="356" t="str">
        <f t="shared" si="54"/>
        <v/>
      </c>
      <c r="S864" s="383" t="str">
        <f t="shared" si="52"/>
        <v/>
      </c>
      <c r="T864" s="384" t="str">
        <f t="shared" si="55"/>
        <v/>
      </c>
      <c r="V864" s="385"/>
      <c r="W864" s="385"/>
      <c r="X864" s="386"/>
    </row>
    <row r="865" spans="2:24">
      <c r="B865" s="395"/>
      <c r="C865" s="371"/>
      <c r="D865" s="372" t="str">
        <f>IFERROR(INDEX('[12]Equipment List'!$B$2:$B$2038,MATCH(E865,'[12]Equipment List'!$A$2:$A$2038,0)),"")</f>
        <v/>
      </c>
      <c r="E865" s="388"/>
      <c r="F865" s="374"/>
      <c r="G865" s="375"/>
      <c r="H865" s="397"/>
      <c r="I865" s="377"/>
      <c r="J865" s="378"/>
      <c r="K865" s="379"/>
      <c r="L865" s="387"/>
      <c r="M865" s="380" t="str">
        <f t="array" ref="M865">IF(L865="","",(MAX(IF(AN$15:AN$144=B865,AO$15:AO$144))/60))</f>
        <v/>
      </c>
      <c r="N865" s="387"/>
      <c r="O865" s="387"/>
      <c r="P865" s="381" t="str">
        <f t="shared" si="53"/>
        <v/>
      </c>
      <c r="Q865" s="382" t="str">
        <f t="array" ref="Q865">IFERROR(INDEX($D$13:$D$1000,MATCH(0,COUNTIF($Q$13:Q864,$D$13:$D$1000&amp;"")+IF($D$13:$D$1000="",1,0),0)),"")</f>
        <v/>
      </c>
      <c r="R865" s="356" t="str">
        <f t="shared" si="54"/>
        <v/>
      </c>
      <c r="S865" s="383" t="str">
        <f t="shared" si="52"/>
        <v/>
      </c>
      <c r="T865" s="384" t="str">
        <f t="shared" si="55"/>
        <v/>
      </c>
      <c r="V865" s="385"/>
      <c r="W865" s="385"/>
      <c r="X865" s="386"/>
    </row>
    <row r="866" spans="2:24">
      <c r="B866" s="395"/>
      <c r="C866" s="371"/>
      <c r="D866" s="372" t="str">
        <f>IFERROR(INDEX('[12]Equipment List'!$B$2:$B$2038,MATCH(E866,'[12]Equipment List'!$A$2:$A$2038,0)),"")</f>
        <v/>
      </c>
      <c r="E866" s="388"/>
      <c r="F866" s="374"/>
      <c r="G866" s="375"/>
      <c r="H866" s="397"/>
      <c r="I866" s="377"/>
      <c r="J866" s="378"/>
      <c r="K866" s="379"/>
      <c r="L866" s="387"/>
      <c r="M866" s="380" t="str">
        <f t="array" ref="M866">IF(L866="","",(MAX(IF(AN$15:AN$144=B866,AO$15:AO$144))/60))</f>
        <v/>
      </c>
      <c r="N866" s="387"/>
      <c r="O866" s="387"/>
      <c r="P866" s="381" t="str">
        <f t="shared" si="53"/>
        <v/>
      </c>
      <c r="Q866" s="382" t="str">
        <f t="array" ref="Q866">IFERROR(INDEX($D$13:$D$1000,MATCH(0,COUNTIF($Q$13:Q865,$D$13:$D$1000&amp;"")+IF($D$13:$D$1000="",1,0),0)),"")</f>
        <v/>
      </c>
      <c r="R866" s="356" t="str">
        <f t="shared" si="54"/>
        <v/>
      </c>
      <c r="S866" s="383" t="str">
        <f t="shared" si="52"/>
        <v/>
      </c>
      <c r="T866" s="384" t="str">
        <f t="shared" si="55"/>
        <v/>
      </c>
      <c r="V866" s="385"/>
      <c r="W866" s="385"/>
      <c r="X866" s="386"/>
    </row>
    <row r="867" spans="2:24">
      <c r="B867" s="395"/>
      <c r="C867" s="371"/>
      <c r="D867" s="372" t="str">
        <f>IFERROR(INDEX('[12]Equipment List'!$B$2:$B$2038,MATCH(E867,'[12]Equipment List'!$A$2:$A$2038,0)),"")</f>
        <v/>
      </c>
      <c r="E867" s="388"/>
      <c r="F867" s="374"/>
      <c r="G867" s="375"/>
      <c r="H867" s="397"/>
      <c r="I867" s="377"/>
      <c r="J867" s="378"/>
      <c r="K867" s="379"/>
      <c r="L867" s="387"/>
      <c r="M867" s="380" t="str">
        <f t="array" ref="M867">IF(L867="","",(MAX(IF(AN$15:AN$144=B867,AO$15:AO$144))/60))</f>
        <v/>
      </c>
      <c r="N867" s="387"/>
      <c r="O867" s="387"/>
      <c r="P867" s="381" t="str">
        <f t="shared" si="53"/>
        <v/>
      </c>
      <c r="Q867" s="382" t="str">
        <f t="array" ref="Q867">IFERROR(INDEX($D$13:$D$1000,MATCH(0,COUNTIF($Q$13:Q866,$D$13:$D$1000&amp;"")+IF($D$13:$D$1000="",1,0),0)),"")</f>
        <v/>
      </c>
      <c r="R867" s="356" t="str">
        <f t="shared" si="54"/>
        <v/>
      </c>
      <c r="S867" s="383" t="str">
        <f t="shared" si="52"/>
        <v/>
      </c>
      <c r="T867" s="384" t="str">
        <f t="shared" si="55"/>
        <v/>
      </c>
      <c r="V867" s="385"/>
      <c r="W867" s="385"/>
      <c r="X867" s="386"/>
    </row>
    <row r="868" spans="2:24">
      <c r="B868" s="395"/>
      <c r="C868" s="371"/>
      <c r="D868" s="372" t="str">
        <f>IFERROR(INDEX('[12]Equipment List'!$B$2:$B$2038,MATCH(E868,'[12]Equipment List'!$A$2:$A$2038,0)),"")</f>
        <v/>
      </c>
      <c r="E868" s="388"/>
      <c r="F868" s="374"/>
      <c r="G868" s="375"/>
      <c r="H868" s="397"/>
      <c r="I868" s="377"/>
      <c r="J868" s="378"/>
      <c r="K868" s="379"/>
      <c r="L868" s="387"/>
      <c r="M868" s="380" t="str">
        <f t="array" ref="M868">IF(L868="","",(MAX(IF(AN$15:AN$144=B868,AO$15:AO$144))/60))</f>
        <v/>
      </c>
      <c r="N868" s="387"/>
      <c r="O868" s="387"/>
      <c r="P868" s="381" t="str">
        <f t="shared" si="53"/>
        <v/>
      </c>
      <c r="Q868" s="382" t="str">
        <f t="array" ref="Q868">IFERROR(INDEX($D$13:$D$1000,MATCH(0,COUNTIF($Q$13:Q867,$D$13:$D$1000&amp;"")+IF($D$13:$D$1000="",1,0),0)),"")</f>
        <v/>
      </c>
      <c r="R868" s="356" t="str">
        <f t="shared" si="54"/>
        <v/>
      </c>
      <c r="S868" s="383" t="str">
        <f t="shared" si="52"/>
        <v/>
      </c>
      <c r="T868" s="384" t="str">
        <f t="shared" si="55"/>
        <v/>
      </c>
      <c r="V868" s="385"/>
      <c r="W868" s="385"/>
      <c r="X868" s="386"/>
    </row>
    <row r="869" spans="2:24">
      <c r="B869" s="395"/>
      <c r="C869" s="371"/>
      <c r="D869" s="372" t="str">
        <f>IFERROR(INDEX('[12]Equipment List'!$B$2:$B$2038,MATCH(E869,'[12]Equipment List'!$A$2:$A$2038,0)),"")</f>
        <v/>
      </c>
      <c r="E869" s="388"/>
      <c r="F869" s="374"/>
      <c r="G869" s="375"/>
      <c r="H869" s="397"/>
      <c r="I869" s="377"/>
      <c r="J869" s="378"/>
      <c r="K869" s="379"/>
      <c r="L869" s="387"/>
      <c r="M869" s="380" t="str">
        <f t="array" ref="M869">IF(L869="","",(MAX(IF(AN$15:AN$144=B869,AO$15:AO$144))/60))</f>
        <v/>
      </c>
      <c r="N869" s="387"/>
      <c r="O869" s="387"/>
      <c r="P869" s="381" t="str">
        <f t="shared" si="53"/>
        <v/>
      </c>
      <c r="Q869" s="382" t="str">
        <f t="array" ref="Q869">IFERROR(INDEX($D$13:$D$1000,MATCH(0,COUNTIF($Q$13:Q868,$D$13:$D$1000&amp;"")+IF($D$13:$D$1000="",1,0),0)),"")</f>
        <v/>
      </c>
      <c r="R869" s="356" t="str">
        <f t="shared" si="54"/>
        <v/>
      </c>
      <c r="S869" s="383" t="str">
        <f t="shared" si="52"/>
        <v/>
      </c>
      <c r="T869" s="384" t="str">
        <f t="shared" si="55"/>
        <v/>
      </c>
      <c r="V869" s="385"/>
      <c r="W869" s="385"/>
      <c r="X869" s="386"/>
    </row>
    <row r="870" spans="2:24">
      <c r="B870" s="395"/>
      <c r="C870" s="371"/>
      <c r="D870" s="372" t="str">
        <f>IFERROR(INDEX('[12]Equipment List'!$B$2:$B$2038,MATCH(E870,'[12]Equipment List'!$A$2:$A$2038,0)),"")</f>
        <v/>
      </c>
      <c r="E870" s="388"/>
      <c r="F870" s="374"/>
      <c r="G870" s="375"/>
      <c r="H870" s="397"/>
      <c r="I870" s="377"/>
      <c r="J870" s="378"/>
      <c r="K870" s="379"/>
      <c r="L870" s="387"/>
      <c r="M870" s="380" t="str">
        <f t="array" ref="M870">IF(L870="","",(MAX(IF(AN$15:AN$144=B870,AO$15:AO$144))/60))</f>
        <v/>
      </c>
      <c r="N870" s="387"/>
      <c r="O870" s="387"/>
      <c r="P870" s="381" t="str">
        <f t="shared" si="53"/>
        <v/>
      </c>
      <c r="Q870" s="382" t="str">
        <f t="array" ref="Q870">IFERROR(INDEX($D$13:$D$1000,MATCH(0,COUNTIF($Q$13:Q869,$D$13:$D$1000&amp;"")+IF($D$13:$D$1000="",1,0),0)),"")</f>
        <v/>
      </c>
      <c r="R870" s="356" t="str">
        <f t="shared" si="54"/>
        <v/>
      </c>
      <c r="S870" s="383" t="str">
        <f t="shared" si="52"/>
        <v/>
      </c>
      <c r="T870" s="384" t="str">
        <f t="shared" si="55"/>
        <v/>
      </c>
      <c r="V870" s="385"/>
      <c r="W870" s="385"/>
      <c r="X870" s="386"/>
    </row>
    <row r="871" spans="2:24">
      <c r="B871" s="395"/>
      <c r="C871" s="371"/>
      <c r="D871" s="372" t="str">
        <f>IFERROR(INDEX('[12]Equipment List'!$B$2:$B$2038,MATCH(E871,'[12]Equipment List'!$A$2:$A$2038,0)),"")</f>
        <v/>
      </c>
      <c r="E871" s="388"/>
      <c r="F871" s="374"/>
      <c r="G871" s="375"/>
      <c r="H871" s="397"/>
      <c r="I871" s="377"/>
      <c r="J871" s="378"/>
      <c r="K871" s="379"/>
      <c r="L871" s="387"/>
      <c r="M871" s="380" t="str">
        <f t="array" ref="M871">IF(L871="","",(MAX(IF(AN$15:AN$144=B871,AO$15:AO$144))/60))</f>
        <v/>
      </c>
      <c r="N871" s="387"/>
      <c r="O871" s="387"/>
      <c r="P871" s="381" t="str">
        <f t="shared" si="53"/>
        <v/>
      </c>
      <c r="Q871" s="382" t="str">
        <f t="array" ref="Q871">IFERROR(INDEX($D$13:$D$1000,MATCH(0,COUNTIF($Q$13:Q870,$D$13:$D$1000&amp;"")+IF($D$13:$D$1000="",1,0),0)),"")</f>
        <v/>
      </c>
      <c r="R871" s="356" t="str">
        <f t="shared" si="54"/>
        <v/>
      </c>
      <c r="S871" s="383" t="str">
        <f t="shared" si="52"/>
        <v/>
      </c>
      <c r="T871" s="384" t="str">
        <f t="shared" si="55"/>
        <v/>
      </c>
      <c r="V871" s="385"/>
      <c r="W871" s="385"/>
      <c r="X871" s="386"/>
    </row>
    <row r="872" spans="2:24">
      <c r="B872" s="395"/>
      <c r="C872" s="371"/>
      <c r="D872" s="372" t="str">
        <f>IFERROR(INDEX('[12]Equipment List'!$B$2:$B$2038,MATCH(E872,'[12]Equipment List'!$A$2:$A$2038,0)),"")</f>
        <v/>
      </c>
      <c r="E872" s="388"/>
      <c r="F872" s="374"/>
      <c r="G872" s="375"/>
      <c r="H872" s="397"/>
      <c r="I872" s="377"/>
      <c r="J872" s="378"/>
      <c r="K872" s="379"/>
      <c r="L872" s="387"/>
      <c r="M872" s="380" t="str">
        <f t="array" ref="M872">IF(L872="","",(MAX(IF(AN$15:AN$144=B872,AO$15:AO$144))/60))</f>
        <v/>
      </c>
      <c r="N872" s="387"/>
      <c r="O872" s="387"/>
      <c r="P872" s="381" t="str">
        <f t="shared" si="53"/>
        <v/>
      </c>
      <c r="Q872" s="382" t="str">
        <f t="array" ref="Q872">IFERROR(INDEX($D$13:$D$1000,MATCH(0,COUNTIF($Q$13:Q871,$D$13:$D$1000&amp;"")+IF($D$13:$D$1000="",1,0),0)),"")</f>
        <v/>
      </c>
      <c r="R872" s="356" t="str">
        <f t="shared" si="54"/>
        <v/>
      </c>
      <c r="S872" s="383" t="str">
        <f t="shared" si="52"/>
        <v/>
      </c>
      <c r="T872" s="384" t="str">
        <f t="shared" si="55"/>
        <v/>
      </c>
      <c r="V872" s="385"/>
      <c r="W872" s="385"/>
      <c r="X872" s="386"/>
    </row>
    <row r="873" spans="2:24">
      <c r="B873" s="395"/>
      <c r="C873" s="371"/>
      <c r="D873" s="372" t="str">
        <f>IFERROR(INDEX('[12]Equipment List'!$B$2:$B$2038,MATCH(E873,'[12]Equipment List'!$A$2:$A$2038,0)),"")</f>
        <v/>
      </c>
      <c r="E873" s="388"/>
      <c r="F873" s="374"/>
      <c r="G873" s="375"/>
      <c r="H873" s="397"/>
      <c r="I873" s="377"/>
      <c r="J873" s="378"/>
      <c r="K873" s="379"/>
      <c r="L873" s="387"/>
      <c r="M873" s="380" t="str">
        <f t="array" ref="M873">IF(L873="","",(MAX(IF(AN$15:AN$144=B873,AO$15:AO$144))/60))</f>
        <v/>
      </c>
      <c r="N873" s="387"/>
      <c r="O873" s="387"/>
      <c r="P873" s="381" t="str">
        <f t="shared" si="53"/>
        <v/>
      </c>
      <c r="Q873" s="382" t="str">
        <f t="array" ref="Q873">IFERROR(INDEX($D$13:$D$1000,MATCH(0,COUNTIF($Q$13:Q872,$D$13:$D$1000&amp;"")+IF($D$13:$D$1000="",1,0),0)),"")</f>
        <v/>
      </c>
      <c r="R873" s="356" t="str">
        <f t="shared" si="54"/>
        <v/>
      </c>
      <c r="S873" s="383" t="str">
        <f t="shared" si="52"/>
        <v/>
      </c>
      <c r="T873" s="384" t="str">
        <f t="shared" si="55"/>
        <v/>
      </c>
      <c r="V873" s="385"/>
      <c r="W873" s="385"/>
      <c r="X873" s="386"/>
    </row>
    <row r="874" spans="2:24">
      <c r="B874" s="395"/>
      <c r="C874" s="371"/>
      <c r="D874" s="372" t="str">
        <f>IFERROR(INDEX('[12]Equipment List'!$B$2:$B$2038,MATCH(E874,'[12]Equipment List'!$A$2:$A$2038,0)),"")</f>
        <v/>
      </c>
      <c r="E874" s="388"/>
      <c r="F874" s="374"/>
      <c r="G874" s="375"/>
      <c r="H874" s="397"/>
      <c r="I874" s="377"/>
      <c r="J874" s="378"/>
      <c r="K874" s="379"/>
      <c r="L874" s="387"/>
      <c r="M874" s="380" t="str">
        <f t="array" ref="M874">IF(L874="","",(MAX(IF(AN$15:AN$144=B874,AO$15:AO$144))/60))</f>
        <v/>
      </c>
      <c r="N874" s="387"/>
      <c r="O874" s="387"/>
      <c r="P874" s="381" t="str">
        <f t="shared" si="53"/>
        <v/>
      </c>
      <c r="Q874" s="382" t="str">
        <f t="array" ref="Q874">IFERROR(INDEX($D$13:$D$1000,MATCH(0,COUNTIF($Q$13:Q873,$D$13:$D$1000&amp;"")+IF($D$13:$D$1000="",1,0),0)),"")</f>
        <v/>
      </c>
      <c r="R874" s="356" t="str">
        <f t="shared" si="54"/>
        <v/>
      </c>
      <c r="S874" s="383" t="str">
        <f t="shared" si="52"/>
        <v/>
      </c>
      <c r="T874" s="384" t="str">
        <f t="shared" si="55"/>
        <v/>
      </c>
      <c r="V874" s="385"/>
      <c r="W874" s="385"/>
      <c r="X874" s="386"/>
    </row>
    <row r="875" spans="2:24">
      <c r="B875" s="395"/>
      <c r="C875" s="371"/>
      <c r="D875" s="372" t="str">
        <f>IFERROR(INDEX('[12]Equipment List'!$B$2:$B$2038,MATCH(E875,'[12]Equipment List'!$A$2:$A$2038,0)),"")</f>
        <v/>
      </c>
      <c r="E875" s="388"/>
      <c r="F875" s="374"/>
      <c r="G875" s="375"/>
      <c r="H875" s="397"/>
      <c r="I875" s="377"/>
      <c r="J875" s="378"/>
      <c r="K875" s="379"/>
      <c r="L875" s="387"/>
      <c r="M875" s="380" t="str">
        <f t="array" ref="M875">IF(L875="","",(MAX(IF(AN$15:AN$144=B875,AO$15:AO$144))/60))</f>
        <v/>
      </c>
      <c r="N875" s="387"/>
      <c r="O875" s="387"/>
      <c r="P875" s="381" t="str">
        <f t="shared" si="53"/>
        <v/>
      </c>
      <c r="Q875" s="382" t="str">
        <f t="array" ref="Q875">IFERROR(INDEX($D$13:$D$1000,MATCH(0,COUNTIF($Q$13:Q874,$D$13:$D$1000&amp;"")+IF($D$13:$D$1000="",1,0),0)),"")</f>
        <v/>
      </c>
      <c r="R875" s="356" t="str">
        <f t="shared" si="54"/>
        <v/>
      </c>
      <c r="S875" s="383" t="str">
        <f t="shared" ref="S875:S938" si="56">IF($Q875="","",SUMIF($D$13:$D$1000,$Q875,I$13:I$1000))</f>
        <v/>
      </c>
      <c r="T875" s="384" t="str">
        <f t="shared" si="55"/>
        <v/>
      </c>
      <c r="V875" s="385"/>
      <c r="W875" s="385"/>
      <c r="X875" s="386"/>
    </row>
    <row r="876" spans="2:24">
      <c r="B876" s="395"/>
      <c r="C876" s="371"/>
      <c r="D876" s="372" t="str">
        <f>IFERROR(INDEX('[12]Equipment List'!$B$2:$B$2038,MATCH(E876,'[12]Equipment List'!$A$2:$A$2038,0)),"")</f>
        <v/>
      </c>
      <c r="E876" s="388"/>
      <c r="F876" s="374"/>
      <c r="G876" s="375"/>
      <c r="H876" s="397"/>
      <c r="I876" s="377"/>
      <c r="J876" s="378"/>
      <c r="K876" s="379"/>
      <c r="L876" s="387"/>
      <c r="M876" s="380" t="str">
        <f t="array" ref="M876">IF(L876="","",(MAX(IF(AN$15:AN$144=B876,AO$15:AO$144))/60))</f>
        <v/>
      </c>
      <c r="N876" s="387"/>
      <c r="O876" s="387"/>
      <c r="P876" s="381" t="str">
        <f t="shared" si="53"/>
        <v/>
      </c>
      <c r="Q876" s="382" t="str">
        <f t="array" ref="Q876">IFERROR(INDEX($D$13:$D$1000,MATCH(0,COUNTIF($Q$13:Q875,$D$13:$D$1000&amp;"")+IF($D$13:$D$1000="",1,0),0)),"")</f>
        <v/>
      </c>
      <c r="R876" s="356" t="str">
        <f t="shared" si="54"/>
        <v/>
      </c>
      <c r="S876" s="383" t="str">
        <f t="shared" si="56"/>
        <v/>
      </c>
      <c r="T876" s="384" t="str">
        <f t="shared" si="55"/>
        <v/>
      </c>
      <c r="V876" s="385"/>
      <c r="W876" s="385"/>
      <c r="X876" s="386"/>
    </row>
    <row r="877" spans="2:24">
      <c r="B877" s="395"/>
      <c r="C877" s="371"/>
      <c r="D877" s="372" t="str">
        <f>IFERROR(INDEX('[12]Equipment List'!$B$2:$B$2038,MATCH(E877,'[12]Equipment List'!$A$2:$A$2038,0)),"")</f>
        <v/>
      </c>
      <c r="E877" s="388"/>
      <c r="F877" s="374"/>
      <c r="G877" s="375"/>
      <c r="H877" s="397"/>
      <c r="I877" s="377"/>
      <c r="J877" s="378"/>
      <c r="K877" s="379"/>
      <c r="L877" s="387"/>
      <c r="M877" s="380" t="str">
        <f t="array" ref="M877">IF(L877="","",(MAX(IF(AN$15:AN$144=B877,AO$15:AO$144))/60))</f>
        <v/>
      </c>
      <c r="N877" s="387"/>
      <c r="O877" s="387"/>
      <c r="P877" s="381" t="str">
        <f t="shared" si="53"/>
        <v/>
      </c>
      <c r="Q877" s="382" t="str">
        <f t="array" ref="Q877">IFERROR(INDEX($D$13:$D$1000,MATCH(0,COUNTIF($Q$13:Q876,$D$13:$D$1000&amp;"")+IF($D$13:$D$1000="",1,0),0)),"")</f>
        <v/>
      </c>
      <c r="R877" s="356" t="str">
        <f t="shared" si="54"/>
        <v/>
      </c>
      <c r="S877" s="383" t="str">
        <f t="shared" si="56"/>
        <v/>
      </c>
      <c r="T877" s="384" t="str">
        <f t="shared" si="55"/>
        <v/>
      </c>
      <c r="V877" s="385"/>
      <c r="W877" s="385"/>
      <c r="X877" s="386"/>
    </row>
    <row r="878" spans="2:24">
      <c r="B878" s="395"/>
      <c r="C878" s="371"/>
      <c r="D878" s="372" t="str">
        <f>IFERROR(INDEX('[12]Equipment List'!$B$2:$B$2038,MATCH(E878,'[12]Equipment List'!$A$2:$A$2038,0)),"")</f>
        <v/>
      </c>
      <c r="E878" s="388"/>
      <c r="F878" s="374"/>
      <c r="G878" s="375"/>
      <c r="H878" s="397"/>
      <c r="I878" s="377"/>
      <c r="J878" s="378"/>
      <c r="K878" s="379"/>
      <c r="L878" s="387"/>
      <c r="M878" s="380" t="str">
        <f t="array" ref="M878">IF(L878="","",(MAX(IF(AN$15:AN$144=B878,AO$15:AO$144))/60))</f>
        <v/>
      </c>
      <c r="N878" s="387"/>
      <c r="O878" s="387"/>
      <c r="P878" s="381" t="str">
        <f t="shared" si="53"/>
        <v/>
      </c>
      <c r="Q878" s="382" t="str">
        <f t="array" ref="Q878">IFERROR(INDEX($D$13:$D$1000,MATCH(0,COUNTIF($Q$13:Q877,$D$13:$D$1000&amp;"")+IF($D$13:$D$1000="",1,0),0)),"")</f>
        <v/>
      </c>
      <c r="R878" s="356" t="str">
        <f t="shared" si="54"/>
        <v/>
      </c>
      <c r="S878" s="383" t="str">
        <f t="shared" si="56"/>
        <v/>
      </c>
      <c r="T878" s="384" t="str">
        <f t="shared" si="55"/>
        <v/>
      </c>
      <c r="V878" s="385"/>
      <c r="W878" s="385"/>
      <c r="X878" s="386"/>
    </row>
    <row r="879" spans="2:24">
      <c r="B879" s="395"/>
      <c r="C879" s="371"/>
      <c r="D879" s="372" t="str">
        <f>IFERROR(INDEX('[12]Equipment List'!$B$2:$B$2038,MATCH(E879,'[12]Equipment List'!$A$2:$A$2038,0)),"")</f>
        <v/>
      </c>
      <c r="E879" s="388"/>
      <c r="F879" s="374"/>
      <c r="G879" s="375"/>
      <c r="H879" s="397"/>
      <c r="I879" s="377"/>
      <c r="J879" s="378"/>
      <c r="K879" s="379"/>
      <c r="L879" s="387"/>
      <c r="M879" s="380" t="str">
        <f t="array" ref="M879">IF(L879="","",(MAX(IF(AN$15:AN$144=B879,AO$15:AO$144))/60))</f>
        <v/>
      </c>
      <c r="N879" s="387"/>
      <c r="O879" s="387"/>
      <c r="P879" s="381" t="str">
        <f t="shared" si="53"/>
        <v/>
      </c>
      <c r="Q879" s="382" t="str">
        <f t="array" ref="Q879">IFERROR(INDEX($D$13:$D$1000,MATCH(0,COUNTIF($Q$13:Q878,$D$13:$D$1000&amp;"")+IF($D$13:$D$1000="",1,0),0)),"")</f>
        <v/>
      </c>
      <c r="R879" s="356" t="str">
        <f t="shared" si="54"/>
        <v/>
      </c>
      <c r="S879" s="383" t="str">
        <f t="shared" si="56"/>
        <v/>
      </c>
      <c r="T879" s="384" t="str">
        <f t="shared" si="55"/>
        <v/>
      </c>
      <c r="V879" s="385"/>
      <c r="W879" s="385"/>
      <c r="X879" s="386"/>
    </row>
    <row r="880" spans="2:24">
      <c r="B880" s="395"/>
      <c r="C880" s="371"/>
      <c r="D880" s="372" t="str">
        <f>IFERROR(INDEX('[12]Equipment List'!$B$2:$B$2038,MATCH(E880,'[12]Equipment List'!$A$2:$A$2038,0)),"")</f>
        <v/>
      </c>
      <c r="E880" s="388"/>
      <c r="F880" s="374"/>
      <c r="G880" s="375"/>
      <c r="H880" s="397"/>
      <c r="I880" s="377"/>
      <c r="J880" s="378"/>
      <c r="K880" s="379"/>
      <c r="L880" s="387"/>
      <c r="M880" s="380" t="str">
        <f t="array" ref="M880">IF(L880="","",(MAX(IF(AN$15:AN$144=B880,AO$15:AO$144))/60))</f>
        <v/>
      </c>
      <c r="N880" s="387"/>
      <c r="O880" s="387"/>
      <c r="P880" s="381" t="str">
        <f t="shared" si="53"/>
        <v/>
      </c>
      <c r="Q880" s="382" t="str">
        <f t="array" ref="Q880">IFERROR(INDEX($D$13:$D$1000,MATCH(0,COUNTIF($Q$13:Q879,$D$13:$D$1000&amp;"")+IF($D$13:$D$1000="",1,0),0)),"")</f>
        <v/>
      </c>
      <c r="R880" s="356" t="str">
        <f t="shared" si="54"/>
        <v/>
      </c>
      <c r="S880" s="383" t="str">
        <f t="shared" si="56"/>
        <v/>
      </c>
      <c r="T880" s="384" t="str">
        <f t="shared" si="55"/>
        <v/>
      </c>
      <c r="V880" s="385"/>
      <c r="W880" s="385"/>
      <c r="X880" s="386"/>
    </row>
    <row r="881" spans="2:24">
      <c r="B881" s="395"/>
      <c r="C881" s="371"/>
      <c r="D881" s="372" t="str">
        <f>IFERROR(INDEX('[12]Equipment List'!$B$2:$B$2038,MATCH(E881,'[12]Equipment List'!$A$2:$A$2038,0)),"")</f>
        <v/>
      </c>
      <c r="E881" s="388"/>
      <c r="F881" s="374"/>
      <c r="G881" s="375"/>
      <c r="H881" s="397"/>
      <c r="I881" s="377"/>
      <c r="J881" s="378"/>
      <c r="K881" s="379"/>
      <c r="L881" s="387"/>
      <c r="M881" s="380" t="str">
        <f t="array" ref="M881">IF(L881="","",(MAX(IF(AN$15:AN$144=B881,AO$15:AO$144))/60))</f>
        <v/>
      </c>
      <c r="N881" s="387"/>
      <c r="O881" s="387"/>
      <c r="P881" s="381" t="str">
        <f t="shared" si="53"/>
        <v/>
      </c>
      <c r="Q881" s="382" t="str">
        <f t="array" ref="Q881">IFERROR(INDEX($D$13:$D$1000,MATCH(0,COUNTIF($Q$13:Q880,$D$13:$D$1000&amp;"")+IF($D$13:$D$1000="",1,0),0)),"")</f>
        <v/>
      </c>
      <c r="R881" s="356" t="str">
        <f t="shared" si="54"/>
        <v/>
      </c>
      <c r="S881" s="383" t="str">
        <f t="shared" si="56"/>
        <v/>
      </c>
      <c r="T881" s="384" t="str">
        <f t="shared" si="55"/>
        <v/>
      </c>
      <c r="V881" s="385"/>
      <c r="W881" s="385"/>
      <c r="X881" s="386"/>
    </row>
    <row r="882" spans="2:24">
      <c r="B882" s="395"/>
      <c r="C882" s="371"/>
      <c r="D882" s="372" t="str">
        <f>IFERROR(INDEX('[12]Equipment List'!$B$2:$B$2038,MATCH(E882,'[12]Equipment List'!$A$2:$A$2038,0)),"")</f>
        <v/>
      </c>
      <c r="E882" s="388"/>
      <c r="F882" s="374"/>
      <c r="G882" s="375"/>
      <c r="H882" s="397"/>
      <c r="I882" s="377"/>
      <c r="J882" s="378"/>
      <c r="K882" s="379"/>
      <c r="L882" s="387"/>
      <c r="M882" s="380" t="str">
        <f t="array" ref="M882">IF(L882="","",(MAX(IF(AN$15:AN$144=B882,AO$15:AO$144))/60))</f>
        <v/>
      </c>
      <c r="N882" s="387"/>
      <c r="O882" s="387"/>
      <c r="P882" s="381" t="str">
        <f t="shared" si="53"/>
        <v/>
      </c>
      <c r="Q882" s="382" t="str">
        <f t="array" ref="Q882">IFERROR(INDEX($D$13:$D$1000,MATCH(0,COUNTIF($Q$13:Q881,$D$13:$D$1000&amp;"")+IF($D$13:$D$1000="",1,0),0)),"")</f>
        <v/>
      </c>
      <c r="R882" s="356" t="str">
        <f t="shared" si="54"/>
        <v/>
      </c>
      <c r="S882" s="383" t="str">
        <f t="shared" si="56"/>
        <v/>
      </c>
      <c r="T882" s="384" t="str">
        <f t="shared" si="55"/>
        <v/>
      </c>
      <c r="V882" s="385"/>
      <c r="W882" s="385"/>
      <c r="X882" s="386"/>
    </row>
    <row r="883" spans="2:24">
      <c r="B883" s="395"/>
      <c r="C883" s="371"/>
      <c r="D883" s="372" t="str">
        <f>IFERROR(INDEX('[12]Equipment List'!$B$2:$B$2038,MATCH(E883,'[12]Equipment List'!$A$2:$A$2038,0)),"")</f>
        <v/>
      </c>
      <c r="E883" s="388"/>
      <c r="F883" s="374"/>
      <c r="G883" s="375"/>
      <c r="H883" s="397"/>
      <c r="I883" s="377"/>
      <c r="J883" s="378"/>
      <c r="K883" s="379"/>
      <c r="L883" s="387"/>
      <c r="M883" s="380" t="str">
        <f t="array" ref="M883">IF(L883="","",(MAX(IF(AN$15:AN$144=B883,AO$15:AO$144))/60))</f>
        <v/>
      </c>
      <c r="N883" s="387"/>
      <c r="O883" s="387"/>
      <c r="P883" s="381" t="str">
        <f t="shared" si="53"/>
        <v/>
      </c>
      <c r="Q883" s="382" t="str">
        <f t="array" ref="Q883">IFERROR(INDEX($D$13:$D$1000,MATCH(0,COUNTIF($Q$13:Q882,$D$13:$D$1000&amp;"")+IF($D$13:$D$1000="",1,0),0)),"")</f>
        <v/>
      </c>
      <c r="R883" s="356" t="str">
        <f t="shared" si="54"/>
        <v/>
      </c>
      <c r="S883" s="383" t="str">
        <f t="shared" si="56"/>
        <v/>
      </c>
      <c r="T883" s="384" t="str">
        <f t="shared" si="55"/>
        <v/>
      </c>
      <c r="V883" s="385"/>
      <c r="W883" s="385"/>
      <c r="X883" s="386"/>
    </row>
    <row r="884" spans="2:24">
      <c r="B884" s="395"/>
      <c r="C884" s="371"/>
      <c r="D884" s="372" t="str">
        <f>IFERROR(INDEX('[12]Equipment List'!$B$2:$B$2038,MATCH(E884,'[12]Equipment List'!$A$2:$A$2038,0)),"")</f>
        <v/>
      </c>
      <c r="E884" s="388"/>
      <c r="F884" s="374"/>
      <c r="G884" s="375"/>
      <c r="H884" s="397"/>
      <c r="I884" s="377"/>
      <c r="J884" s="378"/>
      <c r="K884" s="379"/>
      <c r="L884" s="387"/>
      <c r="M884" s="380" t="str">
        <f t="array" ref="M884">IF(L884="","",(MAX(IF(AN$15:AN$144=B884,AO$15:AO$144))/60))</f>
        <v/>
      </c>
      <c r="N884" s="387"/>
      <c r="O884" s="387"/>
      <c r="P884" s="381" t="str">
        <f t="shared" si="53"/>
        <v/>
      </c>
      <c r="Q884" s="382" t="str">
        <f t="array" ref="Q884">IFERROR(INDEX($D$13:$D$1000,MATCH(0,COUNTIF($Q$13:Q883,$D$13:$D$1000&amp;"")+IF($D$13:$D$1000="",1,0),0)),"")</f>
        <v/>
      </c>
      <c r="R884" s="356" t="str">
        <f t="shared" si="54"/>
        <v/>
      </c>
      <c r="S884" s="383" t="str">
        <f t="shared" si="56"/>
        <v/>
      </c>
      <c r="T884" s="384" t="str">
        <f t="shared" si="55"/>
        <v/>
      </c>
      <c r="V884" s="385"/>
      <c r="W884" s="385"/>
      <c r="X884" s="386"/>
    </row>
    <row r="885" spans="2:24">
      <c r="B885" s="395"/>
      <c r="C885" s="371"/>
      <c r="D885" s="372" t="str">
        <f>IFERROR(INDEX('[12]Equipment List'!$B$2:$B$2038,MATCH(E885,'[12]Equipment List'!$A$2:$A$2038,0)),"")</f>
        <v/>
      </c>
      <c r="E885" s="388"/>
      <c r="F885" s="374"/>
      <c r="G885" s="375"/>
      <c r="H885" s="397"/>
      <c r="I885" s="377"/>
      <c r="J885" s="378"/>
      <c r="K885" s="379"/>
      <c r="L885" s="387"/>
      <c r="M885" s="380" t="str">
        <f t="array" ref="M885">IF(L885="","",(MAX(IF(AN$15:AN$144=B885,AO$15:AO$144))/60))</f>
        <v/>
      </c>
      <c r="N885" s="387"/>
      <c r="O885" s="387"/>
      <c r="P885" s="381" t="str">
        <f t="shared" si="53"/>
        <v/>
      </c>
      <c r="Q885" s="382" t="str">
        <f t="array" ref="Q885">IFERROR(INDEX($D$13:$D$1000,MATCH(0,COUNTIF($Q$13:Q884,$D$13:$D$1000&amp;"")+IF($D$13:$D$1000="",1,0),0)),"")</f>
        <v/>
      </c>
      <c r="R885" s="356" t="str">
        <f t="shared" si="54"/>
        <v/>
      </c>
      <c r="S885" s="383" t="str">
        <f t="shared" si="56"/>
        <v/>
      </c>
      <c r="T885" s="384" t="str">
        <f t="shared" si="55"/>
        <v/>
      </c>
      <c r="V885" s="385"/>
      <c r="W885" s="385"/>
      <c r="X885" s="386"/>
    </row>
    <row r="886" spans="2:24">
      <c r="B886" s="395"/>
      <c r="C886" s="371"/>
      <c r="D886" s="372" t="str">
        <f>IFERROR(INDEX('[12]Equipment List'!$B$2:$B$2038,MATCH(E886,'[12]Equipment List'!$A$2:$A$2038,0)),"")</f>
        <v/>
      </c>
      <c r="E886" s="388"/>
      <c r="F886" s="374"/>
      <c r="G886" s="375"/>
      <c r="H886" s="397"/>
      <c r="I886" s="377"/>
      <c r="J886" s="378"/>
      <c r="K886" s="379"/>
      <c r="L886" s="387"/>
      <c r="M886" s="380" t="str">
        <f t="array" ref="M886">IF(L886="","",(MAX(IF(AN$15:AN$144=B886,AO$15:AO$144))/60))</f>
        <v/>
      </c>
      <c r="N886" s="387"/>
      <c r="O886" s="387"/>
      <c r="P886" s="381" t="str">
        <f t="shared" si="53"/>
        <v/>
      </c>
      <c r="Q886" s="382" t="str">
        <f t="array" ref="Q886">IFERROR(INDEX($D$13:$D$1000,MATCH(0,COUNTIF($Q$13:Q885,$D$13:$D$1000&amp;"")+IF($D$13:$D$1000="",1,0),0)),"")</f>
        <v/>
      </c>
      <c r="R886" s="356" t="str">
        <f t="shared" si="54"/>
        <v/>
      </c>
      <c r="S886" s="383" t="str">
        <f t="shared" si="56"/>
        <v/>
      </c>
      <c r="T886" s="384" t="str">
        <f t="shared" si="55"/>
        <v/>
      </c>
      <c r="V886" s="385"/>
      <c r="W886" s="385"/>
      <c r="X886" s="386"/>
    </row>
    <row r="887" spans="2:24">
      <c r="B887" s="395"/>
      <c r="C887" s="371"/>
      <c r="D887" s="372" t="str">
        <f>IFERROR(INDEX('[12]Equipment List'!$B$2:$B$2038,MATCH(E887,'[12]Equipment List'!$A$2:$A$2038,0)),"")</f>
        <v/>
      </c>
      <c r="E887" s="388"/>
      <c r="F887" s="374"/>
      <c r="G887" s="375"/>
      <c r="H887" s="397"/>
      <c r="I887" s="377"/>
      <c r="J887" s="378"/>
      <c r="K887" s="379"/>
      <c r="L887" s="387"/>
      <c r="M887" s="380" t="str">
        <f t="array" ref="M887">IF(L887="","",(MAX(IF(AN$15:AN$144=B887,AO$15:AO$144))/60))</f>
        <v/>
      </c>
      <c r="N887" s="387"/>
      <c r="O887" s="387"/>
      <c r="P887" s="381" t="str">
        <f t="shared" si="53"/>
        <v/>
      </c>
      <c r="Q887" s="382" t="str">
        <f t="array" ref="Q887">IFERROR(INDEX($D$13:$D$1000,MATCH(0,COUNTIF($Q$13:Q886,$D$13:$D$1000&amp;"")+IF($D$13:$D$1000="",1,0),0)),"")</f>
        <v/>
      </c>
      <c r="R887" s="356" t="str">
        <f t="shared" si="54"/>
        <v/>
      </c>
      <c r="S887" s="383" t="str">
        <f t="shared" si="56"/>
        <v/>
      </c>
      <c r="T887" s="384" t="str">
        <f t="shared" si="55"/>
        <v/>
      </c>
      <c r="V887" s="385"/>
      <c r="W887" s="385"/>
      <c r="X887" s="386"/>
    </row>
    <row r="888" spans="2:24">
      <c r="B888" s="395"/>
      <c r="C888" s="371"/>
      <c r="D888" s="372" t="str">
        <f>IFERROR(INDEX('[12]Equipment List'!$B$2:$B$2038,MATCH(E888,'[12]Equipment List'!$A$2:$A$2038,0)),"")</f>
        <v/>
      </c>
      <c r="E888" s="388"/>
      <c r="F888" s="374"/>
      <c r="G888" s="375"/>
      <c r="H888" s="397"/>
      <c r="I888" s="377"/>
      <c r="J888" s="378"/>
      <c r="K888" s="379"/>
      <c r="L888" s="387"/>
      <c r="M888" s="380" t="str">
        <f t="array" ref="M888">IF(L888="","",(MAX(IF(AN$15:AN$144=B888,AO$15:AO$144))/60))</f>
        <v/>
      </c>
      <c r="N888" s="387"/>
      <c r="O888" s="387"/>
      <c r="P888" s="381" t="str">
        <f t="shared" si="53"/>
        <v/>
      </c>
      <c r="Q888" s="382" t="str">
        <f t="array" ref="Q888">IFERROR(INDEX($D$13:$D$1000,MATCH(0,COUNTIF($Q$13:Q887,$D$13:$D$1000&amp;"")+IF($D$13:$D$1000="",1,0),0)),"")</f>
        <v/>
      </c>
      <c r="R888" s="356" t="str">
        <f t="shared" si="54"/>
        <v/>
      </c>
      <c r="S888" s="383" t="str">
        <f t="shared" si="56"/>
        <v/>
      </c>
      <c r="T888" s="384" t="str">
        <f t="shared" si="55"/>
        <v/>
      </c>
      <c r="V888" s="385"/>
      <c r="W888" s="385"/>
      <c r="X888" s="386"/>
    </row>
    <row r="889" spans="2:24">
      <c r="B889" s="395"/>
      <c r="C889" s="371"/>
      <c r="D889" s="372" t="str">
        <f>IFERROR(INDEX('[12]Equipment List'!$B$2:$B$2038,MATCH(E889,'[12]Equipment List'!$A$2:$A$2038,0)),"")</f>
        <v/>
      </c>
      <c r="E889" s="388"/>
      <c r="F889" s="374"/>
      <c r="G889" s="375"/>
      <c r="H889" s="397"/>
      <c r="I889" s="377"/>
      <c r="J889" s="378"/>
      <c r="K889" s="379"/>
      <c r="L889" s="387"/>
      <c r="M889" s="380" t="str">
        <f t="array" ref="M889">IF(L889="","",(MAX(IF(AN$15:AN$144=B889,AO$15:AO$144))/60))</f>
        <v/>
      </c>
      <c r="N889" s="387"/>
      <c r="O889" s="387"/>
      <c r="P889" s="381" t="str">
        <f t="shared" si="53"/>
        <v/>
      </c>
      <c r="Q889" s="382" t="str">
        <f t="array" ref="Q889">IFERROR(INDEX($D$13:$D$1000,MATCH(0,COUNTIF($Q$13:Q888,$D$13:$D$1000&amp;"")+IF($D$13:$D$1000="",1,0),0)),"")</f>
        <v/>
      </c>
      <c r="R889" s="356" t="str">
        <f t="shared" si="54"/>
        <v/>
      </c>
      <c r="S889" s="383" t="str">
        <f t="shared" si="56"/>
        <v/>
      </c>
      <c r="T889" s="384" t="str">
        <f t="shared" si="55"/>
        <v/>
      </c>
      <c r="V889" s="385"/>
      <c r="W889" s="385"/>
      <c r="X889" s="386"/>
    </row>
    <row r="890" spans="2:24">
      <c r="B890" s="395"/>
      <c r="C890" s="371"/>
      <c r="D890" s="372" t="str">
        <f>IFERROR(INDEX('[12]Equipment List'!$B$2:$B$2038,MATCH(E890,'[12]Equipment List'!$A$2:$A$2038,0)),"")</f>
        <v/>
      </c>
      <c r="E890" s="388"/>
      <c r="F890" s="374"/>
      <c r="G890" s="375"/>
      <c r="H890" s="397"/>
      <c r="I890" s="377"/>
      <c r="J890" s="378"/>
      <c r="K890" s="379"/>
      <c r="L890" s="387"/>
      <c r="M890" s="380" t="str">
        <f t="array" ref="M890">IF(L890="","",(MAX(IF(AN$15:AN$144=B890,AO$15:AO$144))/60))</f>
        <v/>
      </c>
      <c r="N890" s="387"/>
      <c r="O890" s="387"/>
      <c r="P890" s="381" t="str">
        <f t="shared" si="53"/>
        <v/>
      </c>
      <c r="Q890" s="382" t="str">
        <f t="array" ref="Q890">IFERROR(INDEX($D$13:$D$1000,MATCH(0,COUNTIF($Q$13:Q889,$D$13:$D$1000&amp;"")+IF($D$13:$D$1000="",1,0),0)),"")</f>
        <v/>
      </c>
      <c r="R890" s="356" t="str">
        <f t="shared" si="54"/>
        <v/>
      </c>
      <c r="S890" s="383" t="str">
        <f t="shared" si="56"/>
        <v/>
      </c>
      <c r="T890" s="384" t="str">
        <f t="shared" si="55"/>
        <v/>
      </c>
      <c r="V890" s="385"/>
      <c r="W890" s="385"/>
      <c r="X890" s="386"/>
    </row>
    <row r="891" spans="2:24">
      <c r="B891" s="395"/>
      <c r="C891" s="371"/>
      <c r="D891" s="372" t="str">
        <f>IFERROR(INDEX('[12]Equipment List'!$B$2:$B$2038,MATCH(E891,'[12]Equipment List'!$A$2:$A$2038,0)),"")</f>
        <v/>
      </c>
      <c r="E891" s="388"/>
      <c r="F891" s="374"/>
      <c r="G891" s="375"/>
      <c r="H891" s="397"/>
      <c r="I891" s="377"/>
      <c r="J891" s="378"/>
      <c r="K891" s="379"/>
      <c r="L891" s="387"/>
      <c r="M891" s="380" t="str">
        <f t="array" ref="M891">IF(L891="","",(MAX(IF(AN$15:AN$144=B891,AO$15:AO$144))/60))</f>
        <v/>
      </c>
      <c r="N891" s="387"/>
      <c r="O891" s="387"/>
      <c r="P891" s="381" t="str">
        <f t="shared" si="53"/>
        <v/>
      </c>
      <c r="Q891" s="382" t="str">
        <f t="array" ref="Q891">IFERROR(INDEX($D$13:$D$1000,MATCH(0,COUNTIF($Q$13:Q890,$D$13:$D$1000&amp;"")+IF($D$13:$D$1000="",1,0),0)),"")</f>
        <v/>
      </c>
      <c r="R891" s="356" t="str">
        <f t="shared" si="54"/>
        <v/>
      </c>
      <c r="S891" s="383" t="str">
        <f t="shared" si="56"/>
        <v/>
      </c>
      <c r="T891" s="384" t="str">
        <f t="shared" si="55"/>
        <v/>
      </c>
      <c r="V891" s="385"/>
      <c r="W891" s="385"/>
      <c r="X891" s="386"/>
    </row>
    <row r="892" spans="2:24">
      <c r="B892" s="395"/>
      <c r="C892" s="371"/>
      <c r="D892" s="372" t="str">
        <f>IFERROR(INDEX('[12]Equipment List'!$B$2:$B$2038,MATCH(E892,'[12]Equipment List'!$A$2:$A$2038,0)),"")</f>
        <v/>
      </c>
      <c r="E892" s="388"/>
      <c r="F892" s="374"/>
      <c r="G892" s="375"/>
      <c r="H892" s="397"/>
      <c r="I892" s="377"/>
      <c r="J892" s="378"/>
      <c r="K892" s="379"/>
      <c r="L892" s="387"/>
      <c r="M892" s="380" t="str">
        <f t="array" ref="M892">IF(L892="","",(MAX(IF(AN$15:AN$144=B892,AO$15:AO$144))/60))</f>
        <v/>
      </c>
      <c r="N892" s="387"/>
      <c r="O892" s="387"/>
      <c r="P892" s="381" t="str">
        <f t="shared" si="53"/>
        <v/>
      </c>
      <c r="Q892" s="382" t="str">
        <f t="array" ref="Q892">IFERROR(INDEX($D$13:$D$1000,MATCH(0,COUNTIF($Q$13:Q891,$D$13:$D$1000&amp;"")+IF($D$13:$D$1000="",1,0),0)),"")</f>
        <v/>
      </c>
      <c r="R892" s="356" t="str">
        <f t="shared" si="54"/>
        <v/>
      </c>
      <c r="S892" s="383" t="str">
        <f t="shared" si="56"/>
        <v/>
      </c>
      <c r="T892" s="384" t="str">
        <f t="shared" si="55"/>
        <v/>
      </c>
      <c r="V892" s="385"/>
      <c r="W892" s="385"/>
      <c r="X892" s="386"/>
    </row>
    <row r="893" spans="2:24">
      <c r="B893" s="395"/>
      <c r="C893" s="371"/>
      <c r="D893" s="372" t="str">
        <f>IFERROR(INDEX('[12]Equipment List'!$B$2:$B$2038,MATCH(E893,'[12]Equipment List'!$A$2:$A$2038,0)),"")</f>
        <v/>
      </c>
      <c r="E893" s="388"/>
      <c r="F893" s="374"/>
      <c r="G893" s="375"/>
      <c r="H893" s="397"/>
      <c r="I893" s="377"/>
      <c r="J893" s="378"/>
      <c r="K893" s="379"/>
      <c r="L893" s="387"/>
      <c r="M893" s="380" t="str">
        <f t="array" ref="M893">IF(L893="","",(MAX(IF(AN$15:AN$144=B893,AO$15:AO$144))/60))</f>
        <v/>
      </c>
      <c r="N893" s="387"/>
      <c r="O893" s="387"/>
      <c r="P893" s="381" t="str">
        <f t="shared" si="53"/>
        <v/>
      </c>
      <c r="Q893" s="382" t="str">
        <f t="array" ref="Q893">IFERROR(INDEX($D$13:$D$1000,MATCH(0,COUNTIF($Q$13:Q892,$D$13:$D$1000&amp;"")+IF($D$13:$D$1000="",1,0),0)),"")</f>
        <v/>
      </c>
      <c r="R893" s="356" t="str">
        <f t="shared" si="54"/>
        <v/>
      </c>
      <c r="S893" s="383" t="str">
        <f t="shared" si="56"/>
        <v/>
      </c>
      <c r="T893" s="384" t="str">
        <f t="shared" si="55"/>
        <v/>
      </c>
      <c r="V893" s="385"/>
      <c r="W893" s="385"/>
      <c r="X893" s="386"/>
    </row>
    <row r="894" spans="2:24">
      <c r="B894" s="395"/>
      <c r="C894" s="371"/>
      <c r="D894" s="372" t="str">
        <f>IFERROR(INDEX('[12]Equipment List'!$B$2:$B$2038,MATCH(E894,'[12]Equipment List'!$A$2:$A$2038,0)),"")</f>
        <v/>
      </c>
      <c r="E894" s="388"/>
      <c r="F894" s="374"/>
      <c r="G894" s="375"/>
      <c r="H894" s="397"/>
      <c r="I894" s="377"/>
      <c r="J894" s="378"/>
      <c r="K894" s="379"/>
      <c r="L894" s="387"/>
      <c r="M894" s="380" t="str">
        <f t="array" ref="M894">IF(L894="","",(MAX(IF(AN$15:AN$144=B894,AO$15:AO$144))/60))</f>
        <v/>
      </c>
      <c r="N894" s="387"/>
      <c r="O894" s="387"/>
      <c r="P894" s="381" t="str">
        <f t="shared" si="53"/>
        <v/>
      </c>
      <c r="Q894" s="382" t="str">
        <f t="array" ref="Q894">IFERROR(INDEX($D$13:$D$1000,MATCH(0,COUNTIF($Q$13:Q893,$D$13:$D$1000&amp;"")+IF($D$13:$D$1000="",1,0),0)),"")</f>
        <v/>
      </c>
      <c r="R894" s="356" t="str">
        <f t="shared" si="54"/>
        <v/>
      </c>
      <c r="S894" s="383" t="str">
        <f t="shared" si="56"/>
        <v/>
      </c>
      <c r="T894" s="384" t="str">
        <f t="shared" si="55"/>
        <v/>
      </c>
      <c r="V894" s="385"/>
      <c r="W894" s="385"/>
      <c r="X894" s="386"/>
    </row>
    <row r="895" spans="2:24">
      <c r="B895" s="395"/>
      <c r="C895" s="371"/>
      <c r="D895" s="372" t="str">
        <f>IFERROR(INDEX('[12]Equipment List'!$B$2:$B$2038,MATCH(E895,'[12]Equipment List'!$A$2:$A$2038,0)),"")</f>
        <v/>
      </c>
      <c r="E895" s="388"/>
      <c r="F895" s="374"/>
      <c r="G895" s="375"/>
      <c r="H895" s="397"/>
      <c r="I895" s="377"/>
      <c r="J895" s="378"/>
      <c r="K895" s="379"/>
      <c r="L895" s="387"/>
      <c r="M895" s="380" t="str">
        <f t="array" ref="M895">IF(L895="","",(MAX(IF(AN$15:AN$144=B895,AO$15:AO$144))/60))</f>
        <v/>
      </c>
      <c r="N895" s="387"/>
      <c r="O895" s="387"/>
      <c r="P895" s="381" t="str">
        <f t="shared" si="53"/>
        <v/>
      </c>
      <c r="Q895" s="382" t="str">
        <f t="array" ref="Q895">IFERROR(INDEX($D$13:$D$1000,MATCH(0,COUNTIF($Q$13:Q894,$D$13:$D$1000&amp;"")+IF($D$13:$D$1000="",1,0),0)),"")</f>
        <v/>
      </c>
      <c r="R895" s="356" t="str">
        <f t="shared" si="54"/>
        <v/>
      </c>
      <c r="S895" s="383" t="str">
        <f t="shared" si="56"/>
        <v/>
      </c>
      <c r="T895" s="384" t="str">
        <f t="shared" si="55"/>
        <v/>
      </c>
      <c r="V895" s="385"/>
      <c r="W895" s="385"/>
      <c r="X895" s="386"/>
    </row>
    <row r="896" spans="2:24">
      <c r="B896" s="395"/>
      <c r="C896" s="371"/>
      <c r="D896" s="372" t="str">
        <f>IFERROR(INDEX('[12]Equipment List'!$B$2:$B$2038,MATCH(E896,'[12]Equipment List'!$A$2:$A$2038,0)),"")</f>
        <v/>
      </c>
      <c r="E896" s="388"/>
      <c r="F896" s="374"/>
      <c r="G896" s="375"/>
      <c r="H896" s="397"/>
      <c r="I896" s="377"/>
      <c r="J896" s="378"/>
      <c r="K896" s="379"/>
      <c r="L896" s="387"/>
      <c r="M896" s="380" t="str">
        <f t="array" ref="M896">IF(L896="","",(MAX(IF(AN$15:AN$144=B896,AO$15:AO$144))/60))</f>
        <v/>
      </c>
      <c r="N896" s="387"/>
      <c r="O896" s="387"/>
      <c r="P896" s="381" t="str">
        <f t="shared" si="53"/>
        <v/>
      </c>
      <c r="Q896" s="382" t="str">
        <f t="array" ref="Q896">IFERROR(INDEX($D$13:$D$1000,MATCH(0,COUNTIF($Q$13:Q895,$D$13:$D$1000&amp;"")+IF($D$13:$D$1000="",1,0),0)),"")</f>
        <v/>
      </c>
      <c r="R896" s="356" t="str">
        <f t="shared" si="54"/>
        <v/>
      </c>
      <c r="S896" s="383" t="str">
        <f t="shared" si="56"/>
        <v/>
      </c>
      <c r="T896" s="384" t="str">
        <f t="shared" si="55"/>
        <v/>
      </c>
      <c r="V896" s="385"/>
      <c r="W896" s="385"/>
      <c r="X896" s="386"/>
    </row>
    <row r="897" spans="2:24">
      <c r="B897" s="395"/>
      <c r="C897" s="371"/>
      <c r="D897" s="372" t="str">
        <f>IFERROR(INDEX('[12]Equipment List'!$B$2:$B$2038,MATCH(E897,'[12]Equipment List'!$A$2:$A$2038,0)),"")</f>
        <v/>
      </c>
      <c r="E897" s="388"/>
      <c r="F897" s="374"/>
      <c r="G897" s="375"/>
      <c r="H897" s="397"/>
      <c r="I897" s="377"/>
      <c r="J897" s="378"/>
      <c r="K897" s="379"/>
      <c r="L897" s="387"/>
      <c r="M897" s="380" t="str">
        <f t="array" ref="M897">IF(L897="","",(MAX(IF(AN$15:AN$144=B897,AO$15:AO$144))/60))</f>
        <v/>
      </c>
      <c r="N897" s="387"/>
      <c r="O897" s="387"/>
      <c r="P897" s="381" t="str">
        <f t="shared" si="53"/>
        <v/>
      </c>
      <c r="Q897" s="382" t="str">
        <f t="array" ref="Q897">IFERROR(INDEX($D$13:$D$1000,MATCH(0,COUNTIF($Q$13:Q896,$D$13:$D$1000&amp;"")+IF($D$13:$D$1000="",1,0),0)),"")</f>
        <v/>
      </c>
      <c r="R897" s="356" t="str">
        <f t="shared" si="54"/>
        <v/>
      </c>
      <c r="S897" s="383" t="str">
        <f t="shared" si="56"/>
        <v/>
      </c>
      <c r="T897" s="384" t="str">
        <f t="shared" si="55"/>
        <v/>
      </c>
      <c r="V897" s="385"/>
      <c r="W897" s="385"/>
      <c r="X897" s="386"/>
    </row>
    <row r="898" spans="2:24">
      <c r="B898" s="395"/>
      <c r="C898" s="371"/>
      <c r="D898" s="372" t="str">
        <f>IFERROR(INDEX('[12]Equipment List'!$B$2:$B$2038,MATCH(E898,'[12]Equipment List'!$A$2:$A$2038,0)),"")</f>
        <v/>
      </c>
      <c r="E898" s="388"/>
      <c r="F898" s="374"/>
      <c r="G898" s="375"/>
      <c r="H898" s="397"/>
      <c r="I898" s="377"/>
      <c r="J898" s="378"/>
      <c r="K898" s="379"/>
      <c r="L898" s="387"/>
      <c r="M898" s="380" t="str">
        <f t="array" ref="M898">IF(L898="","",(MAX(IF(AN$15:AN$144=B898,AO$15:AO$144))/60))</f>
        <v/>
      </c>
      <c r="N898" s="387"/>
      <c r="O898" s="387"/>
      <c r="P898" s="381" t="str">
        <f t="shared" si="53"/>
        <v/>
      </c>
      <c r="Q898" s="382" t="str">
        <f t="array" ref="Q898">IFERROR(INDEX($D$13:$D$1000,MATCH(0,COUNTIF($Q$13:Q897,$D$13:$D$1000&amp;"")+IF($D$13:$D$1000="",1,0),0)),"")</f>
        <v/>
      </c>
      <c r="R898" s="356" t="str">
        <f t="shared" si="54"/>
        <v/>
      </c>
      <c r="S898" s="383" t="str">
        <f t="shared" si="56"/>
        <v/>
      </c>
      <c r="T898" s="384" t="str">
        <f t="shared" si="55"/>
        <v/>
      </c>
      <c r="V898" s="385"/>
      <c r="W898" s="385"/>
      <c r="X898" s="386"/>
    </row>
    <row r="899" spans="2:24">
      <c r="B899" s="395"/>
      <c r="C899" s="371"/>
      <c r="D899" s="372" t="str">
        <f>IFERROR(INDEX('[12]Equipment List'!$B$2:$B$2038,MATCH(E899,'[12]Equipment List'!$A$2:$A$2038,0)),"")</f>
        <v/>
      </c>
      <c r="E899" s="388"/>
      <c r="F899" s="374"/>
      <c r="G899" s="375"/>
      <c r="H899" s="397"/>
      <c r="I899" s="377"/>
      <c r="J899" s="378"/>
      <c r="K899" s="379"/>
      <c r="L899" s="387"/>
      <c r="M899" s="380" t="str">
        <f t="array" ref="M899">IF(L899="","",(MAX(IF(AN$15:AN$144=B899,AO$15:AO$144))/60))</f>
        <v/>
      </c>
      <c r="N899" s="387"/>
      <c r="O899" s="387"/>
      <c r="P899" s="381" t="str">
        <f t="shared" si="53"/>
        <v/>
      </c>
      <c r="Q899" s="382" t="str">
        <f t="array" ref="Q899">IFERROR(INDEX($D$13:$D$1000,MATCH(0,COUNTIF($Q$13:Q898,$D$13:$D$1000&amp;"")+IF($D$13:$D$1000="",1,0),0)),"")</f>
        <v/>
      </c>
      <c r="R899" s="356" t="str">
        <f t="shared" si="54"/>
        <v/>
      </c>
      <c r="S899" s="383" t="str">
        <f t="shared" si="56"/>
        <v/>
      </c>
      <c r="T899" s="384" t="str">
        <f t="shared" si="55"/>
        <v/>
      </c>
      <c r="V899" s="385"/>
      <c r="W899" s="385"/>
      <c r="X899" s="386"/>
    </row>
    <row r="900" spans="2:24">
      <c r="B900" s="395"/>
      <c r="C900" s="371"/>
      <c r="D900" s="372" t="str">
        <f>IFERROR(INDEX('[12]Equipment List'!$B$2:$B$2038,MATCH(E900,'[12]Equipment List'!$A$2:$A$2038,0)),"")</f>
        <v/>
      </c>
      <c r="E900" s="388"/>
      <c r="F900" s="374"/>
      <c r="G900" s="375"/>
      <c r="H900" s="397"/>
      <c r="I900" s="377"/>
      <c r="J900" s="378"/>
      <c r="K900" s="379"/>
      <c r="L900" s="387"/>
      <c r="M900" s="380" t="str">
        <f t="array" ref="M900">IF(L900="","",(MAX(IF(AN$15:AN$144=B900,AO$15:AO$144))/60))</f>
        <v/>
      </c>
      <c r="N900" s="387"/>
      <c r="O900" s="387"/>
      <c r="P900" s="381" t="str">
        <f t="shared" si="53"/>
        <v/>
      </c>
      <c r="Q900" s="382" t="str">
        <f t="array" ref="Q900">IFERROR(INDEX($D$13:$D$1000,MATCH(0,COUNTIF($Q$13:Q899,$D$13:$D$1000&amp;"")+IF($D$13:$D$1000="",1,0),0)),"")</f>
        <v/>
      </c>
      <c r="R900" s="356" t="str">
        <f t="shared" si="54"/>
        <v/>
      </c>
      <c r="S900" s="383" t="str">
        <f t="shared" si="56"/>
        <v/>
      </c>
      <c r="T900" s="384" t="str">
        <f t="shared" si="55"/>
        <v/>
      </c>
      <c r="V900" s="385"/>
      <c r="W900" s="385"/>
      <c r="X900" s="386"/>
    </row>
    <row r="901" spans="2:24">
      <c r="B901" s="395"/>
      <c r="C901" s="371"/>
      <c r="D901" s="372" t="str">
        <f>IFERROR(INDEX('[12]Equipment List'!$B$2:$B$2038,MATCH(E901,'[12]Equipment List'!$A$2:$A$2038,0)),"")</f>
        <v/>
      </c>
      <c r="E901" s="388"/>
      <c r="F901" s="374"/>
      <c r="G901" s="375"/>
      <c r="H901" s="397"/>
      <c r="I901" s="377"/>
      <c r="J901" s="378"/>
      <c r="K901" s="379"/>
      <c r="L901" s="387"/>
      <c r="M901" s="380" t="str">
        <f t="array" ref="M901">IF(L901="","",(MAX(IF(AN$15:AN$144=B901,AO$15:AO$144))/60))</f>
        <v/>
      </c>
      <c r="N901" s="387"/>
      <c r="O901" s="387"/>
      <c r="P901" s="381" t="str">
        <f t="shared" si="53"/>
        <v/>
      </c>
      <c r="Q901" s="382" t="str">
        <f t="array" ref="Q901">IFERROR(INDEX($D$13:$D$1000,MATCH(0,COUNTIF($Q$13:Q900,$D$13:$D$1000&amp;"")+IF($D$13:$D$1000="",1,0),0)),"")</f>
        <v/>
      </c>
      <c r="R901" s="356" t="str">
        <f t="shared" si="54"/>
        <v/>
      </c>
      <c r="S901" s="383" t="str">
        <f t="shared" si="56"/>
        <v/>
      </c>
      <c r="T901" s="384" t="str">
        <f t="shared" si="55"/>
        <v/>
      </c>
      <c r="V901" s="385"/>
      <c r="W901" s="385"/>
      <c r="X901" s="386"/>
    </row>
    <row r="902" spans="2:24">
      <c r="B902" s="395"/>
      <c r="C902" s="371"/>
      <c r="D902" s="372" t="str">
        <f>IFERROR(INDEX('[12]Equipment List'!$B$2:$B$2038,MATCH(E902,'[12]Equipment List'!$A$2:$A$2038,0)),"")</f>
        <v/>
      </c>
      <c r="E902" s="388"/>
      <c r="F902" s="374"/>
      <c r="G902" s="375"/>
      <c r="H902" s="397"/>
      <c r="I902" s="377"/>
      <c r="J902" s="378"/>
      <c r="K902" s="379"/>
      <c r="L902" s="387"/>
      <c r="M902" s="380" t="str">
        <f t="array" ref="M902">IF(L902="","",(MAX(IF(AN$15:AN$144=B902,AO$15:AO$144))/60))</f>
        <v/>
      </c>
      <c r="N902" s="387"/>
      <c r="O902" s="387"/>
      <c r="P902" s="381" t="str">
        <f t="shared" si="53"/>
        <v/>
      </c>
      <c r="Q902" s="382" t="str">
        <f t="array" ref="Q902">IFERROR(INDEX($D$13:$D$1000,MATCH(0,COUNTIF($Q$13:Q901,$D$13:$D$1000&amp;"")+IF($D$13:$D$1000="",1,0),0)),"")</f>
        <v/>
      </c>
      <c r="R902" s="356" t="str">
        <f t="shared" si="54"/>
        <v/>
      </c>
      <c r="S902" s="383" t="str">
        <f t="shared" si="56"/>
        <v/>
      </c>
      <c r="T902" s="384" t="str">
        <f t="shared" si="55"/>
        <v/>
      </c>
      <c r="V902" s="385"/>
      <c r="W902" s="385"/>
      <c r="X902" s="386"/>
    </row>
    <row r="903" spans="2:24">
      <c r="B903" s="395"/>
      <c r="C903" s="371"/>
      <c r="D903" s="372" t="str">
        <f>IFERROR(INDEX('[12]Equipment List'!$B$2:$B$2038,MATCH(E903,'[12]Equipment List'!$A$2:$A$2038,0)),"")</f>
        <v/>
      </c>
      <c r="E903" s="388"/>
      <c r="F903" s="374"/>
      <c r="G903" s="375"/>
      <c r="H903" s="397"/>
      <c r="I903" s="377"/>
      <c r="J903" s="378"/>
      <c r="K903" s="379"/>
      <c r="L903" s="387"/>
      <c r="M903" s="380" t="str">
        <f t="array" ref="M903">IF(L903="","",(MAX(IF(AN$15:AN$144=B903,AO$15:AO$144))/60))</f>
        <v/>
      </c>
      <c r="N903" s="387"/>
      <c r="O903" s="387"/>
      <c r="P903" s="381" t="str">
        <f t="shared" si="53"/>
        <v/>
      </c>
      <c r="Q903" s="382" t="str">
        <f t="array" ref="Q903">IFERROR(INDEX($D$13:$D$1000,MATCH(0,COUNTIF($Q$13:Q902,$D$13:$D$1000&amp;"")+IF($D$13:$D$1000="",1,0),0)),"")</f>
        <v/>
      </c>
      <c r="R903" s="356" t="str">
        <f t="shared" si="54"/>
        <v/>
      </c>
      <c r="S903" s="383" t="str">
        <f t="shared" si="56"/>
        <v/>
      </c>
      <c r="T903" s="384" t="str">
        <f t="shared" si="55"/>
        <v/>
      </c>
      <c r="V903" s="385"/>
      <c r="W903" s="385"/>
      <c r="X903" s="386"/>
    </row>
    <row r="904" spans="2:24">
      <c r="B904" s="395"/>
      <c r="C904" s="371"/>
      <c r="D904" s="372" t="str">
        <f>IFERROR(INDEX('[12]Equipment List'!$B$2:$B$2038,MATCH(E904,'[12]Equipment List'!$A$2:$A$2038,0)),"")</f>
        <v/>
      </c>
      <c r="E904" s="388"/>
      <c r="F904" s="374"/>
      <c r="G904" s="375"/>
      <c r="H904" s="397"/>
      <c r="I904" s="377"/>
      <c r="J904" s="378"/>
      <c r="K904" s="379"/>
      <c r="L904" s="387"/>
      <c r="M904" s="380" t="str">
        <f t="array" ref="M904">IF(L904="","",(MAX(IF(AN$15:AN$144=B904,AO$15:AO$144))/60))</f>
        <v/>
      </c>
      <c r="N904" s="387"/>
      <c r="O904" s="387"/>
      <c r="P904" s="381" t="str">
        <f t="shared" si="53"/>
        <v/>
      </c>
      <c r="Q904" s="382" t="str">
        <f t="array" ref="Q904">IFERROR(INDEX($D$13:$D$1000,MATCH(0,COUNTIF($Q$13:Q903,$D$13:$D$1000&amp;"")+IF($D$13:$D$1000="",1,0),0)),"")</f>
        <v/>
      </c>
      <c r="R904" s="356" t="str">
        <f t="shared" si="54"/>
        <v/>
      </c>
      <c r="S904" s="383" t="str">
        <f t="shared" si="56"/>
        <v/>
      </c>
      <c r="T904" s="384" t="str">
        <f t="shared" si="55"/>
        <v/>
      </c>
      <c r="V904" s="385"/>
      <c r="W904" s="385"/>
      <c r="X904" s="386"/>
    </row>
    <row r="905" spans="2:24">
      <c r="B905" s="395"/>
      <c r="C905" s="371"/>
      <c r="D905" s="372" t="str">
        <f>IFERROR(INDEX('[12]Equipment List'!$B$2:$B$2038,MATCH(E905,'[12]Equipment List'!$A$2:$A$2038,0)),"")</f>
        <v/>
      </c>
      <c r="E905" s="388"/>
      <c r="F905" s="374"/>
      <c r="G905" s="375"/>
      <c r="H905" s="397"/>
      <c r="I905" s="377"/>
      <c r="J905" s="378"/>
      <c r="K905" s="379"/>
      <c r="L905" s="387"/>
      <c r="M905" s="380" t="str">
        <f t="array" ref="M905">IF(L905="","",(MAX(IF(AN$15:AN$144=B905,AO$15:AO$144))/60))</f>
        <v/>
      </c>
      <c r="N905" s="387"/>
      <c r="O905" s="387"/>
      <c r="P905" s="381" t="str">
        <f t="shared" si="53"/>
        <v/>
      </c>
      <c r="Q905" s="382" t="str">
        <f t="array" ref="Q905">IFERROR(INDEX($D$13:$D$1000,MATCH(0,COUNTIF($Q$13:Q904,$D$13:$D$1000&amp;"")+IF($D$13:$D$1000="",1,0),0)),"")</f>
        <v/>
      </c>
      <c r="R905" s="356" t="str">
        <f t="shared" si="54"/>
        <v/>
      </c>
      <c r="S905" s="383" t="str">
        <f t="shared" si="56"/>
        <v/>
      </c>
      <c r="T905" s="384" t="str">
        <f t="shared" si="55"/>
        <v/>
      </c>
      <c r="V905" s="385"/>
      <c r="W905" s="385"/>
      <c r="X905" s="386"/>
    </row>
    <row r="906" spans="2:24">
      <c r="B906" s="395"/>
      <c r="C906" s="371"/>
      <c r="D906" s="372" t="str">
        <f>IFERROR(INDEX('[12]Equipment List'!$B$2:$B$2038,MATCH(E906,'[12]Equipment List'!$A$2:$A$2038,0)),"")</f>
        <v/>
      </c>
      <c r="E906" s="388"/>
      <c r="F906" s="374"/>
      <c r="G906" s="375"/>
      <c r="H906" s="397"/>
      <c r="I906" s="377"/>
      <c r="J906" s="378"/>
      <c r="K906" s="379"/>
      <c r="L906" s="387"/>
      <c r="M906" s="380" t="str">
        <f t="array" ref="M906">IF(L906="","",(MAX(IF(AN$15:AN$144=B906,AO$15:AO$144))/60))</f>
        <v/>
      </c>
      <c r="N906" s="387"/>
      <c r="O906" s="387"/>
      <c r="P906" s="381" t="str">
        <f t="shared" si="53"/>
        <v/>
      </c>
      <c r="Q906" s="382" t="str">
        <f t="array" ref="Q906">IFERROR(INDEX($D$13:$D$1000,MATCH(0,COUNTIF($Q$13:Q905,$D$13:$D$1000&amp;"")+IF($D$13:$D$1000="",1,0),0)),"")</f>
        <v/>
      </c>
      <c r="R906" s="356" t="str">
        <f t="shared" si="54"/>
        <v/>
      </c>
      <c r="S906" s="383" t="str">
        <f t="shared" si="56"/>
        <v/>
      </c>
      <c r="T906" s="384" t="str">
        <f t="shared" si="55"/>
        <v/>
      </c>
      <c r="V906" s="385"/>
      <c r="W906" s="385"/>
      <c r="X906" s="386"/>
    </row>
    <row r="907" spans="2:24">
      <c r="B907" s="395"/>
      <c r="C907" s="371"/>
      <c r="D907" s="372" t="str">
        <f>IFERROR(INDEX('[12]Equipment List'!$B$2:$B$2038,MATCH(E907,'[12]Equipment List'!$A$2:$A$2038,0)),"")</f>
        <v/>
      </c>
      <c r="E907" s="388"/>
      <c r="F907" s="374"/>
      <c r="G907" s="375"/>
      <c r="H907" s="397"/>
      <c r="I907" s="377"/>
      <c r="J907" s="378"/>
      <c r="K907" s="379"/>
      <c r="L907" s="387"/>
      <c r="M907" s="380" t="str">
        <f t="array" ref="M907">IF(L907="","",(MAX(IF(AN$15:AN$144=B907,AO$15:AO$144))/60))</f>
        <v/>
      </c>
      <c r="N907" s="387"/>
      <c r="O907" s="387"/>
      <c r="P907" s="381" t="str">
        <f t="shared" si="53"/>
        <v/>
      </c>
      <c r="Q907" s="382" t="str">
        <f t="array" ref="Q907">IFERROR(INDEX($D$13:$D$1000,MATCH(0,COUNTIF($Q$13:Q906,$D$13:$D$1000&amp;"")+IF($D$13:$D$1000="",1,0),0)),"")</f>
        <v/>
      </c>
      <c r="R907" s="356" t="str">
        <f t="shared" si="54"/>
        <v/>
      </c>
      <c r="S907" s="383" t="str">
        <f t="shared" si="56"/>
        <v/>
      </c>
      <c r="T907" s="384" t="str">
        <f t="shared" si="55"/>
        <v/>
      </c>
      <c r="V907" s="385"/>
      <c r="W907" s="385"/>
      <c r="X907" s="386"/>
    </row>
    <row r="908" spans="2:24">
      <c r="B908" s="395"/>
      <c r="C908" s="371"/>
      <c r="D908" s="372" t="str">
        <f>IFERROR(INDEX('[12]Equipment List'!$B$2:$B$2038,MATCH(E908,'[12]Equipment List'!$A$2:$A$2038,0)),"")</f>
        <v/>
      </c>
      <c r="E908" s="388"/>
      <c r="F908" s="374"/>
      <c r="G908" s="375"/>
      <c r="H908" s="397"/>
      <c r="I908" s="377"/>
      <c r="J908" s="378"/>
      <c r="K908" s="379"/>
      <c r="L908" s="387"/>
      <c r="M908" s="380" t="str">
        <f t="array" ref="M908">IF(L908="","",(MAX(IF(AN$15:AN$144=B908,AO$15:AO$144))/60))</f>
        <v/>
      </c>
      <c r="N908" s="387"/>
      <c r="O908" s="387"/>
      <c r="P908" s="381" t="str">
        <f t="shared" ref="P908:P971" si="57">IFERROR((((K908/5/250/$F$8)+(N908*$F$9))/$S$4)*(M908/60),"")</f>
        <v/>
      </c>
      <c r="Q908" s="382" t="str">
        <f t="array" ref="Q908">IFERROR(INDEX($D$13:$D$1000,MATCH(0,COUNTIF($Q$13:Q907,$D$13:$D$1000&amp;"")+IF($D$13:$D$1000="",1,0),0)),"")</f>
        <v/>
      </c>
      <c r="R908" s="356" t="str">
        <f t="shared" si="54"/>
        <v/>
      </c>
      <c r="S908" s="383" t="str">
        <f t="shared" si="56"/>
        <v/>
      </c>
      <c r="T908" s="384" t="str">
        <f t="shared" si="55"/>
        <v/>
      </c>
      <c r="V908" s="385"/>
      <c r="W908" s="385"/>
      <c r="X908" s="386"/>
    </row>
    <row r="909" spans="2:24">
      <c r="B909" s="395"/>
      <c r="C909" s="371"/>
      <c r="D909" s="372" t="str">
        <f>IFERROR(INDEX('[12]Equipment List'!$B$2:$B$2038,MATCH(E909,'[12]Equipment List'!$A$2:$A$2038,0)),"")</f>
        <v/>
      </c>
      <c r="E909" s="388"/>
      <c r="F909" s="374"/>
      <c r="G909" s="375"/>
      <c r="H909" s="397"/>
      <c r="I909" s="377"/>
      <c r="J909" s="378"/>
      <c r="K909" s="379"/>
      <c r="L909" s="387"/>
      <c r="M909" s="380" t="str">
        <f t="array" ref="M909">IF(L909="","",(MAX(IF(AN$15:AN$144=B909,AO$15:AO$144))/60))</f>
        <v/>
      </c>
      <c r="N909" s="387"/>
      <c r="O909" s="387"/>
      <c r="P909" s="381" t="str">
        <f t="shared" si="57"/>
        <v/>
      </c>
      <c r="Q909" s="382" t="str">
        <f t="array" ref="Q909">IFERROR(INDEX($D$13:$D$1000,MATCH(0,COUNTIF($Q$13:Q908,$D$13:$D$1000&amp;"")+IF($D$13:$D$1000="",1,0),0)),"")</f>
        <v/>
      </c>
      <c r="R909" s="356" t="str">
        <f t="shared" ref="R909:R972" si="58">IF(Q909="","",COUNTIF($D$13:$D$1000,$Q909))</f>
        <v/>
      </c>
      <c r="S909" s="383" t="str">
        <f t="shared" si="56"/>
        <v/>
      </c>
      <c r="T909" s="384" t="str">
        <f t="shared" ref="T909:T972" si="59">IF($Q909="","",SUMIF($D$13:$D$1000,$Q909,N$13:N$1000))</f>
        <v/>
      </c>
      <c r="V909" s="385"/>
      <c r="W909" s="385"/>
      <c r="X909" s="386"/>
    </row>
    <row r="910" spans="2:24">
      <c r="B910" s="395"/>
      <c r="C910" s="371"/>
      <c r="D910" s="372" t="str">
        <f>IFERROR(INDEX('[12]Equipment List'!$B$2:$B$2038,MATCH(E910,'[12]Equipment List'!$A$2:$A$2038,0)),"")</f>
        <v/>
      </c>
      <c r="E910" s="388"/>
      <c r="F910" s="374"/>
      <c r="G910" s="375"/>
      <c r="H910" s="397"/>
      <c r="I910" s="377"/>
      <c r="J910" s="378"/>
      <c r="K910" s="379"/>
      <c r="L910" s="387"/>
      <c r="M910" s="380" t="str">
        <f t="array" ref="M910">IF(L910="","",(MAX(IF(AN$15:AN$144=B910,AO$15:AO$144))/60))</f>
        <v/>
      </c>
      <c r="N910" s="387"/>
      <c r="O910" s="387"/>
      <c r="P910" s="381" t="str">
        <f t="shared" si="57"/>
        <v/>
      </c>
      <c r="Q910" s="382" t="str">
        <f t="array" ref="Q910">IFERROR(INDEX($D$13:$D$1000,MATCH(0,COUNTIF($Q$13:Q909,$D$13:$D$1000&amp;"")+IF($D$13:$D$1000="",1,0),0)),"")</f>
        <v/>
      </c>
      <c r="R910" s="356" t="str">
        <f t="shared" si="58"/>
        <v/>
      </c>
      <c r="S910" s="383" t="str">
        <f t="shared" si="56"/>
        <v/>
      </c>
      <c r="T910" s="384" t="str">
        <f t="shared" si="59"/>
        <v/>
      </c>
      <c r="V910" s="385"/>
      <c r="W910" s="385"/>
      <c r="X910" s="386"/>
    </row>
    <row r="911" spans="2:24">
      <c r="B911" s="395"/>
      <c r="C911" s="371"/>
      <c r="D911" s="372" t="str">
        <f>IFERROR(INDEX('[12]Equipment List'!$B$2:$B$2038,MATCH(E911,'[12]Equipment List'!$A$2:$A$2038,0)),"")</f>
        <v/>
      </c>
      <c r="E911" s="388"/>
      <c r="F911" s="374"/>
      <c r="G911" s="375"/>
      <c r="H911" s="397"/>
      <c r="I911" s="377"/>
      <c r="J911" s="378"/>
      <c r="K911" s="379"/>
      <c r="L911" s="387"/>
      <c r="M911" s="380" t="str">
        <f t="array" ref="M911">IF(L911="","",(MAX(IF(AN$15:AN$144=B911,AO$15:AO$144))/60))</f>
        <v/>
      </c>
      <c r="N911" s="387"/>
      <c r="O911" s="387"/>
      <c r="P911" s="381" t="str">
        <f t="shared" si="57"/>
        <v/>
      </c>
      <c r="Q911" s="382" t="str">
        <f t="array" ref="Q911">IFERROR(INDEX($D$13:$D$1000,MATCH(0,COUNTIF($Q$13:Q910,$D$13:$D$1000&amp;"")+IF($D$13:$D$1000="",1,0),0)),"")</f>
        <v/>
      </c>
      <c r="R911" s="356" t="str">
        <f t="shared" si="58"/>
        <v/>
      </c>
      <c r="S911" s="383" t="str">
        <f t="shared" si="56"/>
        <v/>
      </c>
      <c r="T911" s="384" t="str">
        <f t="shared" si="59"/>
        <v/>
      </c>
      <c r="V911" s="385"/>
      <c r="W911" s="385"/>
      <c r="X911" s="386"/>
    </row>
    <row r="912" spans="2:24">
      <c r="B912" s="395"/>
      <c r="C912" s="371"/>
      <c r="D912" s="372" t="str">
        <f>IFERROR(INDEX('[12]Equipment List'!$B$2:$B$2038,MATCH(E912,'[12]Equipment List'!$A$2:$A$2038,0)),"")</f>
        <v/>
      </c>
      <c r="E912" s="388"/>
      <c r="F912" s="374"/>
      <c r="G912" s="375"/>
      <c r="H912" s="397"/>
      <c r="I912" s="377"/>
      <c r="J912" s="378"/>
      <c r="K912" s="379"/>
      <c r="L912" s="387"/>
      <c r="M912" s="380" t="str">
        <f t="array" ref="M912">IF(L912="","",(MAX(IF(AN$15:AN$144=B912,AO$15:AO$144))/60))</f>
        <v/>
      </c>
      <c r="N912" s="387"/>
      <c r="O912" s="387"/>
      <c r="P912" s="381" t="str">
        <f t="shared" si="57"/>
        <v/>
      </c>
      <c r="Q912" s="382" t="str">
        <f t="array" ref="Q912">IFERROR(INDEX($D$13:$D$1000,MATCH(0,COUNTIF($Q$13:Q911,$D$13:$D$1000&amp;"")+IF($D$13:$D$1000="",1,0),0)),"")</f>
        <v/>
      </c>
      <c r="R912" s="356" t="str">
        <f t="shared" si="58"/>
        <v/>
      </c>
      <c r="S912" s="383" t="str">
        <f t="shared" si="56"/>
        <v/>
      </c>
      <c r="T912" s="384" t="str">
        <f t="shared" si="59"/>
        <v/>
      </c>
      <c r="V912" s="385"/>
      <c r="W912" s="385"/>
      <c r="X912" s="386"/>
    </row>
    <row r="913" spans="2:24">
      <c r="B913" s="395"/>
      <c r="C913" s="371"/>
      <c r="D913" s="372" t="str">
        <f>IFERROR(INDEX('[12]Equipment List'!$B$2:$B$2038,MATCH(E913,'[12]Equipment List'!$A$2:$A$2038,0)),"")</f>
        <v/>
      </c>
      <c r="E913" s="388"/>
      <c r="F913" s="374"/>
      <c r="G913" s="375"/>
      <c r="H913" s="397"/>
      <c r="I913" s="377"/>
      <c r="J913" s="378"/>
      <c r="K913" s="379"/>
      <c r="L913" s="387"/>
      <c r="M913" s="380" t="str">
        <f t="array" ref="M913">IF(L913="","",(MAX(IF(AN$15:AN$144=B913,AO$15:AO$144))/60))</f>
        <v/>
      </c>
      <c r="N913" s="387"/>
      <c r="O913" s="387"/>
      <c r="P913" s="381" t="str">
        <f t="shared" si="57"/>
        <v/>
      </c>
      <c r="Q913" s="382" t="str">
        <f t="array" ref="Q913">IFERROR(INDEX($D$13:$D$1000,MATCH(0,COUNTIF($Q$13:Q912,$D$13:$D$1000&amp;"")+IF($D$13:$D$1000="",1,0),0)),"")</f>
        <v/>
      </c>
      <c r="R913" s="356" t="str">
        <f t="shared" si="58"/>
        <v/>
      </c>
      <c r="S913" s="383" t="str">
        <f t="shared" si="56"/>
        <v/>
      </c>
      <c r="T913" s="384" t="str">
        <f t="shared" si="59"/>
        <v/>
      </c>
      <c r="V913" s="385"/>
      <c r="W913" s="385"/>
      <c r="X913" s="386"/>
    </row>
    <row r="914" spans="2:24">
      <c r="B914" s="395"/>
      <c r="C914" s="371"/>
      <c r="D914" s="372" t="str">
        <f>IFERROR(INDEX('[12]Equipment List'!$B$2:$B$2038,MATCH(E914,'[12]Equipment List'!$A$2:$A$2038,0)),"")</f>
        <v/>
      </c>
      <c r="E914" s="388"/>
      <c r="F914" s="374"/>
      <c r="G914" s="375"/>
      <c r="H914" s="397"/>
      <c r="I914" s="377"/>
      <c r="J914" s="378"/>
      <c r="K914" s="379"/>
      <c r="L914" s="387"/>
      <c r="M914" s="380" t="str">
        <f t="array" ref="M914">IF(L914="","",(MAX(IF(AN$15:AN$144=B914,AO$15:AO$144))/60))</f>
        <v/>
      </c>
      <c r="N914" s="387"/>
      <c r="O914" s="387"/>
      <c r="P914" s="381" t="str">
        <f t="shared" si="57"/>
        <v/>
      </c>
      <c r="Q914" s="382" t="str">
        <f t="array" ref="Q914">IFERROR(INDEX($D$13:$D$1000,MATCH(0,COUNTIF($Q$13:Q913,$D$13:$D$1000&amp;"")+IF($D$13:$D$1000="",1,0),0)),"")</f>
        <v/>
      </c>
      <c r="R914" s="356" t="str">
        <f t="shared" si="58"/>
        <v/>
      </c>
      <c r="S914" s="383" t="str">
        <f t="shared" si="56"/>
        <v/>
      </c>
      <c r="T914" s="384" t="str">
        <f t="shared" si="59"/>
        <v/>
      </c>
      <c r="V914" s="385"/>
      <c r="W914" s="385"/>
      <c r="X914" s="386"/>
    </row>
    <row r="915" spans="2:24">
      <c r="B915" s="395"/>
      <c r="C915" s="371"/>
      <c r="D915" s="372" t="str">
        <f>IFERROR(INDEX('[12]Equipment List'!$B$2:$B$2038,MATCH(E915,'[12]Equipment List'!$A$2:$A$2038,0)),"")</f>
        <v/>
      </c>
      <c r="E915" s="388"/>
      <c r="F915" s="374"/>
      <c r="G915" s="375"/>
      <c r="H915" s="397"/>
      <c r="I915" s="377"/>
      <c r="J915" s="378"/>
      <c r="K915" s="379"/>
      <c r="L915" s="387"/>
      <c r="M915" s="380" t="str">
        <f t="array" ref="M915">IF(L915="","",(MAX(IF(AN$15:AN$144=B915,AO$15:AO$144))/60))</f>
        <v/>
      </c>
      <c r="N915" s="387"/>
      <c r="O915" s="387"/>
      <c r="P915" s="381" t="str">
        <f t="shared" si="57"/>
        <v/>
      </c>
      <c r="Q915" s="382" t="str">
        <f t="array" ref="Q915">IFERROR(INDEX($D$13:$D$1000,MATCH(0,COUNTIF($Q$13:Q914,$D$13:$D$1000&amp;"")+IF($D$13:$D$1000="",1,0),0)),"")</f>
        <v/>
      </c>
      <c r="R915" s="356" t="str">
        <f t="shared" si="58"/>
        <v/>
      </c>
      <c r="S915" s="383" t="str">
        <f t="shared" si="56"/>
        <v/>
      </c>
      <c r="T915" s="384" t="str">
        <f t="shared" si="59"/>
        <v/>
      </c>
      <c r="V915" s="385"/>
      <c r="W915" s="385"/>
      <c r="X915" s="386"/>
    </row>
    <row r="916" spans="2:24">
      <c r="B916" s="395"/>
      <c r="C916" s="371"/>
      <c r="D916" s="372" t="str">
        <f>IFERROR(INDEX('[12]Equipment List'!$B$2:$B$2038,MATCH(E916,'[12]Equipment List'!$A$2:$A$2038,0)),"")</f>
        <v/>
      </c>
      <c r="E916" s="388"/>
      <c r="F916" s="374"/>
      <c r="G916" s="375"/>
      <c r="H916" s="397"/>
      <c r="I916" s="377"/>
      <c r="J916" s="378"/>
      <c r="K916" s="379"/>
      <c r="L916" s="387"/>
      <c r="M916" s="380" t="str">
        <f t="array" ref="M916">IF(L916="","",(MAX(IF(AN$15:AN$144=B916,AO$15:AO$144))/60))</f>
        <v/>
      </c>
      <c r="N916" s="387"/>
      <c r="O916" s="387"/>
      <c r="P916" s="381" t="str">
        <f t="shared" si="57"/>
        <v/>
      </c>
      <c r="Q916" s="382" t="str">
        <f t="array" ref="Q916">IFERROR(INDEX($D$13:$D$1000,MATCH(0,COUNTIF($Q$13:Q915,$D$13:$D$1000&amp;"")+IF($D$13:$D$1000="",1,0),0)),"")</f>
        <v/>
      </c>
      <c r="R916" s="356" t="str">
        <f t="shared" si="58"/>
        <v/>
      </c>
      <c r="S916" s="383" t="str">
        <f t="shared" si="56"/>
        <v/>
      </c>
      <c r="T916" s="384" t="str">
        <f t="shared" si="59"/>
        <v/>
      </c>
      <c r="V916" s="385"/>
      <c r="W916" s="385"/>
      <c r="X916" s="386"/>
    </row>
    <row r="917" spans="2:24">
      <c r="B917" s="395"/>
      <c r="C917" s="371"/>
      <c r="D917" s="372" t="str">
        <f>IFERROR(INDEX('[12]Equipment List'!$B$2:$B$2038,MATCH(E917,'[12]Equipment List'!$A$2:$A$2038,0)),"")</f>
        <v/>
      </c>
      <c r="E917" s="388"/>
      <c r="F917" s="374"/>
      <c r="G917" s="375"/>
      <c r="H917" s="397"/>
      <c r="I917" s="377"/>
      <c r="J917" s="378"/>
      <c r="K917" s="379"/>
      <c r="L917" s="387"/>
      <c r="M917" s="380" t="str">
        <f t="array" ref="M917">IF(L917="","",(MAX(IF(AN$15:AN$144=B917,AO$15:AO$144))/60))</f>
        <v/>
      </c>
      <c r="N917" s="387"/>
      <c r="O917" s="387"/>
      <c r="P917" s="381" t="str">
        <f t="shared" si="57"/>
        <v/>
      </c>
      <c r="Q917" s="382" t="str">
        <f t="array" ref="Q917">IFERROR(INDEX($D$13:$D$1000,MATCH(0,COUNTIF($Q$13:Q916,$D$13:$D$1000&amp;"")+IF($D$13:$D$1000="",1,0),0)),"")</f>
        <v/>
      </c>
      <c r="R917" s="356" t="str">
        <f t="shared" si="58"/>
        <v/>
      </c>
      <c r="S917" s="383" t="str">
        <f t="shared" si="56"/>
        <v/>
      </c>
      <c r="T917" s="384" t="str">
        <f t="shared" si="59"/>
        <v/>
      </c>
      <c r="V917" s="385"/>
      <c r="W917" s="385"/>
      <c r="X917" s="386"/>
    </row>
    <row r="918" spans="2:24">
      <c r="B918" s="395"/>
      <c r="C918" s="371"/>
      <c r="D918" s="372" t="str">
        <f>IFERROR(INDEX('[12]Equipment List'!$B$2:$B$2038,MATCH(E918,'[12]Equipment List'!$A$2:$A$2038,0)),"")</f>
        <v/>
      </c>
      <c r="E918" s="388"/>
      <c r="F918" s="374"/>
      <c r="G918" s="375"/>
      <c r="H918" s="397"/>
      <c r="I918" s="377"/>
      <c r="J918" s="378"/>
      <c r="K918" s="379"/>
      <c r="L918" s="387"/>
      <c r="M918" s="380" t="str">
        <f t="array" ref="M918">IF(L918="","",(MAX(IF(AN$15:AN$144=B918,AO$15:AO$144))/60))</f>
        <v/>
      </c>
      <c r="N918" s="387"/>
      <c r="O918" s="387"/>
      <c r="P918" s="381" t="str">
        <f t="shared" si="57"/>
        <v/>
      </c>
      <c r="Q918" s="382" t="str">
        <f t="array" ref="Q918">IFERROR(INDEX($D$13:$D$1000,MATCH(0,COUNTIF($Q$13:Q917,$D$13:$D$1000&amp;"")+IF($D$13:$D$1000="",1,0),0)),"")</f>
        <v/>
      </c>
      <c r="R918" s="356" t="str">
        <f t="shared" si="58"/>
        <v/>
      </c>
      <c r="S918" s="383" t="str">
        <f t="shared" si="56"/>
        <v/>
      </c>
      <c r="T918" s="384" t="str">
        <f t="shared" si="59"/>
        <v/>
      </c>
      <c r="V918" s="385"/>
      <c r="W918" s="385"/>
      <c r="X918" s="386"/>
    </row>
    <row r="919" spans="2:24">
      <c r="B919" s="395"/>
      <c r="C919" s="371"/>
      <c r="D919" s="372" t="str">
        <f>IFERROR(INDEX('[12]Equipment List'!$B$2:$B$2038,MATCH(E919,'[12]Equipment List'!$A$2:$A$2038,0)),"")</f>
        <v/>
      </c>
      <c r="E919" s="388"/>
      <c r="F919" s="374"/>
      <c r="G919" s="375"/>
      <c r="H919" s="397"/>
      <c r="I919" s="377"/>
      <c r="J919" s="378"/>
      <c r="K919" s="379"/>
      <c r="L919" s="387"/>
      <c r="M919" s="380" t="str">
        <f t="array" ref="M919">IF(L919="","",(MAX(IF(AN$15:AN$144=B919,AO$15:AO$144))/60))</f>
        <v/>
      </c>
      <c r="N919" s="387"/>
      <c r="O919" s="387"/>
      <c r="P919" s="381" t="str">
        <f t="shared" si="57"/>
        <v/>
      </c>
      <c r="Q919" s="382" t="str">
        <f t="array" ref="Q919">IFERROR(INDEX($D$13:$D$1000,MATCH(0,COUNTIF($Q$13:Q918,$D$13:$D$1000&amp;"")+IF($D$13:$D$1000="",1,0),0)),"")</f>
        <v/>
      </c>
      <c r="R919" s="356" t="str">
        <f t="shared" si="58"/>
        <v/>
      </c>
      <c r="S919" s="383" t="str">
        <f t="shared" si="56"/>
        <v/>
      </c>
      <c r="T919" s="384" t="str">
        <f t="shared" si="59"/>
        <v/>
      </c>
      <c r="V919" s="385"/>
      <c r="W919" s="385"/>
      <c r="X919" s="386"/>
    </row>
    <row r="920" spans="2:24">
      <c r="B920" s="395"/>
      <c r="C920" s="371"/>
      <c r="D920" s="372" t="str">
        <f>IFERROR(INDEX('[12]Equipment List'!$B$2:$B$2038,MATCH(E920,'[12]Equipment List'!$A$2:$A$2038,0)),"")</f>
        <v/>
      </c>
      <c r="E920" s="388"/>
      <c r="F920" s="374"/>
      <c r="G920" s="375"/>
      <c r="H920" s="397"/>
      <c r="I920" s="377"/>
      <c r="J920" s="378"/>
      <c r="K920" s="379"/>
      <c r="L920" s="387"/>
      <c r="M920" s="380" t="str">
        <f t="array" ref="M920">IF(L920="","",(MAX(IF(AN$15:AN$144=B920,AO$15:AO$144))/60))</f>
        <v/>
      </c>
      <c r="N920" s="387"/>
      <c r="O920" s="387"/>
      <c r="P920" s="381" t="str">
        <f t="shared" si="57"/>
        <v/>
      </c>
      <c r="Q920" s="382" t="str">
        <f t="array" ref="Q920">IFERROR(INDEX($D$13:$D$1000,MATCH(0,COUNTIF($Q$13:Q919,$D$13:$D$1000&amp;"")+IF($D$13:$D$1000="",1,0),0)),"")</f>
        <v/>
      </c>
      <c r="R920" s="356" t="str">
        <f t="shared" si="58"/>
        <v/>
      </c>
      <c r="S920" s="383" t="str">
        <f t="shared" si="56"/>
        <v/>
      </c>
      <c r="T920" s="384" t="str">
        <f t="shared" si="59"/>
        <v/>
      </c>
      <c r="V920" s="385"/>
      <c r="W920" s="385"/>
      <c r="X920" s="386"/>
    </row>
    <row r="921" spans="2:24">
      <c r="B921" s="395"/>
      <c r="C921" s="371"/>
      <c r="D921" s="372" t="str">
        <f>IFERROR(INDEX('[12]Equipment List'!$B$2:$B$2038,MATCH(E921,'[12]Equipment List'!$A$2:$A$2038,0)),"")</f>
        <v/>
      </c>
      <c r="E921" s="388"/>
      <c r="F921" s="374"/>
      <c r="G921" s="375"/>
      <c r="H921" s="397"/>
      <c r="I921" s="377"/>
      <c r="J921" s="378"/>
      <c r="K921" s="379"/>
      <c r="L921" s="387"/>
      <c r="M921" s="380" t="str">
        <f t="array" ref="M921">IF(L921="","",(MAX(IF(AN$15:AN$144=B921,AO$15:AO$144))/60))</f>
        <v/>
      </c>
      <c r="N921" s="387"/>
      <c r="O921" s="387"/>
      <c r="P921" s="381" t="str">
        <f t="shared" si="57"/>
        <v/>
      </c>
      <c r="Q921" s="382" t="str">
        <f t="array" ref="Q921">IFERROR(INDEX($D$13:$D$1000,MATCH(0,COUNTIF($Q$13:Q920,$D$13:$D$1000&amp;"")+IF($D$13:$D$1000="",1,0),0)),"")</f>
        <v/>
      </c>
      <c r="R921" s="356" t="str">
        <f t="shared" si="58"/>
        <v/>
      </c>
      <c r="S921" s="383" t="str">
        <f t="shared" si="56"/>
        <v/>
      </c>
      <c r="T921" s="384" t="str">
        <f t="shared" si="59"/>
        <v/>
      </c>
      <c r="V921" s="385"/>
      <c r="W921" s="385"/>
      <c r="X921" s="386"/>
    </row>
    <row r="922" spans="2:24">
      <c r="B922" s="395"/>
      <c r="C922" s="371"/>
      <c r="D922" s="372" t="str">
        <f>IFERROR(INDEX('[12]Equipment List'!$B$2:$B$2038,MATCH(E922,'[12]Equipment List'!$A$2:$A$2038,0)),"")</f>
        <v/>
      </c>
      <c r="E922" s="388"/>
      <c r="F922" s="374"/>
      <c r="G922" s="375"/>
      <c r="H922" s="397"/>
      <c r="I922" s="377"/>
      <c r="J922" s="378"/>
      <c r="K922" s="379"/>
      <c r="L922" s="387"/>
      <c r="M922" s="380" t="str">
        <f t="array" ref="M922">IF(L922="","",(MAX(IF(AN$15:AN$144=B922,AO$15:AO$144))/60))</f>
        <v/>
      </c>
      <c r="N922" s="387"/>
      <c r="O922" s="387"/>
      <c r="P922" s="381" t="str">
        <f t="shared" si="57"/>
        <v/>
      </c>
      <c r="Q922" s="382" t="str">
        <f t="array" ref="Q922">IFERROR(INDEX($D$13:$D$1000,MATCH(0,COUNTIF($Q$13:Q921,$D$13:$D$1000&amp;"")+IF($D$13:$D$1000="",1,0),0)),"")</f>
        <v/>
      </c>
      <c r="R922" s="356" t="str">
        <f t="shared" si="58"/>
        <v/>
      </c>
      <c r="S922" s="383" t="str">
        <f t="shared" si="56"/>
        <v/>
      </c>
      <c r="T922" s="384" t="str">
        <f t="shared" si="59"/>
        <v/>
      </c>
      <c r="V922" s="385"/>
      <c r="W922" s="385"/>
      <c r="X922" s="386"/>
    </row>
    <row r="923" spans="2:24">
      <c r="B923" s="395"/>
      <c r="C923" s="371"/>
      <c r="D923" s="372" t="str">
        <f>IFERROR(INDEX('[12]Equipment List'!$B$2:$B$2038,MATCH(E923,'[12]Equipment List'!$A$2:$A$2038,0)),"")</f>
        <v/>
      </c>
      <c r="E923" s="388"/>
      <c r="F923" s="374"/>
      <c r="G923" s="375"/>
      <c r="H923" s="397"/>
      <c r="I923" s="377"/>
      <c r="J923" s="378"/>
      <c r="K923" s="379"/>
      <c r="L923" s="387"/>
      <c r="M923" s="380" t="str">
        <f t="array" ref="M923">IF(L923="","",(MAX(IF(AN$15:AN$144=B923,AO$15:AO$144))/60))</f>
        <v/>
      </c>
      <c r="N923" s="387"/>
      <c r="O923" s="387"/>
      <c r="P923" s="381" t="str">
        <f t="shared" si="57"/>
        <v/>
      </c>
      <c r="Q923" s="382" t="str">
        <f t="array" ref="Q923">IFERROR(INDEX($D$13:$D$1000,MATCH(0,COUNTIF($Q$13:Q922,$D$13:$D$1000&amp;"")+IF($D$13:$D$1000="",1,0),0)),"")</f>
        <v/>
      </c>
      <c r="R923" s="356" t="str">
        <f t="shared" si="58"/>
        <v/>
      </c>
      <c r="S923" s="383" t="str">
        <f t="shared" si="56"/>
        <v/>
      </c>
      <c r="T923" s="384" t="str">
        <f t="shared" si="59"/>
        <v/>
      </c>
      <c r="V923" s="385"/>
      <c r="W923" s="385"/>
      <c r="X923" s="386"/>
    </row>
    <row r="924" spans="2:24">
      <c r="B924" s="395"/>
      <c r="C924" s="371"/>
      <c r="D924" s="372" t="str">
        <f>IFERROR(INDEX('[12]Equipment List'!$B$2:$B$2038,MATCH(E924,'[12]Equipment List'!$A$2:$A$2038,0)),"")</f>
        <v/>
      </c>
      <c r="E924" s="388"/>
      <c r="F924" s="374"/>
      <c r="G924" s="375"/>
      <c r="H924" s="397"/>
      <c r="I924" s="377"/>
      <c r="J924" s="378"/>
      <c r="K924" s="379"/>
      <c r="L924" s="387"/>
      <c r="M924" s="380" t="str">
        <f t="array" ref="M924">IF(L924="","",(MAX(IF(AN$15:AN$144=B924,AO$15:AO$144))/60))</f>
        <v/>
      </c>
      <c r="N924" s="387"/>
      <c r="O924" s="387"/>
      <c r="P924" s="381" t="str">
        <f t="shared" si="57"/>
        <v/>
      </c>
      <c r="Q924" s="382" t="str">
        <f t="array" ref="Q924">IFERROR(INDEX($D$13:$D$1000,MATCH(0,COUNTIF($Q$13:Q923,$D$13:$D$1000&amp;"")+IF($D$13:$D$1000="",1,0),0)),"")</f>
        <v/>
      </c>
      <c r="R924" s="356" t="str">
        <f t="shared" si="58"/>
        <v/>
      </c>
      <c r="S924" s="383" t="str">
        <f t="shared" si="56"/>
        <v/>
      </c>
      <c r="T924" s="384" t="str">
        <f t="shared" si="59"/>
        <v/>
      </c>
      <c r="V924" s="385"/>
      <c r="W924" s="385"/>
      <c r="X924" s="386"/>
    </row>
    <row r="925" spans="2:24">
      <c r="B925" s="395"/>
      <c r="C925" s="371"/>
      <c r="D925" s="372" t="str">
        <f>IFERROR(INDEX('[12]Equipment List'!$B$2:$B$2038,MATCH(E925,'[12]Equipment List'!$A$2:$A$2038,0)),"")</f>
        <v/>
      </c>
      <c r="E925" s="388"/>
      <c r="F925" s="374"/>
      <c r="G925" s="375"/>
      <c r="H925" s="397"/>
      <c r="I925" s="377"/>
      <c r="J925" s="378"/>
      <c r="K925" s="379"/>
      <c r="L925" s="387"/>
      <c r="M925" s="380" t="str">
        <f t="array" ref="M925">IF(L925="","",(MAX(IF(AN$15:AN$144=B925,AO$15:AO$144))/60))</f>
        <v/>
      </c>
      <c r="N925" s="387"/>
      <c r="O925" s="387"/>
      <c r="P925" s="381" t="str">
        <f t="shared" si="57"/>
        <v/>
      </c>
      <c r="Q925" s="382" t="str">
        <f t="array" ref="Q925">IFERROR(INDEX($D$13:$D$1000,MATCH(0,COUNTIF($Q$13:Q924,$D$13:$D$1000&amp;"")+IF($D$13:$D$1000="",1,0),0)),"")</f>
        <v/>
      </c>
      <c r="R925" s="356" t="str">
        <f t="shared" si="58"/>
        <v/>
      </c>
      <c r="S925" s="383" t="str">
        <f t="shared" si="56"/>
        <v/>
      </c>
      <c r="T925" s="384" t="str">
        <f t="shared" si="59"/>
        <v/>
      </c>
      <c r="V925" s="385"/>
      <c r="W925" s="385"/>
      <c r="X925" s="386"/>
    </row>
    <row r="926" spans="2:24">
      <c r="B926" s="395"/>
      <c r="C926" s="371"/>
      <c r="D926" s="372" t="str">
        <f>IFERROR(INDEX('[12]Equipment List'!$B$2:$B$2038,MATCH(E926,'[12]Equipment List'!$A$2:$A$2038,0)),"")</f>
        <v/>
      </c>
      <c r="E926" s="388"/>
      <c r="F926" s="374"/>
      <c r="G926" s="375"/>
      <c r="H926" s="397"/>
      <c r="I926" s="377"/>
      <c r="J926" s="378"/>
      <c r="K926" s="379"/>
      <c r="L926" s="387"/>
      <c r="M926" s="380" t="str">
        <f t="array" ref="M926">IF(L926="","",(MAX(IF(AN$15:AN$144=B926,AO$15:AO$144))/60))</f>
        <v/>
      </c>
      <c r="N926" s="387"/>
      <c r="O926" s="387"/>
      <c r="P926" s="381" t="str">
        <f t="shared" si="57"/>
        <v/>
      </c>
      <c r="Q926" s="382" t="str">
        <f t="array" ref="Q926">IFERROR(INDEX($D$13:$D$1000,MATCH(0,COUNTIF($Q$13:Q925,$D$13:$D$1000&amp;"")+IF($D$13:$D$1000="",1,0),0)),"")</f>
        <v/>
      </c>
      <c r="R926" s="356" t="str">
        <f t="shared" si="58"/>
        <v/>
      </c>
      <c r="S926" s="383" t="str">
        <f t="shared" si="56"/>
        <v/>
      </c>
      <c r="T926" s="384" t="str">
        <f t="shared" si="59"/>
        <v/>
      </c>
      <c r="V926" s="385"/>
      <c r="W926" s="385"/>
      <c r="X926" s="386"/>
    </row>
    <row r="927" spans="2:24">
      <c r="B927" s="395"/>
      <c r="C927" s="371"/>
      <c r="D927" s="372" t="str">
        <f>IFERROR(INDEX('[12]Equipment List'!$B$2:$B$2038,MATCH(E927,'[12]Equipment List'!$A$2:$A$2038,0)),"")</f>
        <v/>
      </c>
      <c r="E927" s="388"/>
      <c r="F927" s="374"/>
      <c r="G927" s="375"/>
      <c r="H927" s="397"/>
      <c r="I927" s="377"/>
      <c r="J927" s="378"/>
      <c r="K927" s="379"/>
      <c r="L927" s="387"/>
      <c r="M927" s="380" t="str">
        <f t="array" ref="M927">IF(L927="","",(MAX(IF(AN$15:AN$144=B927,AO$15:AO$144))/60))</f>
        <v/>
      </c>
      <c r="N927" s="387"/>
      <c r="O927" s="387"/>
      <c r="P927" s="381" t="str">
        <f t="shared" si="57"/>
        <v/>
      </c>
      <c r="Q927" s="382" t="str">
        <f t="array" ref="Q927">IFERROR(INDEX($D$13:$D$1000,MATCH(0,COUNTIF($Q$13:Q926,$D$13:$D$1000&amp;"")+IF($D$13:$D$1000="",1,0),0)),"")</f>
        <v/>
      </c>
      <c r="R927" s="356" t="str">
        <f t="shared" si="58"/>
        <v/>
      </c>
      <c r="S927" s="383" t="str">
        <f t="shared" si="56"/>
        <v/>
      </c>
      <c r="T927" s="384" t="str">
        <f t="shared" si="59"/>
        <v/>
      </c>
      <c r="V927" s="385"/>
      <c r="W927" s="385"/>
      <c r="X927" s="386"/>
    </row>
    <row r="928" spans="2:24">
      <c r="B928" s="395"/>
      <c r="C928" s="371"/>
      <c r="D928" s="372" t="str">
        <f>IFERROR(INDEX('[12]Equipment List'!$B$2:$B$2038,MATCH(E928,'[12]Equipment List'!$A$2:$A$2038,0)),"")</f>
        <v/>
      </c>
      <c r="E928" s="388"/>
      <c r="F928" s="374"/>
      <c r="G928" s="375"/>
      <c r="H928" s="397"/>
      <c r="I928" s="377"/>
      <c r="J928" s="378"/>
      <c r="K928" s="379"/>
      <c r="L928" s="387"/>
      <c r="M928" s="380" t="str">
        <f t="array" ref="M928">IF(L928="","",(MAX(IF(AN$15:AN$144=B928,AO$15:AO$144))/60))</f>
        <v/>
      </c>
      <c r="N928" s="387"/>
      <c r="O928" s="387"/>
      <c r="P928" s="381" t="str">
        <f t="shared" si="57"/>
        <v/>
      </c>
      <c r="Q928" s="382" t="str">
        <f t="array" ref="Q928">IFERROR(INDEX($D$13:$D$1000,MATCH(0,COUNTIF($Q$13:Q927,$D$13:$D$1000&amp;"")+IF($D$13:$D$1000="",1,0),0)),"")</f>
        <v/>
      </c>
      <c r="R928" s="356" t="str">
        <f t="shared" si="58"/>
        <v/>
      </c>
      <c r="S928" s="383" t="str">
        <f t="shared" si="56"/>
        <v/>
      </c>
      <c r="T928" s="384" t="str">
        <f t="shared" si="59"/>
        <v/>
      </c>
      <c r="V928" s="385"/>
      <c r="W928" s="385"/>
      <c r="X928" s="386"/>
    </row>
    <row r="929" spans="2:24">
      <c r="B929" s="395"/>
      <c r="C929" s="371"/>
      <c r="D929" s="372" t="str">
        <f>IFERROR(INDEX('[12]Equipment List'!$B$2:$B$2038,MATCH(E929,'[12]Equipment List'!$A$2:$A$2038,0)),"")</f>
        <v/>
      </c>
      <c r="E929" s="388"/>
      <c r="F929" s="374"/>
      <c r="G929" s="375"/>
      <c r="H929" s="397"/>
      <c r="I929" s="377"/>
      <c r="J929" s="378"/>
      <c r="K929" s="379"/>
      <c r="L929" s="387"/>
      <c r="M929" s="380" t="str">
        <f t="array" ref="M929">IF(L929="","",(MAX(IF(AN$15:AN$144=B929,AO$15:AO$144))/60))</f>
        <v/>
      </c>
      <c r="N929" s="387"/>
      <c r="O929" s="387"/>
      <c r="P929" s="381" t="str">
        <f t="shared" si="57"/>
        <v/>
      </c>
      <c r="Q929" s="382" t="str">
        <f t="array" ref="Q929">IFERROR(INDEX($D$13:$D$1000,MATCH(0,COUNTIF($Q$13:Q928,$D$13:$D$1000&amp;"")+IF($D$13:$D$1000="",1,0),0)),"")</f>
        <v/>
      </c>
      <c r="R929" s="356" t="str">
        <f t="shared" si="58"/>
        <v/>
      </c>
      <c r="S929" s="383" t="str">
        <f t="shared" si="56"/>
        <v/>
      </c>
      <c r="T929" s="384" t="str">
        <f t="shared" si="59"/>
        <v/>
      </c>
      <c r="V929" s="385"/>
      <c r="W929" s="385"/>
      <c r="X929" s="386"/>
    </row>
    <row r="930" spans="2:24">
      <c r="B930" s="395"/>
      <c r="C930" s="371"/>
      <c r="D930" s="372" t="str">
        <f>IFERROR(INDEX('[12]Equipment List'!$B$2:$B$2038,MATCH(E930,'[12]Equipment List'!$A$2:$A$2038,0)),"")</f>
        <v/>
      </c>
      <c r="E930" s="388"/>
      <c r="F930" s="374"/>
      <c r="G930" s="375"/>
      <c r="H930" s="397"/>
      <c r="I930" s="377"/>
      <c r="J930" s="378"/>
      <c r="K930" s="379"/>
      <c r="L930" s="387"/>
      <c r="M930" s="380" t="str">
        <f t="array" ref="M930">IF(L930="","",(MAX(IF(AN$15:AN$144=B930,AO$15:AO$144))/60))</f>
        <v/>
      </c>
      <c r="N930" s="387"/>
      <c r="O930" s="387"/>
      <c r="P930" s="381" t="str">
        <f t="shared" si="57"/>
        <v/>
      </c>
      <c r="Q930" s="382" t="str">
        <f t="array" ref="Q930">IFERROR(INDEX($D$13:$D$1000,MATCH(0,COUNTIF($Q$13:Q929,$D$13:$D$1000&amp;"")+IF($D$13:$D$1000="",1,0),0)),"")</f>
        <v/>
      </c>
      <c r="R930" s="356" t="str">
        <f t="shared" si="58"/>
        <v/>
      </c>
      <c r="S930" s="383" t="str">
        <f t="shared" si="56"/>
        <v/>
      </c>
      <c r="T930" s="384" t="str">
        <f t="shared" si="59"/>
        <v/>
      </c>
      <c r="V930" s="385"/>
      <c r="W930" s="385"/>
      <c r="X930" s="386"/>
    </row>
    <row r="931" spans="2:24">
      <c r="B931" s="395"/>
      <c r="C931" s="371"/>
      <c r="D931" s="372" t="str">
        <f>IFERROR(INDEX('[12]Equipment List'!$B$2:$B$2038,MATCH(E931,'[12]Equipment List'!$A$2:$A$2038,0)),"")</f>
        <v/>
      </c>
      <c r="E931" s="388"/>
      <c r="F931" s="374"/>
      <c r="G931" s="375"/>
      <c r="H931" s="397"/>
      <c r="I931" s="377"/>
      <c r="J931" s="378"/>
      <c r="K931" s="379"/>
      <c r="L931" s="387"/>
      <c r="M931" s="380" t="str">
        <f t="array" ref="M931">IF(L931="","",(MAX(IF(AN$15:AN$144=B931,AO$15:AO$144))/60))</f>
        <v/>
      </c>
      <c r="N931" s="387"/>
      <c r="O931" s="387"/>
      <c r="P931" s="381" t="str">
        <f t="shared" si="57"/>
        <v/>
      </c>
      <c r="Q931" s="382" t="str">
        <f t="array" ref="Q931">IFERROR(INDEX($D$13:$D$1000,MATCH(0,COUNTIF($Q$13:Q930,$D$13:$D$1000&amp;"")+IF($D$13:$D$1000="",1,0),0)),"")</f>
        <v/>
      </c>
      <c r="R931" s="356" t="str">
        <f t="shared" si="58"/>
        <v/>
      </c>
      <c r="S931" s="383" t="str">
        <f t="shared" si="56"/>
        <v/>
      </c>
      <c r="T931" s="384" t="str">
        <f t="shared" si="59"/>
        <v/>
      </c>
      <c r="V931" s="385"/>
      <c r="W931" s="385"/>
      <c r="X931" s="386"/>
    </row>
    <row r="932" spans="2:24">
      <c r="B932" s="395"/>
      <c r="C932" s="371"/>
      <c r="D932" s="372" t="str">
        <f>IFERROR(INDEX('[12]Equipment List'!$B$2:$B$2038,MATCH(E932,'[12]Equipment List'!$A$2:$A$2038,0)),"")</f>
        <v/>
      </c>
      <c r="E932" s="388"/>
      <c r="F932" s="374"/>
      <c r="G932" s="375"/>
      <c r="H932" s="397"/>
      <c r="I932" s="377"/>
      <c r="J932" s="378"/>
      <c r="K932" s="379"/>
      <c r="L932" s="387"/>
      <c r="M932" s="380" t="str">
        <f t="array" ref="M932">IF(L932="","",(MAX(IF(AN$15:AN$144=B932,AO$15:AO$144))/60))</f>
        <v/>
      </c>
      <c r="N932" s="387"/>
      <c r="O932" s="387"/>
      <c r="P932" s="381" t="str">
        <f t="shared" si="57"/>
        <v/>
      </c>
      <c r="Q932" s="382" t="str">
        <f t="array" ref="Q932">IFERROR(INDEX($D$13:$D$1000,MATCH(0,COUNTIF($Q$13:Q931,$D$13:$D$1000&amp;"")+IF($D$13:$D$1000="",1,0),0)),"")</f>
        <v/>
      </c>
      <c r="R932" s="356" t="str">
        <f t="shared" si="58"/>
        <v/>
      </c>
      <c r="S932" s="383" t="str">
        <f t="shared" si="56"/>
        <v/>
      </c>
      <c r="T932" s="384" t="str">
        <f t="shared" si="59"/>
        <v/>
      </c>
      <c r="V932" s="385"/>
      <c r="W932" s="385"/>
      <c r="X932" s="386"/>
    </row>
    <row r="933" spans="2:24">
      <c r="B933" s="395"/>
      <c r="C933" s="371"/>
      <c r="D933" s="372" t="str">
        <f>IFERROR(INDEX('[12]Equipment List'!$B$2:$B$2038,MATCH(E933,'[12]Equipment List'!$A$2:$A$2038,0)),"")</f>
        <v/>
      </c>
      <c r="E933" s="388"/>
      <c r="F933" s="374"/>
      <c r="G933" s="375"/>
      <c r="H933" s="397"/>
      <c r="I933" s="377"/>
      <c r="J933" s="378"/>
      <c r="K933" s="379"/>
      <c r="L933" s="387"/>
      <c r="M933" s="380" t="str">
        <f t="array" ref="M933">IF(L933="","",(MAX(IF(AN$15:AN$144=B933,AO$15:AO$144))/60))</f>
        <v/>
      </c>
      <c r="N933" s="387"/>
      <c r="O933" s="387"/>
      <c r="P933" s="381" t="str">
        <f t="shared" si="57"/>
        <v/>
      </c>
      <c r="Q933" s="382" t="str">
        <f t="array" ref="Q933">IFERROR(INDEX($D$13:$D$1000,MATCH(0,COUNTIF($Q$13:Q932,$D$13:$D$1000&amp;"")+IF($D$13:$D$1000="",1,0),0)),"")</f>
        <v/>
      </c>
      <c r="R933" s="356" t="str">
        <f t="shared" si="58"/>
        <v/>
      </c>
      <c r="S933" s="383" t="str">
        <f t="shared" si="56"/>
        <v/>
      </c>
      <c r="T933" s="384" t="str">
        <f t="shared" si="59"/>
        <v/>
      </c>
      <c r="V933" s="385"/>
      <c r="W933" s="385"/>
      <c r="X933" s="386"/>
    </row>
    <row r="934" spans="2:24">
      <c r="B934" s="395"/>
      <c r="C934" s="371"/>
      <c r="D934" s="372" t="str">
        <f>IFERROR(INDEX('[12]Equipment List'!$B$2:$B$2038,MATCH(E934,'[12]Equipment List'!$A$2:$A$2038,0)),"")</f>
        <v/>
      </c>
      <c r="E934" s="388"/>
      <c r="F934" s="374"/>
      <c r="G934" s="375"/>
      <c r="H934" s="397"/>
      <c r="I934" s="377"/>
      <c r="J934" s="378"/>
      <c r="K934" s="379"/>
      <c r="L934" s="387"/>
      <c r="M934" s="380" t="str">
        <f t="array" ref="M934">IF(L934="","",(MAX(IF(AN$15:AN$144=B934,AO$15:AO$144))/60))</f>
        <v/>
      </c>
      <c r="N934" s="387"/>
      <c r="O934" s="387"/>
      <c r="P934" s="381" t="str">
        <f t="shared" si="57"/>
        <v/>
      </c>
      <c r="Q934" s="382" t="str">
        <f t="array" ref="Q934">IFERROR(INDEX($D$13:$D$1000,MATCH(0,COUNTIF($Q$13:Q933,$D$13:$D$1000&amp;"")+IF($D$13:$D$1000="",1,0),0)),"")</f>
        <v/>
      </c>
      <c r="R934" s="356" t="str">
        <f t="shared" si="58"/>
        <v/>
      </c>
      <c r="S934" s="383" t="str">
        <f t="shared" si="56"/>
        <v/>
      </c>
      <c r="T934" s="384" t="str">
        <f t="shared" si="59"/>
        <v/>
      </c>
      <c r="V934" s="385"/>
      <c r="W934" s="385"/>
      <c r="X934" s="386"/>
    </row>
    <row r="935" spans="2:24">
      <c r="B935" s="395"/>
      <c r="C935" s="371"/>
      <c r="D935" s="372" t="str">
        <f>IFERROR(INDEX('[12]Equipment List'!$B$2:$B$2038,MATCH(E935,'[12]Equipment List'!$A$2:$A$2038,0)),"")</f>
        <v/>
      </c>
      <c r="E935" s="388"/>
      <c r="F935" s="374"/>
      <c r="G935" s="375"/>
      <c r="H935" s="397"/>
      <c r="I935" s="377"/>
      <c r="J935" s="378"/>
      <c r="K935" s="379"/>
      <c r="L935" s="387"/>
      <c r="M935" s="380" t="str">
        <f t="array" ref="M935">IF(L935="","",(MAX(IF(AN$15:AN$144=B935,AO$15:AO$144))/60))</f>
        <v/>
      </c>
      <c r="N935" s="387"/>
      <c r="O935" s="387"/>
      <c r="P935" s="381" t="str">
        <f t="shared" si="57"/>
        <v/>
      </c>
      <c r="Q935" s="382" t="str">
        <f t="array" ref="Q935">IFERROR(INDEX($D$13:$D$1000,MATCH(0,COUNTIF($Q$13:Q934,$D$13:$D$1000&amp;"")+IF($D$13:$D$1000="",1,0),0)),"")</f>
        <v/>
      </c>
      <c r="R935" s="356" t="str">
        <f t="shared" si="58"/>
        <v/>
      </c>
      <c r="S935" s="383" t="str">
        <f t="shared" si="56"/>
        <v/>
      </c>
      <c r="T935" s="384" t="str">
        <f t="shared" si="59"/>
        <v/>
      </c>
      <c r="V935" s="385"/>
      <c r="W935" s="385"/>
      <c r="X935" s="386"/>
    </row>
    <row r="936" spans="2:24">
      <c r="B936" s="395"/>
      <c r="C936" s="371"/>
      <c r="D936" s="372" t="str">
        <f>IFERROR(INDEX('[12]Equipment List'!$B$2:$B$2038,MATCH(E936,'[12]Equipment List'!$A$2:$A$2038,0)),"")</f>
        <v/>
      </c>
      <c r="E936" s="388"/>
      <c r="F936" s="374"/>
      <c r="G936" s="375"/>
      <c r="H936" s="397"/>
      <c r="I936" s="377"/>
      <c r="J936" s="378"/>
      <c r="K936" s="379"/>
      <c r="L936" s="387"/>
      <c r="M936" s="380" t="str">
        <f t="array" ref="M936">IF(L936="","",(MAX(IF(AN$15:AN$144=B936,AO$15:AO$144))/60))</f>
        <v/>
      </c>
      <c r="N936" s="387"/>
      <c r="O936" s="387"/>
      <c r="P936" s="381" t="str">
        <f t="shared" si="57"/>
        <v/>
      </c>
      <c r="Q936" s="382" t="str">
        <f t="array" ref="Q936">IFERROR(INDEX($D$13:$D$1000,MATCH(0,COUNTIF($Q$13:Q935,$D$13:$D$1000&amp;"")+IF($D$13:$D$1000="",1,0),0)),"")</f>
        <v/>
      </c>
      <c r="R936" s="356" t="str">
        <f t="shared" si="58"/>
        <v/>
      </c>
      <c r="S936" s="383" t="str">
        <f t="shared" si="56"/>
        <v/>
      </c>
      <c r="T936" s="384" t="str">
        <f t="shared" si="59"/>
        <v/>
      </c>
      <c r="V936" s="385"/>
      <c r="W936" s="385"/>
      <c r="X936" s="386"/>
    </row>
    <row r="937" spans="2:24">
      <c r="B937" s="395"/>
      <c r="C937" s="371"/>
      <c r="D937" s="372" t="str">
        <f>IFERROR(INDEX('[12]Equipment List'!$B$2:$B$2038,MATCH(E937,'[12]Equipment List'!$A$2:$A$2038,0)),"")</f>
        <v/>
      </c>
      <c r="E937" s="388"/>
      <c r="F937" s="374"/>
      <c r="G937" s="375"/>
      <c r="H937" s="397"/>
      <c r="I937" s="377"/>
      <c r="J937" s="378"/>
      <c r="K937" s="379"/>
      <c r="L937" s="387"/>
      <c r="M937" s="380" t="str">
        <f t="array" ref="M937">IF(L937="","",(MAX(IF(AN$15:AN$144=B937,AO$15:AO$144))/60))</f>
        <v/>
      </c>
      <c r="N937" s="387"/>
      <c r="O937" s="387"/>
      <c r="P937" s="381" t="str">
        <f t="shared" si="57"/>
        <v/>
      </c>
      <c r="Q937" s="382" t="str">
        <f t="array" ref="Q937">IFERROR(INDEX($D$13:$D$1000,MATCH(0,COUNTIF($Q$13:Q936,$D$13:$D$1000&amp;"")+IF($D$13:$D$1000="",1,0),0)),"")</f>
        <v/>
      </c>
      <c r="R937" s="356" t="str">
        <f t="shared" si="58"/>
        <v/>
      </c>
      <c r="S937" s="383" t="str">
        <f t="shared" si="56"/>
        <v/>
      </c>
      <c r="T937" s="384" t="str">
        <f t="shared" si="59"/>
        <v/>
      </c>
      <c r="V937" s="385"/>
      <c r="W937" s="385"/>
      <c r="X937" s="386"/>
    </row>
    <row r="938" spans="2:24">
      <c r="B938" s="395"/>
      <c r="C938" s="371"/>
      <c r="D938" s="372" t="str">
        <f>IFERROR(INDEX('[12]Equipment List'!$B$2:$B$2038,MATCH(E938,'[12]Equipment List'!$A$2:$A$2038,0)),"")</f>
        <v/>
      </c>
      <c r="E938" s="388"/>
      <c r="F938" s="374"/>
      <c r="G938" s="375"/>
      <c r="H938" s="397"/>
      <c r="I938" s="377"/>
      <c r="J938" s="378"/>
      <c r="K938" s="379"/>
      <c r="L938" s="387"/>
      <c r="M938" s="380" t="str">
        <f t="array" ref="M938">IF(L938="","",(MAX(IF(AN$15:AN$144=B938,AO$15:AO$144))/60))</f>
        <v/>
      </c>
      <c r="N938" s="387"/>
      <c r="O938" s="387"/>
      <c r="P938" s="381" t="str">
        <f t="shared" si="57"/>
        <v/>
      </c>
      <c r="Q938" s="382" t="str">
        <f t="array" ref="Q938">IFERROR(INDEX($D$13:$D$1000,MATCH(0,COUNTIF($Q$13:Q937,$D$13:$D$1000&amp;"")+IF($D$13:$D$1000="",1,0),0)),"")</f>
        <v/>
      </c>
      <c r="R938" s="356" t="str">
        <f t="shared" si="58"/>
        <v/>
      </c>
      <c r="S938" s="383" t="str">
        <f t="shared" si="56"/>
        <v/>
      </c>
      <c r="T938" s="384" t="str">
        <f t="shared" si="59"/>
        <v/>
      </c>
      <c r="V938" s="385"/>
      <c r="W938" s="385"/>
      <c r="X938" s="386"/>
    </row>
    <row r="939" spans="2:24">
      <c r="B939" s="395"/>
      <c r="C939" s="371"/>
      <c r="D939" s="372" t="str">
        <f>IFERROR(INDEX('[12]Equipment List'!$B$2:$B$2038,MATCH(E939,'[12]Equipment List'!$A$2:$A$2038,0)),"")</f>
        <v/>
      </c>
      <c r="E939" s="388"/>
      <c r="F939" s="374"/>
      <c r="G939" s="375"/>
      <c r="H939" s="397"/>
      <c r="I939" s="377"/>
      <c r="J939" s="378"/>
      <c r="K939" s="379"/>
      <c r="L939" s="387"/>
      <c r="M939" s="380" t="str">
        <f t="array" ref="M939">IF(L939="","",(MAX(IF(AN$15:AN$144=B939,AO$15:AO$144))/60))</f>
        <v/>
      </c>
      <c r="N939" s="387"/>
      <c r="O939" s="387"/>
      <c r="P939" s="381" t="str">
        <f t="shared" si="57"/>
        <v/>
      </c>
      <c r="Q939" s="382" t="str">
        <f t="array" ref="Q939">IFERROR(INDEX($D$13:$D$1000,MATCH(0,COUNTIF($Q$13:Q938,$D$13:$D$1000&amp;"")+IF($D$13:$D$1000="",1,0),0)),"")</f>
        <v/>
      </c>
      <c r="R939" s="356" t="str">
        <f t="shared" si="58"/>
        <v/>
      </c>
      <c r="S939" s="383" t="str">
        <f t="shared" ref="S939:S1000" si="60">IF($Q939="","",SUMIF($D$13:$D$1000,$Q939,I$13:I$1000))</f>
        <v/>
      </c>
      <c r="T939" s="384" t="str">
        <f t="shared" si="59"/>
        <v/>
      </c>
      <c r="V939" s="385"/>
      <c r="W939" s="385"/>
      <c r="X939" s="386"/>
    </row>
    <row r="940" spans="2:24">
      <c r="B940" s="395"/>
      <c r="C940" s="371"/>
      <c r="D940" s="372" t="str">
        <f>IFERROR(INDEX('[12]Equipment List'!$B$2:$B$2038,MATCH(E940,'[12]Equipment List'!$A$2:$A$2038,0)),"")</f>
        <v/>
      </c>
      <c r="E940" s="388"/>
      <c r="F940" s="374"/>
      <c r="G940" s="375"/>
      <c r="H940" s="397"/>
      <c r="I940" s="377"/>
      <c r="J940" s="378"/>
      <c r="K940" s="379"/>
      <c r="L940" s="387"/>
      <c r="M940" s="380" t="str">
        <f t="array" ref="M940">IF(L940="","",(MAX(IF(AN$15:AN$144=B940,AO$15:AO$144))/60))</f>
        <v/>
      </c>
      <c r="N940" s="387"/>
      <c r="O940" s="387"/>
      <c r="P940" s="381" t="str">
        <f t="shared" si="57"/>
        <v/>
      </c>
      <c r="Q940" s="382" t="str">
        <f t="array" ref="Q940">IFERROR(INDEX($D$13:$D$1000,MATCH(0,COUNTIF($Q$13:Q939,$D$13:$D$1000&amp;"")+IF($D$13:$D$1000="",1,0),0)),"")</f>
        <v/>
      </c>
      <c r="R940" s="356" t="str">
        <f t="shared" si="58"/>
        <v/>
      </c>
      <c r="S940" s="383" t="str">
        <f t="shared" si="60"/>
        <v/>
      </c>
      <c r="T940" s="384" t="str">
        <f t="shared" si="59"/>
        <v/>
      </c>
      <c r="V940" s="385"/>
      <c r="W940" s="385"/>
      <c r="X940" s="386"/>
    </row>
    <row r="941" spans="2:24">
      <c r="B941" s="395"/>
      <c r="C941" s="371"/>
      <c r="D941" s="372" t="str">
        <f>IFERROR(INDEX('[12]Equipment List'!$B$2:$B$2038,MATCH(E941,'[12]Equipment List'!$A$2:$A$2038,0)),"")</f>
        <v/>
      </c>
      <c r="E941" s="388"/>
      <c r="F941" s="374"/>
      <c r="G941" s="375"/>
      <c r="H941" s="397"/>
      <c r="I941" s="377"/>
      <c r="J941" s="378"/>
      <c r="K941" s="379"/>
      <c r="L941" s="387"/>
      <c r="M941" s="380" t="str">
        <f t="array" ref="M941">IF(L941="","",(MAX(IF(AN$15:AN$144=B941,AO$15:AO$144))/60))</f>
        <v/>
      </c>
      <c r="N941" s="387"/>
      <c r="O941" s="387"/>
      <c r="P941" s="381" t="str">
        <f t="shared" si="57"/>
        <v/>
      </c>
      <c r="Q941" s="382" t="str">
        <f t="array" ref="Q941">IFERROR(INDEX($D$13:$D$1000,MATCH(0,COUNTIF($Q$13:Q940,$D$13:$D$1000&amp;"")+IF($D$13:$D$1000="",1,0),0)),"")</f>
        <v/>
      </c>
      <c r="R941" s="356" t="str">
        <f t="shared" si="58"/>
        <v/>
      </c>
      <c r="S941" s="383" t="str">
        <f t="shared" si="60"/>
        <v/>
      </c>
      <c r="T941" s="384" t="str">
        <f t="shared" si="59"/>
        <v/>
      </c>
      <c r="V941" s="385"/>
      <c r="W941" s="385"/>
      <c r="X941" s="386"/>
    </row>
    <row r="942" spans="2:24">
      <c r="B942" s="395"/>
      <c r="C942" s="371"/>
      <c r="D942" s="372" t="str">
        <f>IFERROR(INDEX('[12]Equipment List'!$B$2:$B$2038,MATCH(E942,'[12]Equipment List'!$A$2:$A$2038,0)),"")</f>
        <v/>
      </c>
      <c r="E942" s="388"/>
      <c r="F942" s="374"/>
      <c r="G942" s="375"/>
      <c r="H942" s="397"/>
      <c r="I942" s="377"/>
      <c r="J942" s="378"/>
      <c r="K942" s="379"/>
      <c r="L942" s="387"/>
      <c r="M942" s="380" t="str">
        <f t="array" ref="M942">IF(L942="","",(MAX(IF(AN$15:AN$144=B942,AO$15:AO$144))/60))</f>
        <v/>
      </c>
      <c r="N942" s="387"/>
      <c r="O942" s="387"/>
      <c r="P942" s="381" t="str">
        <f t="shared" si="57"/>
        <v/>
      </c>
      <c r="Q942" s="382" t="str">
        <f t="array" ref="Q942">IFERROR(INDEX($D$13:$D$1000,MATCH(0,COUNTIF($Q$13:Q941,$D$13:$D$1000&amp;"")+IF($D$13:$D$1000="",1,0),0)),"")</f>
        <v/>
      </c>
      <c r="R942" s="356" t="str">
        <f t="shared" si="58"/>
        <v/>
      </c>
      <c r="S942" s="383" t="str">
        <f t="shared" si="60"/>
        <v/>
      </c>
      <c r="T942" s="384" t="str">
        <f t="shared" si="59"/>
        <v/>
      </c>
      <c r="V942" s="385"/>
      <c r="W942" s="385"/>
      <c r="X942" s="386"/>
    </row>
    <row r="943" spans="2:24">
      <c r="B943" s="395"/>
      <c r="C943" s="371"/>
      <c r="D943" s="372" t="str">
        <f>IFERROR(INDEX('[12]Equipment List'!$B$2:$B$2038,MATCH(E943,'[12]Equipment List'!$A$2:$A$2038,0)),"")</f>
        <v/>
      </c>
      <c r="E943" s="388"/>
      <c r="F943" s="374"/>
      <c r="G943" s="375"/>
      <c r="H943" s="397"/>
      <c r="I943" s="377"/>
      <c r="J943" s="378"/>
      <c r="K943" s="379"/>
      <c r="L943" s="387"/>
      <c r="M943" s="380" t="str">
        <f t="array" ref="M943">IF(L943="","",(MAX(IF(AN$15:AN$144=B943,AO$15:AO$144))/60))</f>
        <v/>
      </c>
      <c r="N943" s="387"/>
      <c r="O943" s="387"/>
      <c r="P943" s="381" t="str">
        <f t="shared" si="57"/>
        <v/>
      </c>
      <c r="Q943" s="382" t="str">
        <f t="array" ref="Q943">IFERROR(INDEX($D$13:$D$1000,MATCH(0,COUNTIF($Q$13:Q942,$D$13:$D$1000&amp;"")+IF($D$13:$D$1000="",1,0),0)),"")</f>
        <v/>
      </c>
      <c r="R943" s="356" t="str">
        <f t="shared" si="58"/>
        <v/>
      </c>
      <c r="S943" s="383" t="str">
        <f t="shared" si="60"/>
        <v/>
      </c>
      <c r="T943" s="384" t="str">
        <f t="shared" si="59"/>
        <v/>
      </c>
      <c r="V943" s="385"/>
      <c r="W943" s="385"/>
      <c r="X943" s="386"/>
    </row>
    <row r="944" spans="2:24">
      <c r="B944" s="395"/>
      <c r="C944" s="371"/>
      <c r="D944" s="372" t="str">
        <f>IFERROR(INDEX('[12]Equipment List'!$B$2:$B$2038,MATCH(E944,'[12]Equipment List'!$A$2:$A$2038,0)),"")</f>
        <v/>
      </c>
      <c r="E944" s="388"/>
      <c r="F944" s="374"/>
      <c r="G944" s="375"/>
      <c r="H944" s="397"/>
      <c r="I944" s="377"/>
      <c r="J944" s="378"/>
      <c r="K944" s="379"/>
      <c r="L944" s="387"/>
      <c r="M944" s="380" t="str">
        <f t="array" ref="M944">IF(L944="","",(MAX(IF(AN$15:AN$144=B944,AO$15:AO$144))/60))</f>
        <v/>
      </c>
      <c r="N944" s="387"/>
      <c r="O944" s="387"/>
      <c r="P944" s="381" t="str">
        <f t="shared" si="57"/>
        <v/>
      </c>
      <c r="Q944" s="382" t="str">
        <f t="array" ref="Q944">IFERROR(INDEX($D$13:$D$1000,MATCH(0,COUNTIF($Q$13:Q943,$D$13:$D$1000&amp;"")+IF($D$13:$D$1000="",1,0),0)),"")</f>
        <v/>
      </c>
      <c r="R944" s="356" t="str">
        <f t="shared" si="58"/>
        <v/>
      </c>
      <c r="S944" s="383" t="str">
        <f t="shared" si="60"/>
        <v/>
      </c>
      <c r="T944" s="384" t="str">
        <f t="shared" si="59"/>
        <v/>
      </c>
      <c r="V944" s="385"/>
      <c r="W944" s="385"/>
      <c r="X944" s="386"/>
    </row>
    <row r="945" spans="2:24">
      <c r="B945" s="395"/>
      <c r="C945" s="371"/>
      <c r="D945" s="372" t="str">
        <f>IFERROR(INDEX('[12]Equipment List'!$B$2:$B$2038,MATCH(E945,'[12]Equipment List'!$A$2:$A$2038,0)),"")</f>
        <v/>
      </c>
      <c r="E945" s="388"/>
      <c r="F945" s="374"/>
      <c r="G945" s="375"/>
      <c r="H945" s="397"/>
      <c r="I945" s="377"/>
      <c r="J945" s="378"/>
      <c r="K945" s="379"/>
      <c r="L945" s="387"/>
      <c r="M945" s="380" t="str">
        <f t="array" ref="M945">IF(L945="","",(MAX(IF(AN$15:AN$144=B945,AO$15:AO$144))/60))</f>
        <v/>
      </c>
      <c r="N945" s="387"/>
      <c r="O945" s="387"/>
      <c r="P945" s="381" t="str">
        <f t="shared" si="57"/>
        <v/>
      </c>
      <c r="Q945" s="382" t="str">
        <f t="array" ref="Q945">IFERROR(INDEX($D$13:$D$1000,MATCH(0,COUNTIF($Q$13:Q944,$D$13:$D$1000&amp;"")+IF($D$13:$D$1000="",1,0),0)),"")</f>
        <v/>
      </c>
      <c r="R945" s="356" t="str">
        <f t="shared" si="58"/>
        <v/>
      </c>
      <c r="S945" s="383" t="str">
        <f t="shared" si="60"/>
        <v/>
      </c>
      <c r="T945" s="384" t="str">
        <f t="shared" si="59"/>
        <v/>
      </c>
      <c r="V945" s="385"/>
      <c r="W945" s="385"/>
      <c r="X945" s="386"/>
    </row>
    <row r="946" spans="2:24">
      <c r="B946" s="395"/>
      <c r="C946" s="371"/>
      <c r="D946" s="372" t="str">
        <f>IFERROR(INDEX('[12]Equipment List'!$B$2:$B$2038,MATCH(E946,'[12]Equipment List'!$A$2:$A$2038,0)),"")</f>
        <v/>
      </c>
      <c r="E946" s="388"/>
      <c r="F946" s="374"/>
      <c r="G946" s="375"/>
      <c r="H946" s="397"/>
      <c r="I946" s="377"/>
      <c r="J946" s="378"/>
      <c r="K946" s="379"/>
      <c r="L946" s="387"/>
      <c r="M946" s="380" t="str">
        <f t="array" ref="M946">IF(L946="","",(MAX(IF(AN$15:AN$144=B946,AO$15:AO$144))/60))</f>
        <v/>
      </c>
      <c r="N946" s="387"/>
      <c r="O946" s="387"/>
      <c r="P946" s="381" t="str">
        <f t="shared" si="57"/>
        <v/>
      </c>
      <c r="Q946" s="382" t="str">
        <f t="array" ref="Q946">IFERROR(INDEX($D$13:$D$1000,MATCH(0,COUNTIF($Q$13:Q945,$D$13:$D$1000&amp;"")+IF($D$13:$D$1000="",1,0),0)),"")</f>
        <v/>
      </c>
      <c r="R946" s="356" t="str">
        <f t="shared" si="58"/>
        <v/>
      </c>
      <c r="S946" s="383" t="str">
        <f t="shared" si="60"/>
        <v/>
      </c>
      <c r="T946" s="384" t="str">
        <f t="shared" si="59"/>
        <v/>
      </c>
      <c r="V946" s="385"/>
      <c r="W946" s="385"/>
      <c r="X946" s="386"/>
    </row>
    <row r="947" spans="2:24">
      <c r="B947" s="395"/>
      <c r="C947" s="371"/>
      <c r="D947" s="372" t="str">
        <f>IFERROR(INDEX('[12]Equipment List'!$B$2:$B$2038,MATCH(E947,'[12]Equipment List'!$A$2:$A$2038,0)),"")</f>
        <v/>
      </c>
      <c r="E947" s="388"/>
      <c r="F947" s="374"/>
      <c r="G947" s="375"/>
      <c r="H947" s="397"/>
      <c r="I947" s="377"/>
      <c r="J947" s="378"/>
      <c r="K947" s="379"/>
      <c r="L947" s="387"/>
      <c r="M947" s="380" t="str">
        <f t="array" ref="M947">IF(L947="","",(MAX(IF(AN$15:AN$144=B947,AO$15:AO$144))/60))</f>
        <v/>
      </c>
      <c r="N947" s="387"/>
      <c r="O947" s="387"/>
      <c r="P947" s="381" t="str">
        <f t="shared" si="57"/>
        <v/>
      </c>
      <c r="Q947" s="382" t="str">
        <f t="array" ref="Q947">IFERROR(INDEX($D$13:$D$1000,MATCH(0,COUNTIF($Q$13:Q946,$D$13:$D$1000&amp;"")+IF($D$13:$D$1000="",1,0),0)),"")</f>
        <v/>
      </c>
      <c r="R947" s="356" t="str">
        <f t="shared" si="58"/>
        <v/>
      </c>
      <c r="S947" s="383" t="str">
        <f t="shared" si="60"/>
        <v/>
      </c>
      <c r="T947" s="384" t="str">
        <f t="shared" si="59"/>
        <v/>
      </c>
      <c r="V947" s="385"/>
      <c r="W947" s="385"/>
      <c r="X947" s="386"/>
    </row>
    <row r="948" spans="2:24">
      <c r="B948" s="395"/>
      <c r="C948" s="371"/>
      <c r="D948" s="372" t="str">
        <f>IFERROR(INDEX('[12]Equipment List'!$B$2:$B$2038,MATCH(E948,'[12]Equipment List'!$A$2:$A$2038,0)),"")</f>
        <v/>
      </c>
      <c r="E948" s="388"/>
      <c r="F948" s="374"/>
      <c r="G948" s="375"/>
      <c r="H948" s="397"/>
      <c r="I948" s="377"/>
      <c r="J948" s="378"/>
      <c r="K948" s="379"/>
      <c r="L948" s="387"/>
      <c r="M948" s="380" t="str">
        <f t="array" ref="M948">IF(L948="","",(MAX(IF(AN$15:AN$144=B948,AO$15:AO$144))/60))</f>
        <v/>
      </c>
      <c r="N948" s="387"/>
      <c r="O948" s="387"/>
      <c r="P948" s="381" t="str">
        <f t="shared" si="57"/>
        <v/>
      </c>
      <c r="Q948" s="382" t="str">
        <f t="array" ref="Q948">IFERROR(INDEX($D$13:$D$1000,MATCH(0,COUNTIF($Q$13:Q947,$D$13:$D$1000&amp;"")+IF($D$13:$D$1000="",1,0),0)),"")</f>
        <v/>
      </c>
      <c r="R948" s="356" t="str">
        <f t="shared" si="58"/>
        <v/>
      </c>
      <c r="S948" s="383" t="str">
        <f t="shared" si="60"/>
        <v/>
      </c>
      <c r="T948" s="384" t="str">
        <f t="shared" si="59"/>
        <v/>
      </c>
      <c r="V948" s="385"/>
      <c r="W948" s="385"/>
      <c r="X948" s="386"/>
    </row>
    <row r="949" spans="2:24">
      <c r="B949" s="395"/>
      <c r="C949" s="371"/>
      <c r="D949" s="372" t="str">
        <f>IFERROR(INDEX('[12]Equipment List'!$B$2:$B$2038,MATCH(E949,'[12]Equipment List'!$A$2:$A$2038,0)),"")</f>
        <v/>
      </c>
      <c r="E949" s="388"/>
      <c r="F949" s="374"/>
      <c r="G949" s="375"/>
      <c r="H949" s="397"/>
      <c r="I949" s="377"/>
      <c r="J949" s="378"/>
      <c r="K949" s="379"/>
      <c r="L949" s="387"/>
      <c r="M949" s="380" t="str">
        <f t="array" ref="M949">IF(L949="","",(MAX(IF(AN$15:AN$144=B949,AO$15:AO$144))/60))</f>
        <v/>
      </c>
      <c r="N949" s="387"/>
      <c r="O949" s="387"/>
      <c r="P949" s="381" t="str">
        <f t="shared" si="57"/>
        <v/>
      </c>
      <c r="Q949" s="382" t="str">
        <f t="array" ref="Q949">IFERROR(INDEX($D$13:$D$1000,MATCH(0,COUNTIF($Q$13:Q948,$D$13:$D$1000&amp;"")+IF($D$13:$D$1000="",1,0),0)),"")</f>
        <v/>
      </c>
      <c r="R949" s="356" t="str">
        <f t="shared" si="58"/>
        <v/>
      </c>
      <c r="S949" s="383" t="str">
        <f t="shared" si="60"/>
        <v/>
      </c>
      <c r="T949" s="384" t="str">
        <f t="shared" si="59"/>
        <v/>
      </c>
      <c r="V949" s="385"/>
      <c r="W949" s="385"/>
      <c r="X949" s="386"/>
    </row>
    <row r="950" spans="2:24">
      <c r="B950" s="395"/>
      <c r="C950" s="371"/>
      <c r="D950" s="372" t="str">
        <f>IFERROR(INDEX('[12]Equipment List'!$B$2:$B$2038,MATCH(E950,'[12]Equipment List'!$A$2:$A$2038,0)),"")</f>
        <v/>
      </c>
      <c r="E950" s="388"/>
      <c r="F950" s="374"/>
      <c r="G950" s="375"/>
      <c r="H950" s="397"/>
      <c r="I950" s="377"/>
      <c r="J950" s="378"/>
      <c r="K950" s="379"/>
      <c r="L950" s="387"/>
      <c r="M950" s="380" t="str">
        <f t="array" ref="M950">IF(L950="","",(MAX(IF(AN$15:AN$144=B950,AO$15:AO$144))/60))</f>
        <v/>
      </c>
      <c r="N950" s="387"/>
      <c r="O950" s="387"/>
      <c r="P950" s="381" t="str">
        <f t="shared" si="57"/>
        <v/>
      </c>
      <c r="Q950" s="382" t="str">
        <f t="array" ref="Q950">IFERROR(INDEX($D$13:$D$1000,MATCH(0,COUNTIF($Q$13:Q949,$D$13:$D$1000&amp;"")+IF($D$13:$D$1000="",1,0),0)),"")</f>
        <v/>
      </c>
      <c r="R950" s="356" t="str">
        <f t="shared" si="58"/>
        <v/>
      </c>
      <c r="S950" s="383" t="str">
        <f t="shared" si="60"/>
        <v/>
      </c>
      <c r="T950" s="384" t="str">
        <f t="shared" si="59"/>
        <v/>
      </c>
      <c r="V950" s="385"/>
      <c r="W950" s="385"/>
      <c r="X950" s="386"/>
    </row>
    <row r="951" spans="2:24">
      <c r="B951" s="395"/>
      <c r="C951" s="371"/>
      <c r="D951" s="372" t="str">
        <f>IFERROR(INDEX('[12]Equipment List'!$B$2:$B$2038,MATCH(E951,'[12]Equipment List'!$A$2:$A$2038,0)),"")</f>
        <v/>
      </c>
      <c r="E951" s="388"/>
      <c r="F951" s="374"/>
      <c r="G951" s="375"/>
      <c r="H951" s="397"/>
      <c r="I951" s="377"/>
      <c r="J951" s="378"/>
      <c r="K951" s="379"/>
      <c r="L951" s="387"/>
      <c r="M951" s="380" t="str">
        <f t="array" ref="M951">IF(L951="","",(MAX(IF(AN$15:AN$144=B951,AO$15:AO$144))/60))</f>
        <v/>
      </c>
      <c r="N951" s="387"/>
      <c r="O951" s="387"/>
      <c r="P951" s="381" t="str">
        <f t="shared" si="57"/>
        <v/>
      </c>
      <c r="Q951" s="382" t="str">
        <f t="array" ref="Q951">IFERROR(INDEX($D$13:$D$1000,MATCH(0,COUNTIF($Q$13:Q950,$D$13:$D$1000&amp;"")+IF($D$13:$D$1000="",1,0),0)),"")</f>
        <v/>
      </c>
      <c r="R951" s="356" t="str">
        <f t="shared" si="58"/>
        <v/>
      </c>
      <c r="S951" s="383" t="str">
        <f t="shared" si="60"/>
        <v/>
      </c>
      <c r="T951" s="384" t="str">
        <f t="shared" si="59"/>
        <v/>
      </c>
      <c r="V951" s="385"/>
      <c r="W951" s="385"/>
      <c r="X951" s="386"/>
    </row>
    <row r="952" spans="2:24">
      <c r="B952" s="395"/>
      <c r="C952" s="371"/>
      <c r="D952" s="372" t="str">
        <f>IFERROR(INDEX('[12]Equipment List'!$B$2:$B$2038,MATCH(E952,'[12]Equipment List'!$A$2:$A$2038,0)),"")</f>
        <v/>
      </c>
      <c r="E952" s="388"/>
      <c r="F952" s="374"/>
      <c r="G952" s="375"/>
      <c r="H952" s="397"/>
      <c r="I952" s="377"/>
      <c r="J952" s="378"/>
      <c r="K952" s="379"/>
      <c r="L952" s="387"/>
      <c r="M952" s="380" t="str">
        <f t="array" ref="M952">IF(L952="","",(MAX(IF(AN$15:AN$144=B952,AO$15:AO$144))/60))</f>
        <v/>
      </c>
      <c r="N952" s="387"/>
      <c r="O952" s="387"/>
      <c r="P952" s="381" t="str">
        <f t="shared" si="57"/>
        <v/>
      </c>
      <c r="Q952" s="382" t="str">
        <f t="array" ref="Q952">IFERROR(INDEX($D$13:$D$1000,MATCH(0,COUNTIF($Q$13:Q951,$D$13:$D$1000&amp;"")+IF($D$13:$D$1000="",1,0),0)),"")</f>
        <v/>
      </c>
      <c r="R952" s="356" t="str">
        <f t="shared" si="58"/>
        <v/>
      </c>
      <c r="S952" s="383" t="str">
        <f t="shared" si="60"/>
        <v/>
      </c>
      <c r="T952" s="384" t="str">
        <f t="shared" si="59"/>
        <v/>
      </c>
      <c r="V952" s="385"/>
      <c r="W952" s="385"/>
      <c r="X952" s="386"/>
    </row>
    <row r="953" spans="2:24">
      <c r="B953" s="395"/>
      <c r="C953" s="371"/>
      <c r="D953" s="372" t="str">
        <f>IFERROR(INDEX('[12]Equipment List'!$B$2:$B$2038,MATCH(E953,'[12]Equipment List'!$A$2:$A$2038,0)),"")</f>
        <v/>
      </c>
      <c r="E953" s="388"/>
      <c r="F953" s="374"/>
      <c r="G953" s="375"/>
      <c r="H953" s="397"/>
      <c r="I953" s="377"/>
      <c r="J953" s="378"/>
      <c r="K953" s="379"/>
      <c r="L953" s="387"/>
      <c r="M953" s="380" t="str">
        <f t="array" ref="M953">IF(L953="","",(MAX(IF(AN$15:AN$144=B953,AO$15:AO$144))/60))</f>
        <v/>
      </c>
      <c r="N953" s="387"/>
      <c r="O953" s="387"/>
      <c r="P953" s="381" t="str">
        <f t="shared" si="57"/>
        <v/>
      </c>
      <c r="Q953" s="382" t="str">
        <f t="array" ref="Q953">IFERROR(INDEX($D$13:$D$1000,MATCH(0,COUNTIF($Q$13:Q952,$D$13:$D$1000&amp;"")+IF($D$13:$D$1000="",1,0),0)),"")</f>
        <v/>
      </c>
      <c r="R953" s="356" t="str">
        <f t="shared" si="58"/>
        <v/>
      </c>
      <c r="S953" s="383" t="str">
        <f t="shared" si="60"/>
        <v/>
      </c>
      <c r="T953" s="384" t="str">
        <f t="shared" si="59"/>
        <v/>
      </c>
      <c r="V953" s="385"/>
      <c r="W953" s="385"/>
      <c r="X953" s="386"/>
    </row>
    <row r="954" spans="2:24">
      <c r="B954" s="395"/>
      <c r="C954" s="371"/>
      <c r="D954" s="372" t="str">
        <f>IFERROR(INDEX('[12]Equipment List'!$B$2:$B$2038,MATCH(E954,'[12]Equipment List'!$A$2:$A$2038,0)),"")</f>
        <v/>
      </c>
      <c r="E954" s="388"/>
      <c r="F954" s="374"/>
      <c r="G954" s="375"/>
      <c r="H954" s="397"/>
      <c r="I954" s="377"/>
      <c r="J954" s="378"/>
      <c r="K954" s="379"/>
      <c r="L954" s="387"/>
      <c r="M954" s="380" t="str">
        <f t="array" ref="M954">IF(L954="","",(MAX(IF(AN$15:AN$144=B954,AO$15:AO$144))/60))</f>
        <v/>
      </c>
      <c r="N954" s="387"/>
      <c r="O954" s="387"/>
      <c r="P954" s="381" t="str">
        <f t="shared" si="57"/>
        <v/>
      </c>
      <c r="Q954" s="382" t="str">
        <f t="array" ref="Q954">IFERROR(INDEX($D$13:$D$1000,MATCH(0,COUNTIF($Q$13:Q953,$D$13:$D$1000&amp;"")+IF($D$13:$D$1000="",1,0),0)),"")</f>
        <v/>
      </c>
      <c r="R954" s="356" t="str">
        <f t="shared" si="58"/>
        <v/>
      </c>
      <c r="S954" s="383" t="str">
        <f t="shared" si="60"/>
        <v/>
      </c>
      <c r="T954" s="384" t="str">
        <f t="shared" si="59"/>
        <v/>
      </c>
      <c r="V954" s="385"/>
      <c r="W954" s="385"/>
      <c r="X954" s="386"/>
    </row>
    <row r="955" spans="2:24">
      <c r="B955" s="395"/>
      <c r="C955" s="371"/>
      <c r="D955" s="372" t="str">
        <f>IFERROR(INDEX('[12]Equipment List'!$B$2:$B$2038,MATCH(E955,'[12]Equipment List'!$A$2:$A$2038,0)),"")</f>
        <v/>
      </c>
      <c r="E955" s="388"/>
      <c r="F955" s="374"/>
      <c r="G955" s="375"/>
      <c r="H955" s="397"/>
      <c r="I955" s="377"/>
      <c r="J955" s="378"/>
      <c r="K955" s="379"/>
      <c r="L955" s="387"/>
      <c r="M955" s="380" t="str">
        <f t="array" ref="M955">IF(L955="","",(MAX(IF(AN$15:AN$144=B955,AO$15:AO$144))/60))</f>
        <v/>
      </c>
      <c r="N955" s="387"/>
      <c r="O955" s="387"/>
      <c r="P955" s="381" t="str">
        <f t="shared" si="57"/>
        <v/>
      </c>
      <c r="Q955" s="382" t="str">
        <f t="array" ref="Q955">IFERROR(INDEX($D$13:$D$1000,MATCH(0,COUNTIF($Q$13:Q954,$D$13:$D$1000&amp;"")+IF($D$13:$D$1000="",1,0),0)),"")</f>
        <v/>
      </c>
      <c r="R955" s="356" t="str">
        <f t="shared" si="58"/>
        <v/>
      </c>
      <c r="S955" s="383" t="str">
        <f t="shared" si="60"/>
        <v/>
      </c>
      <c r="T955" s="384" t="str">
        <f t="shared" si="59"/>
        <v/>
      </c>
      <c r="V955" s="385"/>
      <c r="W955" s="385"/>
      <c r="X955" s="386"/>
    </row>
    <row r="956" spans="2:24">
      <c r="B956" s="395"/>
      <c r="C956" s="371"/>
      <c r="D956" s="372" t="str">
        <f>IFERROR(INDEX('[12]Equipment List'!$B$2:$B$2038,MATCH(E956,'[12]Equipment List'!$A$2:$A$2038,0)),"")</f>
        <v/>
      </c>
      <c r="E956" s="388"/>
      <c r="F956" s="374"/>
      <c r="G956" s="375"/>
      <c r="H956" s="397"/>
      <c r="I956" s="377"/>
      <c r="J956" s="378"/>
      <c r="K956" s="379"/>
      <c r="L956" s="387"/>
      <c r="M956" s="380" t="str">
        <f t="array" ref="M956">IF(L956="","",(MAX(IF(AN$15:AN$144=B956,AO$15:AO$144))/60))</f>
        <v/>
      </c>
      <c r="N956" s="387"/>
      <c r="O956" s="387"/>
      <c r="P956" s="381" t="str">
        <f t="shared" si="57"/>
        <v/>
      </c>
      <c r="Q956" s="382" t="str">
        <f t="array" ref="Q956">IFERROR(INDEX($D$13:$D$1000,MATCH(0,COUNTIF($Q$13:Q955,$D$13:$D$1000&amp;"")+IF($D$13:$D$1000="",1,0),0)),"")</f>
        <v/>
      </c>
      <c r="R956" s="356" t="str">
        <f t="shared" si="58"/>
        <v/>
      </c>
      <c r="S956" s="383" t="str">
        <f t="shared" si="60"/>
        <v/>
      </c>
      <c r="T956" s="384" t="str">
        <f t="shared" si="59"/>
        <v/>
      </c>
      <c r="V956" s="385"/>
      <c r="W956" s="385"/>
      <c r="X956" s="386"/>
    </row>
    <row r="957" spans="2:24">
      <c r="B957" s="395"/>
      <c r="C957" s="371"/>
      <c r="D957" s="372" t="str">
        <f>IFERROR(INDEX('[12]Equipment List'!$B$2:$B$2038,MATCH(E957,'[12]Equipment List'!$A$2:$A$2038,0)),"")</f>
        <v/>
      </c>
      <c r="E957" s="388"/>
      <c r="F957" s="374"/>
      <c r="G957" s="375"/>
      <c r="H957" s="397"/>
      <c r="I957" s="377"/>
      <c r="J957" s="378"/>
      <c r="K957" s="379"/>
      <c r="L957" s="387"/>
      <c r="M957" s="380" t="str">
        <f t="array" ref="M957">IF(L957="","",(MAX(IF(AN$15:AN$144=B957,AO$15:AO$144))/60))</f>
        <v/>
      </c>
      <c r="N957" s="387"/>
      <c r="O957" s="387"/>
      <c r="P957" s="381" t="str">
        <f t="shared" si="57"/>
        <v/>
      </c>
      <c r="Q957" s="382" t="str">
        <f t="array" ref="Q957">IFERROR(INDEX($D$13:$D$1000,MATCH(0,COUNTIF($Q$13:Q956,$D$13:$D$1000&amp;"")+IF($D$13:$D$1000="",1,0),0)),"")</f>
        <v/>
      </c>
      <c r="R957" s="356" t="str">
        <f t="shared" si="58"/>
        <v/>
      </c>
      <c r="S957" s="383" t="str">
        <f t="shared" si="60"/>
        <v/>
      </c>
      <c r="T957" s="384" t="str">
        <f t="shared" si="59"/>
        <v/>
      </c>
      <c r="V957" s="385"/>
      <c r="W957" s="385"/>
      <c r="X957" s="386"/>
    </row>
    <row r="958" spans="2:24">
      <c r="B958" s="395"/>
      <c r="C958" s="371"/>
      <c r="D958" s="372" t="str">
        <f>IFERROR(INDEX('[12]Equipment List'!$B$2:$B$2038,MATCH(E958,'[12]Equipment List'!$A$2:$A$2038,0)),"")</f>
        <v/>
      </c>
      <c r="E958" s="388"/>
      <c r="F958" s="374"/>
      <c r="G958" s="375"/>
      <c r="H958" s="397"/>
      <c r="I958" s="377"/>
      <c r="J958" s="378"/>
      <c r="K958" s="379"/>
      <c r="L958" s="387"/>
      <c r="M958" s="380" t="str">
        <f t="array" ref="M958">IF(L958="","",(MAX(IF(AN$15:AN$144=B958,AO$15:AO$144))/60))</f>
        <v/>
      </c>
      <c r="N958" s="387"/>
      <c r="O958" s="387"/>
      <c r="P958" s="381" t="str">
        <f t="shared" si="57"/>
        <v/>
      </c>
      <c r="Q958" s="382" t="str">
        <f t="array" ref="Q958">IFERROR(INDEX($D$13:$D$1000,MATCH(0,COUNTIF($Q$13:Q957,$D$13:$D$1000&amp;"")+IF($D$13:$D$1000="",1,0),0)),"")</f>
        <v/>
      </c>
      <c r="R958" s="356" t="str">
        <f t="shared" si="58"/>
        <v/>
      </c>
      <c r="S958" s="383" t="str">
        <f t="shared" si="60"/>
        <v/>
      </c>
      <c r="T958" s="384" t="str">
        <f t="shared" si="59"/>
        <v/>
      </c>
      <c r="V958" s="385"/>
      <c r="W958" s="385"/>
      <c r="X958" s="386"/>
    </row>
    <row r="959" spans="2:24">
      <c r="B959" s="395"/>
      <c r="C959" s="371"/>
      <c r="D959" s="372" t="str">
        <f>IFERROR(INDEX('[12]Equipment List'!$B$2:$B$2038,MATCH(E959,'[12]Equipment List'!$A$2:$A$2038,0)),"")</f>
        <v/>
      </c>
      <c r="E959" s="388"/>
      <c r="F959" s="374"/>
      <c r="G959" s="375"/>
      <c r="H959" s="397"/>
      <c r="I959" s="377"/>
      <c r="J959" s="378"/>
      <c r="K959" s="379"/>
      <c r="L959" s="387"/>
      <c r="M959" s="380" t="str">
        <f t="array" ref="M959">IF(L959="","",(MAX(IF(AN$15:AN$144=B959,AO$15:AO$144))/60))</f>
        <v/>
      </c>
      <c r="N959" s="387"/>
      <c r="O959" s="387"/>
      <c r="P959" s="381" t="str">
        <f t="shared" si="57"/>
        <v/>
      </c>
      <c r="Q959" s="382" t="str">
        <f t="array" ref="Q959">IFERROR(INDEX($D$13:$D$1000,MATCH(0,COUNTIF($Q$13:Q958,$D$13:$D$1000&amp;"")+IF($D$13:$D$1000="",1,0),0)),"")</f>
        <v/>
      </c>
      <c r="R959" s="356" t="str">
        <f t="shared" si="58"/>
        <v/>
      </c>
      <c r="S959" s="383" t="str">
        <f t="shared" si="60"/>
        <v/>
      </c>
      <c r="T959" s="384" t="str">
        <f t="shared" si="59"/>
        <v/>
      </c>
      <c r="V959" s="385"/>
      <c r="W959" s="385"/>
      <c r="X959" s="386"/>
    </row>
    <row r="960" spans="2:24">
      <c r="B960" s="395"/>
      <c r="C960" s="371"/>
      <c r="D960" s="372" t="str">
        <f>IFERROR(INDEX('[12]Equipment List'!$B$2:$B$2038,MATCH(E960,'[12]Equipment List'!$A$2:$A$2038,0)),"")</f>
        <v/>
      </c>
      <c r="E960" s="388"/>
      <c r="F960" s="374"/>
      <c r="G960" s="375"/>
      <c r="H960" s="397"/>
      <c r="I960" s="377"/>
      <c r="J960" s="378"/>
      <c r="K960" s="379"/>
      <c r="L960" s="387"/>
      <c r="M960" s="380" t="str">
        <f t="array" ref="M960">IF(L960="","",(MAX(IF(AN$15:AN$144=B960,AO$15:AO$144))/60))</f>
        <v/>
      </c>
      <c r="N960" s="387"/>
      <c r="O960" s="387"/>
      <c r="P960" s="381" t="str">
        <f t="shared" si="57"/>
        <v/>
      </c>
      <c r="Q960" s="382" t="str">
        <f t="array" ref="Q960">IFERROR(INDEX($D$13:$D$1000,MATCH(0,COUNTIF($Q$13:Q959,$D$13:$D$1000&amp;"")+IF($D$13:$D$1000="",1,0),0)),"")</f>
        <v/>
      </c>
      <c r="R960" s="356" t="str">
        <f t="shared" si="58"/>
        <v/>
      </c>
      <c r="S960" s="383" t="str">
        <f t="shared" si="60"/>
        <v/>
      </c>
      <c r="T960" s="384" t="str">
        <f t="shared" si="59"/>
        <v/>
      </c>
      <c r="V960" s="385"/>
      <c r="W960" s="385"/>
      <c r="X960" s="386"/>
    </row>
    <row r="961" spans="2:24">
      <c r="B961" s="395"/>
      <c r="C961" s="371"/>
      <c r="D961" s="372" t="str">
        <f>IFERROR(INDEX('[12]Equipment List'!$B$2:$B$2038,MATCH(E961,'[12]Equipment List'!$A$2:$A$2038,0)),"")</f>
        <v/>
      </c>
      <c r="E961" s="388"/>
      <c r="F961" s="374"/>
      <c r="G961" s="375"/>
      <c r="H961" s="397"/>
      <c r="I961" s="377"/>
      <c r="J961" s="378"/>
      <c r="K961" s="379"/>
      <c r="L961" s="387"/>
      <c r="M961" s="380" t="str">
        <f t="array" ref="M961">IF(L961="","",(MAX(IF(AN$15:AN$144=B961,AO$15:AO$144))/60))</f>
        <v/>
      </c>
      <c r="N961" s="387"/>
      <c r="O961" s="387"/>
      <c r="P961" s="381" t="str">
        <f t="shared" si="57"/>
        <v/>
      </c>
      <c r="Q961" s="382" t="str">
        <f t="array" ref="Q961">IFERROR(INDEX($D$13:$D$1000,MATCH(0,COUNTIF($Q$13:Q960,$D$13:$D$1000&amp;"")+IF($D$13:$D$1000="",1,0),0)),"")</f>
        <v/>
      </c>
      <c r="R961" s="356" t="str">
        <f t="shared" si="58"/>
        <v/>
      </c>
      <c r="S961" s="383" t="str">
        <f t="shared" si="60"/>
        <v/>
      </c>
      <c r="T961" s="384" t="str">
        <f t="shared" si="59"/>
        <v/>
      </c>
      <c r="V961" s="385"/>
      <c r="W961" s="385"/>
      <c r="X961" s="386"/>
    </row>
    <row r="962" spans="2:24">
      <c r="B962" s="395"/>
      <c r="C962" s="371"/>
      <c r="D962" s="372" t="str">
        <f>IFERROR(INDEX('[12]Equipment List'!$B$2:$B$2038,MATCH(E962,'[12]Equipment List'!$A$2:$A$2038,0)),"")</f>
        <v/>
      </c>
      <c r="E962" s="388"/>
      <c r="F962" s="374"/>
      <c r="G962" s="375"/>
      <c r="H962" s="397"/>
      <c r="I962" s="377"/>
      <c r="J962" s="378"/>
      <c r="K962" s="379"/>
      <c r="L962" s="387"/>
      <c r="M962" s="380" t="str">
        <f t="array" ref="M962">IF(L962="","",(MAX(IF(AN$15:AN$144=B962,AO$15:AO$144))/60))</f>
        <v/>
      </c>
      <c r="N962" s="387"/>
      <c r="O962" s="387"/>
      <c r="P962" s="381" t="str">
        <f t="shared" si="57"/>
        <v/>
      </c>
      <c r="Q962" s="382" t="str">
        <f t="array" ref="Q962">IFERROR(INDEX($D$13:$D$1000,MATCH(0,COUNTIF($Q$13:Q961,$D$13:$D$1000&amp;"")+IF($D$13:$D$1000="",1,0),0)),"")</f>
        <v/>
      </c>
      <c r="R962" s="356" t="str">
        <f t="shared" si="58"/>
        <v/>
      </c>
      <c r="S962" s="383" t="str">
        <f t="shared" si="60"/>
        <v/>
      </c>
      <c r="T962" s="384" t="str">
        <f t="shared" si="59"/>
        <v/>
      </c>
      <c r="V962" s="385"/>
      <c r="W962" s="385"/>
      <c r="X962" s="386"/>
    </row>
    <row r="963" spans="2:24">
      <c r="B963" s="395"/>
      <c r="C963" s="371"/>
      <c r="D963" s="372" t="str">
        <f>IFERROR(INDEX('[12]Equipment List'!$B$2:$B$2038,MATCH(E963,'[12]Equipment List'!$A$2:$A$2038,0)),"")</f>
        <v/>
      </c>
      <c r="E963" s="388"/>
      <c r="F963" s="374"/>
      <c r="G963" s="375"/>
      <c r="H963" s="397"/>
      <c r="I963" s="377"/>
      <c r="J963" s="378"/>
      <c r="K963" s="379"/>
      <c r="L963" s="387"/>
      <c r="M963" s="380" t="str">
        <f t="array" ref="M963">IF(L963="","",(MAX(IF(AN$15:AN$144=B963,AO$15:AO$144))/60))</f>
        <v/>
      </c>
      <c r="N963" s="387"/>
      <c r="O963" s="387"/>
      <c r="P963" s="381" t="str">
        <f t="shared" si="57"/>
        <v/>
      </c>
      <c r="Q963" s="382" t="str">
        <f t="array" ref="Q963">IFERROR(INDEX($D$13:$D$1000,MATCH(0,COUNTIF($Q$13:Q962,$D$13:$D$1000&amp;"")+IF($D$13:$D$1000="",1,0),0)),"")</f>
        <v/>
      </c>
      <c r="R963" s="356" t="str">
        <f t="shared" si="58"/>
        <v/>
      </c>
      <c r="S963" s="383" t="str">
        <f t="shared" si="60"/>
        <v/>
      </c>
      <c r="T963" s="384" t="str">
        <f t="shared" si="59"/>
        <v/>
      </c>
      <c r="V963" s="385"/>
      <c r="W963" s="385"/>
      <c r="X963" s="386"/>
    </row>
    <row r="964" spans="2:24">
      <c r="B964" s="395"/>
      <c r="C964" s="371"/>
      <c r="D964" s="372" t="str">
        <f>IFERROR(INDEX('[12]Equipment List'!$B$2:$B$2038,MATCH(E964,'[12]Equipment List'!$A$2:$A$2038,0)),"")</f>
        <v/>
      </c>
      <c r="E964" s="388"/>
      <c r="F964" s="374"/>
      <c r="G964" s="375"/>
      <c r="H964" s="397"/>
      <c r="I964" s="377"/>
      <c r="J964" s="378"/>
      <c r="K964" s="379"/>
      <c r="L964" s="387"/>
      <c r="M964" s="380" t="str">
        <f t="array" ref="M964">IF(L964="","",(MAX(IF(AN$15:AN$144=B964,AO$15:AO$144))/60))</f>
        <v/>
      </c>
      <c r="N964" s="387"/>
      <c r="O964" s="387"/>
      <c r="P964" s="381" t="str">
        <f t="shared" si="57"/>
        <v/>
      </c>
      <c r="Q964" s="382" t="str">
        <f t="array" ref="Q964">IFERROR(INDEX($D$13:$D$1000,MATCH(0,COUNTIF($Q$13:Q963,$D$13:$D$1000&amp;"")+IF($D$13:$D$1000="",1,0),0)),"")</f>
        <v/>
      </c>
      <c r="R964" s="356" t="str">
        <f t="shared" si="58"/>
        <v/>
      </c>
      <c r="S964" s="383" t="str">
        <f t="shared" si="60"/>
        <v/>
      </c>
      <c r="T964" s="384" t="str">
        <f t="shared" si="59"/>
        <v/>
      </c>
      <c r="V964" s="385"/>
      <c r="W964" s="385"/>
      <c r="X964" s="386"/>
    </row>
    <row r="965" spans="2:24">
      <c r="B965" s="395"/>
      <c r="C965" s="371"/>
      <c r="D965" s="372" t="str">
        <f>IFERROR(INDEX('[12]Equipment List'!$B$2:$B$2038,MATCH(E965,'[12]Equipment List'!$A$2:$A$2038,0)),"")</f>
        <v/>
      </c>
      <c r="E965" s="388"/>
      <c r="F965" s="374"/>
      <c r="G965" s="375"/>
      <c r="H965" s="397"/>
      <c r="I965" s="377"/>
      <c r="J965" s="378"/>
      <c r="K965" s="379"/>
      <c r="L965" s="387"/>
      <c r="M965" s="380" t="str">
        <f t="array" ref="M965">IF(L965="","",(MAX(IF(AN$15:AN$144=B965,AO$15:AO$144))/60))</f>
        <v/>
      </c>
      <c r="N965" s="387"/>
      <c r="O965" s="387"/>
      <c r="P965" s="381" t="str">
        <f t="shared" si="57"/>
        <v/>
      </c>
      <c r="Q965" s="382" t="str">
        <f t="array" ref="Q965">IFERROR(INDEX($D$13:$D$1000,MATCH(0,COUNTIF($Q$13:Q964,$D$13:$D$1000&amp;"")+IF($D$13:$D$1000="",1,0),0)),"")</f>
        <v/>
      </c>
      <c r="R965" s="356" t="str">
        <f t="shared" si="58"/>
        <v/>
      </c>
      <c r="S965" s="383" t="str">
        <f t="shared" si="60"/>
        <v/>
      </c>
      <c r="T965" s="384" t="str">
        <f t="shared" si="59"/>
        <v/>
      </c>
      <c r="V965" s="385"/>
      <c r="W965" s="385"/>
      <c r="X965" s="386"/>
    </row>
    <row r="966" spans="2:24">
      <c r="B966" s="395"/>
      <c r="C966" s="371"/>
      <c r="D966" s="372" t="str">
        <f>IFERROR(INDEX('[12]Equipment List'!$B$2:$B$2038,MATCH(E966,'[12]Equipment List'!$A$2:$A$2038,0)),"")</f>
        <v/>
      </c>
      <c r="E966" s="388"/>
      <c r="F966" s="374"/>
      <c r="G966" s="375"/>
      <c r="H966" s="397"/>
      <c r="I966" s="377"/>
      <c r="J966" s="378"/>
      <c r="K966" s="379"/>
      <c r="L966" s="387"/>
      <c r="M966" s="380" t="str">
        <f t="array" ref="M966">IF(L966="","",(MAX(IF(AN$15:AN$144=B966,AO$15:AO$144))/60))</f>
        <v/>
      </c>
      <c r="N966" s="387"/>
      <c r="O966" s="387"/>
      <c r="P966" s="381" t="str">
        <f t="shared" si="57"/>
        <v/>
      </c>
      <c r="Q966" s="382" t="str">
        <f t="array" ref="Q966">IFERROR(INDEX($D$13:$D$1000,MATCH(0,COUNTIF($Q$13:Q965,$D$13:$D$1000&amp;"")+IF($D$13:$D$1000="",1,0),0)),"")</f>
        <v/>
      </c>
      <c r="R966" s="356" t="str">
        <f t="shared" si="58"/>
        <v/>
      </c>
      <c r="S966" s="383" t="str">
        <f t="shared" si="60"/>
        <v/>
      </c>
      <c r="T966" s="384" t="str">
        <f t="shared" si="59"/>
        <v/>
      </c>
      <c r="V966" s="385"/>
      <c r="W966" s="385"/>
      <c r="X966" s="386"/>
    </row>
    <row r="967" spans="2:24">
      <c r="B967" s="395"/>
      <c r="C967" s="371"/>
      <c r="D967" s="372" t="str">
        <f>IFERROR(INDEX('[12]Equipment List'!$B$2:$B$2038,MATCH(E967,'[12]Equipment List'!$A$2:$A$2038,0)),"")</f>
        <v/>
      </c>
      <c r="E967" s="388"/>
      <c r="F967" s="374"/>
      <c r="G967" s="375"/>
      <c r="H967" s="397"/>
      <c r="I967" s="377"/>
      <c r="J967" s="378"/>
      <c r="K967" s="379"/>
      <c r="L967" s="387"/>
      <c r="M967" s="380" t="str">
        <f t="array" ref="M967">IF(L967="","",(MAX(IF(AN$15:AN$144=B967,AO$15:AO$144))/60))</f>
        <v/>
      </c>
      <c r="N967" s="387"/>
      <c r="O967" s="387"/>
      <c r="P967" s="381" t="str">
        <f t="shared" si="57"/>
        <v/>
      </c>
      <c r="Q967" s="382" t="str">
        <f t="array" ref="Q967">IFERROR(INDEX($D$13:$D$1000,MATCH(0,COUNTIF($Q$13:Q966,$D$13:$D$1000&amp;"")+IF($D$13:$D$1000="",1,0),0)),"")</f>
        <v/>
      </c>
      <c r="R967" s="356" t="str">
        <f t="shared" si="58"/>
        <v/>
      </c>
      <c r="S967" s="383" t="str">
        <f t="shared" si="60"/>
        <v/>
      </c>
      <c r="T967" s="384" t="str">
        <f t="shared" si="59"/>
        <v/>
      </c>
      <c r="V967" s="385"/>
      <c r="W967" s="385"/>
      <c r="X967" s="386"/>
    </row>
    <row r="968" spans="2:24">
      <c r="B968" s="395"/>
      <c r="C968" s="371"/>
      <c r="D968" s="372" t="str">
        <f>IFERROR(INDEX('[12]Equipment List'!$B$2:$B$2038,MATCH(E968,'[12]Equipment List'!$A$2:$A$2038,0)),"")</f>
        <v/>
      </c>
      <c r="E968" s="388"/>
      <c r="F968" s="374"/>
      <c r="G968" s="375"/>
      <c r="H968" s="397"/>
      <c r="I968" s="377"/>
      <c r="J968" s="378"/>
      <c r="K968" s="379"/>
      <c r="L968" s="387"/>
      <c r="M968" s="380" t="str">
        <f t="array" ref="M968">IF(L968="","",(MAX(IF(AN$15:AN$144=B968,AO$15:AO$144))/60))</f>
        <v/>
      </c>
      <c r="N968" s="387"/>
      <c r="O968" s="387"/>
      <c r="P968" s="381" t="str">
        <f t="shared" si="57"/>
        <v/>
      </c>
      <c r="Q968" s="382" t="str">
        <f t="array" ref="Q968">IFERROR(INDEX($D$13:$D$1000,MATCH(0,COUNTIF($Q$13:Q967,$D$13:$D$1000&amp;"")+IF($D$13:$D$1000="",1,0),0)),"")</f>
        <v/>
      </c>
      <c r="R968" s="356" t="str">
        <f t="shared" si="58"/>
        <v/>
      </c>
      <c r="S968" s="383" t="str">
        <f t="shared" si="60"/>
        <v/>
      </c>
      <c r="T968" s="384" t="str">
        <f t="shared" si="59"/>
        <v/>
      </c>
      <c r="V968" s="385"/>
      <c r="W968" s="385"/>
      <c r="X968" s="386"/>
    </row>
    <row r="969" spans="2:24">
      <c r="B969" s="395"/>
      <c r="C969" s="371"/>
      <c r="D969" s="372" t="str">
        <f>IFERROR(INDEX('[12]Equipment List'!$B$2:$B$2038,MATCH(E969,'[12]Equipment List'!$A$2:$A$2038,0)),"")</f>
        <v/>
      </c>
      <c r="E969" s="388"/>
      <c r="F969" s="374"/>
      <c r="G969" s="375"/>
      <c r="H969" s="397"/>
      <c r="I969" s="377"/>
      <c r="J969" s="378"/>
      <c r="K969" s="379"/>
      <c r="L969" s="387"/>
      <c r="M969" s="380" t="str">
        <f t="array" ref="M969">IF(L969="","",(MAX(IF(AN$15:AN$144=B969,AO$15:AO$144))/60))</f>
        <v/>
      </c>
      <c r="N969" s="387"/>
      <c r="O969" s="387"/>
      <c r="P969" s="381" t="str">
        <f t="shared" si="57"/>
        <v/>
      </c>
      <c r="Q969" s="382" t="str">
        <f t="array" ref="Q969">IFERROR(INDEX($D$13:$D$1000,MATCH(0,COUNTIF($Q$13:Q968,$D$13:$D$1000&amp;"")+IF($D$13:$D$1000="",1,0),0)),"")</f>
        <v/>
      </c>
      <c r="R969" s="356" t="str">
        <f t="shared" si="58"/>
        <v/>
      </c>
      <c r="S969" s="383" t="str">
        <f t="shared" si="60"/>
        <v/>
      </c>
      <c r="T969" s="384" t="str">
        <f t="shared" si="59"/>
        <v/>
      </c>
      <c r="V969" s="385"/>
      <c r="W969" s="385"/>
      <c r="X969" s="386"/>
    </row>
    <row r="970" spans="2:24">
      <c r="B970" s="395"/>
      <c r="C970" s="371"/>
      <c r="D970" s="372" t="str">
        <f>IFERROR(INDEX('[12]Equipment List'!$B$2:$B$2038,MATCH(E970,'[12]Equipment List'!$A$2:$A$2038,0)),"")</f>
        <v/>
      </c>
      <c r="E970" s="388"/>
      <c r="F970" s="374"/>
      <c r="G970" s="375"/>
      <c r="H970" s="397"/>
      <c r="I970" s="377"/>
      <c r="J970" s="378"/>
      <c r="K970" s="379"/>
      <c r="L970" s="387"/>
      <c r="M970" s="380" t="str">
        <f t="array" ref="M970">IF(L970="","",(MAX(IF(AN$15:AN$144=B970,AO$15:AO$144))/60))</f>
        <v/>
      </c>
      <c r="N970" s="387"/>
      <c r="O970" s="387"/>
      <c r="P970" s="381" t="str">
        <f t="shared" si="57"/>
        <v/>
      </c>
      <c r="Q970" s="382" t="str">
        <f t="array" ref="Q970">IFERROR(INDEX($D$13:$D$1000,MATCH(0,COUNTIF($Q$13:Q969,$D$13:$D$1000&amp;"")+IF($D$13:$D$1000="",1,0),0)),"")</f>
        <v/>
      </c>
      <c r="R970" s="356" t="str">
        <f t="shared" si="58"/>
        <v/>
      </c>
      <c r="S970" s="383" t="str">
        <f t="shared" si="60"/>
        <v/>
      </c>
      <c r="T970" s="384" t="str">
        <f t="shared" si="59"/>
        <v/>
      </c>
      <c r="V970" s="385"/>
      <c r="W970" s="385"/>
      <c r="X970" s="386"/>
    </row>
    <row r="971" spans="2:24">
      <c r="B971" s="395"/>
      <c r="C971" s="371"/>
      <c r="D971" s="372" t="str">
        <f>IFERROR(INDEX('[12]Equipment List'!$B$2:$B$2038,MATCH(E971,'[12]Equipment List'!$A$2:$A$2038,0)),"")</f>
        <v/>
      </c>
      <c r="E971" s="388"/>
      <c r="F971" s="374"/>
      <c r="G971" s="375"/>
      <c r="H971" s="397"/>
      <c r="I971" s="377"/>
      <c r="J971" s="378"/>
      <c r="K971" s="379"/>
      <c r="L971" s="387"/>
      <c r="M971" s="380" t="str">
        <f t="array" ref="M971">IF(L971="","",(MAX(IF(AN$15:AN$144=B971,AO$15:AO$144))/60))</f>
        <v/>
      </c>
      <c r="N971" s="387"/>
      <c r="O971" s="387"/>
      <c r="P971" s="381" t="str">
        <f t="shared" si="57"/>
        <v/>
      </c>
      <c r="Q971" s="382" t="str">
        <f t="array" ref="Q971">IFERROR(INDEX($D$13:$D$1000,MATCH(0,COUNTIF($Q$13:Q970,$D$13:$D$1000&amp;"")+IF($D$13:$D$1000="",1,0),0)),"")</f>
        <v/>
      </c>
      <c r="R971" s="356" t="str">
        <f t="shared" si="58"/>
        <v/>
      </c>
      <c r="S971" s="383" t="str">
        <f t="shared" si="60"/>
        <v/>
      </c>
      <c r="T971" s="384" t="str">
        <f t="shared" si="59"/>
        <v/>
      </c>
      <c r="V971" s="385"/>
      <c r="W971" s="385"/>
      <c r="X971" s="386"/>
    </row>
    <row r="972" spans="2:24">
      <c r="B972" s="395"/>
      <c r="C972" s="371"/>
      <c r="D972" s="372" t="str">
        <f>IFERROR(INDEX('[12]Equipment List'!$B$2:$B$2038,MATCH(E972,'[12]Equipment List'!$A$2:$A$2038,0)),"")</f>
        <v/>
      </c>
      <c r="E972" s="388"/>
      <c r="F972" s="374"/>
      <c r="G972" s="375"/>
      <c r="H972" s="397"/>
      <c r="I972" s="377"/>
      <c r="J972" s="378"/>
      <c r="K972" s="379"/>
      <c r="L972" s="387"/>
      <c r="M972" s="380" t="str">
        <f t="array" ref="M972">IF(L972="","",(MAX(IF(AN$15:AN$144=B972,AO$15:AO$144))/60))</f>
        <v/>
      </c>
      <c r="N972" s="387"/>
      <c r="O972" s="387"/>
      <c r="P972" s="381" t="str">
        <f t="shared" ref="P972:P1000" si="61">IFERROR((((K972/5/250/$F$8)+(N972*$F$9))/$S$4)*(M972/60),"")</f>
        <v/>
      </c>
      <c r="Q972" s="382" t="str">
        <f t="array" ref="Q972">IFERROR(INDEX($D$13:$D$1000,MATCH(0,COUNTIF($Q$13:Q971,$D$13:$D$1000&amp;"")+IF($D$13:$D$1000="",1,0),0)),"")</f>
        <v/>
      </c>
      <c r="R972" s="356" t="str">
        <f t="shared" si="58"/>
        <v/>
      </c>
      <c r="S972" s="383" t="str">
        <f t="shared" si="60"/>
        <v/>
      </c>
      <c r="T972" s="384" t="str">
        <f t="shared" si="59"/>
        <v/>
      </c>
      <c r="V972" s="385"/>
      <c r="W972" s="385"/>
      <c r="X972" s="386"/>
    </row>
    <row r="973" spans="2:24">
      <c r="B973" s="395"/>
      <c r="C973" s="371"/>
      <c r="D973" s="372" t="str">
        <f>IFERROR(INDEX('[12]Equipment List'!$B$2:$B$2038,MATCH(E973,'[12]Equipment List'!$A$2:$A$2038,0)),"")</f>
        <v/>
      </c>
      <c r="E973" s="388"/>
      <c r="F973" s="374"/>
      <c r="G973" s="375"/>
      <c r="H973" s="397"/>
      <c r="I973" s="377"/>
      <c r="J973" s="378"/>
      <c r="K973" s="379"/>
      <c r="L973" s="387"/>
      <c r="M973" s="380" t="str">
        <f t="array" ref="M973">IF(L973="","",(MAX(IF(AN$15:AN$144=B973,AO$15:AO$144))/60))</f>
        <v/>
      </c>
      <c r="N973" s="387"/>
      <c r="O973" s="387"/>
      <c r="P973" s="381" t="str">
        <f t="shared" si="61"/>
        <v/>
      </c>
      <c r="Q973" s="382" t="str">
        <f t="array" ref="Q973">IFERROR(INDEX($D$13:$D$1000,MATCH(0,COUNTIF($Q$13:Q972,$D$13:$D$1000&amp;"")+IF($D$13:$D$1000="",1,0),0)),"")</f>
        <v/>
      </c>
      <c r="R973" s="356" t="str">
        <f t="shared" ref="R973:R1000" si="62">IF(Q973="","",COUNTIF($D$13:$D$1000,$Q973))</f>
        <v/>
      </c>
      <c r="S973" s="383" t="str">
        <f t="shared" si="60"/>
        <v/>
      </c>
      <c r="T973" s="384" t="str">
        <f t="shared" ref="T973:T1000" si="63">IF($Q973="","",SUMIF($D$13:$D$1000,$Q973,N$13:N$1000))</f>
        <v/>
      </c>
      <c r="V973" s="385"/>
      <c r="W973" s="385"/>
      <c r="X973" s="386"/>
    </row>
    <row r="974" spans="2:24">
      <c r="B974" s="395"/>
      <c r="C974" s="371"/>
      <c r="D974" s="372" t="str">
        <f>IFERROR(INDEX('[12]Equipment List'!$B$2:$B$2038,MATCH(E974,'[12]Equipment List'!$A$2:$A$2038,0)),"")</f>
        <v/>
      </c>
      <c r="E974" s="388"/>
      <c r="F974" s="374"/>
      <c r="G974" s="375"/>
      <c r="H974" s="397"/>
      <c r="I974" s="377"/>
      <c r="J974" s="378"/>
      <c r="K974" s="379"/>
      <c r="L974" s="387"/>
      <c r="M974" s="380" t="str">
        <f t="array" ref="M974">IF(L974="","",(MAX(IF(AN$15:AN$144=B974,AO$15:AO$144))/60))</f>
        <v/>
      </c>
      <c r="N974" s="387"/>
      <c r="O974" s="387"/>
      <c r="P974" s="381" t="str">
        <f t="shared" si="61"/>
        <v/>
      </c>
      <c r="Q974" s="382" t="str">
        <f t="array" ref="Q974">IFERROR(INDEX($D$13:$D$1000,MATCH(0,COUNTIF($Q$13:Q973,$D$13:$D$1000&amp;"")+IF($D$13:$D$1000="",1,0),0)),"")</f>
        <v/>
      </c>
      <c r="R974" s="356" t="str">
        <f t="shared" si="62"/>
        <v/>
      </c>
      <c r="S974" s="383" t="str">
        <f t="shared" si="60"/>
        <v/>
      </c>
      <c r="T974" s="384" t="str">
        <f t="shared" si="63"/>
        <v/>
      </c>
      <c r="V974" s="385"/>
      <c r="W974" s="385"/>
      <c r="X974" s="386"/>
    </row>
    <row r="975" spans="2:24">
      <c r="B975" s="395"/>
      <c r="C975" s="371"/>
      <c r="D975" s="372" t="str">
        <f>IFERROR(INDEX('[12]Equipment List'!$B$2:$B$2038,MATCH(E975,'[12]Equipment List'!$A$2:$A$2038,0)),"")</f>
        <v/>
      </c>
      <c r="E975" s="388"/>
      <c r="F975" s="374"/>
      <c r="G975" s="375"/>
      <c r="H975" s="397"/>
      <c r="I975" s="377"/>
      <c r="J975" s="378"/>
      <c r="K975" s="379"/>
      <c r="L975" s="387"/>
      <c r="M975" s="380" t="str">
        <f t="array" ref="M975">IF(L975="","",(MAX(IF(AN$15:AN$144=B975,AO$15:AO$144))/60))</f>
        <v/>
      </c>
      <c r="N975" s="387"/>
      <c r="O975" s="387"/>
      <c r="P975" s="381" t="str">
        <f t="shared" si="61"/>
        <v/>
      </c>
      <c r="Q975" s="382" t="str">
        <f t="array" ref="Q975">IFERROR(INDEX($D$13:$D$1000,MATCH(0,COUNTIF($Q$13:Q974,$D$13:$D$1000&amp;"")+IF($D$13:$D$1000="",1,0),0)),"")</f>
        <v/>
      </c>
      <c r="R975" s="356" t="str">
        <f t="shared" si="62"/>
        <v/>
      </c>
      <c r="S975" s="383" t="str">
        <f t="shared" si="60"/>
        <v/>
      </c>
      <c r="T975" s="384" t="str">
        <f t="shared" si="63"/>
        <v/>
      </c>
      <c r="V975" s="385"/>
      <c r="W975" s="385"/>
      <c r="X975" s="386"/>
    </row>
    <row r="976" spans="2:24">
      <c r="B976" s="395"/>
      <c r="C976" s="371"/>
      <c r="D976" s="372" t="str">
        <f>IFERROR(INDEX('[12]Equipment List'!$B$2:$B$2038,MATCH(E976,'[12]Equipment List'!$A$2:$A$2038,0)),"")</f>
        <v/>
      </c>
      <c r="E976" s="388"/>
      <c r="F976" s="374"/>
      <c r="G976" s="375"/>
      <c r="H976" s="397"/>
      <c r="I976" s="377"/>
      <c r="J976" s="378"/>
      <c r="K976" s="379"/>
      <c r="L976" s="387"/>
      <c r="M976" s="380" t="str">
        <f t="array" ref="M976">IF(L976="","",(MAX(IF(AN$15:AN$144=B976,AO$15:AO$144))/60))</f>
        <v/>
      </c>
      <c r="N976" s="387"/>
      <c r="O976" s="387"/>
      <c r="P976" s="381" t="str">
        <f t="shared" si="61"/>
        <v/>
      </c>
      <c r="Q976" s="382" t="str">
        <f t="array" ref="Q976">IFERROR(INDEX($D$13:$D$1000,MATCH(0,COUNTIF($Q$13:Q975,$D$13:$D$1000&amp;"")+IF($D$13:$D$1000="",1,0),0)),"")</f>
        <v/>
      </c>
      <c r="R976" s="356" t="str">
        <f t="shared" si="62"/>
        <v/>
      </c>
      <c r="S976" s="383" t="str">
        <f t="shared" si="60"/>
        <v/>
      </c>
      <c r="T976" s="384" t="str">
        <f t="shared" si="63"/>
        <v/>
      </c>
      <c r="V976" s="385"/>
      <c r="W976" s="385"/>
      <c r="X976" s="386"/>
    </row>
    <row r="977" spans="2:24">
      <c r="B977" s="395"/>
      <c r="C977" s="371"/>
      <c r="D977" s="372" t="str">
        <f>IFERROR(INDEX('[12]Equipment List'!$B$2:$B$2038,MATCH(E977,'[12]Equipment List'!$A$2:$A$2038,0)),"")</f>
        <v/>
      </c>
      <c r="E977" s="388"/>
      <c r="F977" s="374"/>
      <c r="G977" s="375"/>
      <c r="H977" s="397"/>
      <c r="I977" s="377"/>
      <c r="J977" s="378"/>
      <c r="K977" s="379"/>
      <c r="L977" s="387"/>
      <c r="M977" s="380" t="str">
        <f t="array" ref="M977">IF(L977="","",(MAX(IF(AN$15:AN$144=B977,AO$15:AO$144))/60))</f>
        <v/>
      </c>
      <c r="N977" s="387"/>
      <c r="O977" s="387"/>
      <c r="P977" s="381" t="str">
        <f t="shared" si="61"/>
        <v/>
      </c>
      <c r="Q977" s="382" t="str">
        <f t="array" ref="Q977">IFERROR(INDEX($D$13:$D$1000,MATCH(0,COUNTIF($Q$13:Q976,$D$13:$D$1000&amp;"")+IF($D$13:$D$1000="",1,0),0)),"")</f>
        <v/>
      </c>
      <c r="R977" s="356" t="str">
        <f t="shared" si="62"/>
        <v/>
      </c>
      <c r="S977" s="383" t="str">
        <f t="shared" si="60"/>
        <v/>
      </c>
      <c r="T977" s="384" t="str">
        <f t="shared" si="63"/>
        <v/>
      </c>
      <c r="V977" s="385"/>
      <c r="W977" s="385"/>
      <c r="X977" s="386"/>
    </row>
    <row r="978" spans="2:24">
      <c r="B978" s="395"/>
      <c r="C978" s="371"/>
      <c r="D978" s="372" t="str">
        <f>IFERROR(INDEX('[12]Equipment List'!$B$2:$B$2038,MATCH(E978,'[12]Equipment List'!$A$2:$A$2038,0)),"")</f>
        <v/>
      </c>
      <c r="E978" s="388"/>
      <c r="F978" s="374"/>
      <c r="G978" s="375"/>
      <c r="H978" s="397"/>
      <c r="I978" s="377"/>
      <c r="J978" s="378"/>
      <c r="K978" s="379"/>
      <c r="L978" s="387"/>
      <c r="M978" s="380" t="str">
        <f t="array" ref="M978">IF(L978="","",(MAX(IF(AN$15:AN$144=B978,AO$15:AO$144))/60))</f>
        <v/>
      </c>
      <c r="N978" s="387"/>
      <c r="O978" s="387"/>
      <c r="P978" s="381" t="str">
        <f t="shared" si="61"/>
        <v/>
      </c>
      <c r="Q978" s="382" t="str">
        <f t="array" ref="Q978">IFERROR(INDEX($D$13:$D$1000,MATCH(0,COUNTIF($Q$13:Q977,$D$13:$D$1000&amp;"")+IF($D$13:$D$1000="",1,0),0)),"")</f>
        <v/>
      </c>
      <c r="R978" s="356" t="str">
        <f t="shared" si="62"/>
        <v/>
      </c>
      <c r="S978" s="383" t="str">
        <f t="shared" si="60"/>
        <v/>
      </c>
      <c r="T978" s="384" t="str">
        <f t="shared" si="63"/>
        <v/>
      </c>
      <c r="V978" s="385"/>
      <c r="W978" s="385"/>
      <c r="X978" s="386"/>
    </row>
    <row r="979" spans="2:24">
      <c r="B979" s="395"/>
      <c r="C979" s="371"/>
      <c r="D979" s="372" t="str">
        <f>IFERROR(INDEX('[12]Equipment List'!$B$2:$B$2038,MATCH(E979,'[12]Equipment List'!$A$2:$A$2038,0)),"")</f>
        <v/>
      </c>
      <c r="E979" s="388"/>
      <c r="F979" s="374"/>
      <c r="G979" s="375"/>
      <c r="H979" s="397"/>
      <c r="I979" s="377"/>
      <c r="J979" s="378"/>
      <c r="K979" s="379"/>
      <c r="L979" s="387"/>
      <c r="M979" s="380" t="str">
        <f t="array" ref="M979">IF(L979="","",(MAX(IF(AN$15:AN$144=B979,AO$15:AO$144))/60))</f>
        <v/>
      </c>
      <c r="N979" s="387"/>
      <c r="O979" s="387"/>
      <c r="P979" s="381" t="str">
        <f t="shared" si="61"/>
        <v/>
      </c>
      <c r="Q979" s="382" t="str">
        <f t="array" ref="Q979">IFERROR(INDEX($D$13:$D$1000,MATCH(0,COUNTIF($Q$13:Q978,$D$13:$D$1000&amp;"")+IF($D$13:$D$1000="",1,0),0)),"")</f>
        <v/>
      </c>
      <c r="R979" s="356" t="str">
        <f t="shared" si="62"/>
        <v/>
      </c>
      <c r="S979" s="383" t="str">
        <f t="shared" si="60"/>
        <v/>
      </c>
      <c r="T979" s="384" t="str">
        <f t="shared" si="63"/>
        <v/>
      </c>
      <c r="V979" s="385"/>
      <c r="W979" s="385"/>
      <c r="X979" s="386"/>
    </row>
    <row r="980" spans="2:24">
      <c r="B980" s="395"/>
      <c r="C980" s="371"/>
      <c r="D980" s="372" t="str">
        <f>IFERROR(INDEX('[12]Equipment List'!$B$2:$B$2038,MATCH(E980,'[12]Equipment List'!$A$2:$A$2038,0)),"")</f>
        <v/>
      </c>
      <c r="E980" s="388"/>
      <c r="F980" s="374"/>
      <c r="G980" s="375"/>
      <c r="H980" s="397"/>
      <c r="I980" s="377"/>
      <c r="J980" s="378"/>
      <c r="K980" s="379"/>
      <c r="L980" s="387"/>
      <c r="M980" s="380" t="str">
        <f t="array" ref="M980">IF(L980="","",(MAX(IF(AN$15:AN$144=B980,AO$15:AO$144))/60))</f>
        <v/>
      </c>
      <c r="N980" s="387"/>
      <c r="O980" s="387"/>
      <c r="P980" s="381" t="str">
        <f t="shared" si="61"/>
        <v/>
      </c>
      <c r="Q980" s="382" t="str">
        <f t="array" ref="Q980">IFERROR(INDEX($D$13:$D$1000,MATCH(0,COUNTIF($Q$13:Q979,$D$13:$D$1000&amp;"")+IF($D$13:$D$1000="",1,0),0)),"")</f>
        <v/>
      </c>
      <c r="R980" s="356" t="str">
        <f t="shared" si="62"/>
        <v/>
      </c>
      <c r="S980" s="383" t="str">
        <f t="shared" si="60"/>
        <v/>
      </c>
      <c r="T980" s="384" t="str">
        <f t="shared" si="63"/>
        <v/>
      </c>
      <c r="V980" s="385"/>
      <c r="W980" s="385"/>
      <c r="X980" s="386"/>
    </row>
    <row r="981" spans="2:24">
      <c r="B981" s="395"/>
      <c r="C981" s="371"/>
      <c r="D981" s="372" t="str">
        <f>IFERROR(INDEX('[12]Equipment List'!$B$2:$B$2038,MATCH(E981,'[12]Equipment List'!$A$2:$A$2038,0)),"")</f>
        <v/>
      </c>
      <c r="E981" s="388"/>
      <c r="F981" s="374"/>
      <c r="G981" s="375"/>
      <c r="H981" s="397"/>
      <c r="I981" s="377"/>
      <c r="J981" s="378"/>
      <c r="K981" s="379"/>
      <c r="L981" s="387"/>
      <c r="M981" s="380" t="str">
        <f t="array" ref="M981">IF(L981="","",(MAX(IF(AN$15:AN$144=B981,AO$15:AO$144))/60))</f>
        <v/>
      </c>
      <c r="N981" s="387"/>
      <c r="O981" s="387"/>
      <c r="P981" s="381" t="str">
        <f t="shared" si="61"/>
        <v/>
      </c>
      <c r="Q981" s="382" t="str">
        <f t="array" ref="Q981">IFERROR(INDEX($D$13:$D$1000,MATCH(0,COUNTIF($Q$13:Q980,$D$13:$D$1000&amp;"")+IF($D$13:$D$1000="",1,0),0)),"")</f>
        <v/>
      </c>
      <c r="R981" s="356" t="str">
        <f t="shared" si="62"/>
        <v/>
      </c>
      <c r="S981" s="383" t="str">
        <f t="shared" si="60"/>
        <v/>
      </c>
      <c r="T981" s="384" t="str">
        <f t="shared" si="63"/>
        <v/>
      </c>
      <c r="V981" s="385"/>
      <c r="W981" s="385"/>
      <c r="X981" s="386"/>
    </row>
    <row r="982" spans="2:24">
      <c r="B982" s="395"/>
      <c r="C982" s="371"/>
      <c r="D982" s="372" t="str">
        <f>IFERROR(INDEX('[12]Equipment List'!$B$2:$B$2038,MATCH(E982,'[12]Equipment List'!$A$2:$A$2038,0)),"")</f>
        <v/>
      </c>
      <c r="E982" s="388"/>
      <c r="F982" s="374"/>
      <c r="G982" s="375"/>
      <c r="H982" s="397"/>
      <c r="I982" s="377"/>
      <c r="J982" s="378"/>
      <c r="K982" s="379"/>
      <c r="L982" s="387"/>
      <c r="M982" s="380" t="str">
        <f t="array" ref="M982">IF(L982="","",(MAX(IF(AN$15:AN$144=B982,AO$15:AO$144))/60))</f>
        <v/>
      </c>
      <c r="N982" s="387"/>
      <c r="O982" s="387"/>
      <c r="P982" s="381" t="str">
        <f t="shared" si="61"/>
        <v/>
      </c>
      <c r="Q982" s="382" t="str">
        <f t="array" ref="Q982">IFERROR(INDEX($D$13:$D$1000,MATCH(0,COUNTIF($Q$13:Q981,$D$13:$D$1000&amp;"")+IF($D$13:$D$1000="",1,0),0)),"")</f>
        <v/>
      </c>
      <c r="R982" s="356" t="str">
        <f t="shared" si="62"/>
        <v/>
      </c>
      <c r="S982" s="383" t="str">
        <f t="shared" si="60"/>
        <v/>
      </c>
      <c r="T982" s="384" t="str">
        <f t="shared" si="63"/>
        <v/>
      </c>
      <c r="V982" s="385"/>
      <c r="W982" s="385"/>
      <c r="X982" s="386"/>
    </row>
    <row r="983" spans="2:24">
      <c r="B983" s="395"/>
      <c r="C983" s="371"/>
      <c r="D983" s="372" t="str">
        <f>IFERROR(INDEX('[12]Equipment List'!$B$2:$B$2038,MATCH(E983,'[12]Equipment List'!$A$2:$A$2038,0)),"")</f>
        <v/>
      </c>
      <c r="E983" s="388"/>
      <c r="F983" s="374"/>
      <c r="G983" s="375"/>
      <c r="H983" s="397"/>
      <c r="I983" s="377"/>
      <c r="J983" s="378"/>
      <c r="K983" s="379"/>
      <c r="L983" s="387"/>
      <c r="M983" s="380" t="str">
        <f t="array" ref="M983">IF(L983="","",(MAX(IF(AN$15:AN$144=B983,AO$15:AO$144))/60))</f>
        <v/>
      </c>
      <c r="N983" s="387"/>
      <c r="O983" s="387"/>
      <c r="P983" s="381" t="str">
        <f t="shared" si="61"/>
        <v/>
      </c>
      <c r="Q983" s="382" t="str">
        <f t="array" ref="Q983">IFERROR(INDEX($D$13:$D$1000,MATCH(0,COUNTIF($Q$13:Q982,$D$13:$D$1000&amp;"")+IF($D$13:$D$1000="",1,0),0)),"")</f>
        <v/>
      </c>
      <c r="R983" s="356" t="str">
        <f t="shared" si="62"/>
        <v/>
      </c>
      <c r="S983" s="383" t="str">
        <f t="shared" si="60"/>
        <v/>
      </c>
      <c r="T983" s="384" t="str">
        <f t="shared" si="63"/>
        <v/>
      </c>
      <c r="V983" s="385"/>
      <c r="W983" s="385"/>
      <c r="X983" s="386"/>
    </row>
    <row r="984" spans="2:24">
      <c r="B984" s="395"/>
      <c r="C984" s="371"/>
      <c r="D984" s="372" t="str">
        <f>IFERROR(INDEX('[12]Equipment List'!$B$2:$B$2038,MATCH(E984,'[12]Equipment List'!$A$2:$A$2038,0)),"")</f>
        <v/>
      </c>
      <c r="E984" s="388"/>
      <c r="F984" s="374"/>
      <c r="G984" s="375"/>
      <c r="H984" s="397"/>
      <c r="I984" s="377"/>
      <c r="J984" s="378"/>
      <c r="K984" s="379"/>
      <c r="L984" s="387"/>
      <c r="M984" s="380" t="str">
        <f t="array" ref="M984">IF(L984="","",(MAX(IF(AN$15:AN$144=B984,AO$15:AO$144))/60))</f>
        <v/>
      </c>
      <c r="N984" s="387"/>
      <c r="O984" s="387"/>
      <c r="P984" s="381" t="str">
        <f t="shared" si="61"/>
        <v/>
      </c>
      <c r="Q984" s="382" t="str">
        <f t="array" ref="Q984">IFERROR(INDEX($D$13:$D$1000,MATCH(0,COUNTIF($Q$13:Q983,$D$13:$D$1000&amp;"")+IF($D$13:$D$1000="",1,0),0)),"")</f>
        <v/>
      </c>
      <c r="R984" s="356" t="str">
        <f t="shared" si="62"/>
        <v/>
      </c>
      <c r="S984" s="383" t="str">
        <f t="shared" si="60"/>
        <v/>
      </c>
      <c r="T984" s="384" t="str">
        <f t="shared" si="63"/>
        <v/>
      </c>
      <c r="V984" s="385"/>
      <c r="W984" s="385"/>
      <c r="X984" s="386"/>
    </row>
    <row r="985" spans="2:24">
      <c r="B985" s="395"/>
      <c r="C985" s="371"/>
      <c r="D985" s="372" t="str">
        <f>IFERROR(INDEX('[12]Equipment List'!$B$2:$B$2038,MATCH(E985,'[12]Equipment List'!$A$2:$A$2038,0)),"")</f>
        <v/>
      </c>
      <c r="E985" s="388"/>
      <c r="F985" s="374"/>
      <c r="G985" s="375"/>
      <c r="H985" s="397"/>
      <c r="I985" s="377"/>
      <c r="J985" s="378"/>
      <c r="K985" s="379"/>
      <c r="L985" s="387"/>
      <c r="M985" s="380" t="str">
        <f t="array" ref="M985">IF(L985="","",(MAX(IF(AN$15:AN$144=B985,AO$15:AO$144))/60))</f>
        <v/>
      </c>
      <c r="N985" s="387"/>
      <c r="O985" s="387"/>
      <c r="P985" s="381" t="str">
        <f t="shared" si="61"/>
        <v/>
      </c>
      <c r="Q985" s="382" t="str">
        <f t="array" ref="Q985">IFERROR(INDEX($D$13:$D$1000,MATCH(0,COUNTIF($Q$13:Q984,$D$13:$D$1000&amp;"")+IF($D$13:$D$1000="",1,0),0)),"")</f>
        <v/>
      </c>
      <c r="R985" s="356" t="str">
        <f t="shared" si="62"/>
        <v/>
      </c>
      <c r="S985" s="383" t="str">
        <f t="shared" si="60"/>
        <v/>
      </c>
      <c r="T985" s="384" t="str">
        <f t="shared" si="63"/>
        <v/>
      </c>
      <c r="V985" s="385"/>
      <c r="W985" s="385"/>
      <c r="X985" s="386"/>
    </row>
    <row r="986" spans="2:24">
      <c r="B986" s="395"/>
      <c r="C986" s="371"/>
      <c r="D986" s="372" t="str">
        <f>IFERROR(INDEX('[12]Equipment List'!$B$2:$B$2038,MATCH(E986,'[12]Equipment List'!$A$2:$A$2038,0)),"")</f>
        <v/>
      </c>
      <c r="E986" s="388"/>
      <c r="F986" s="374"/>
      <c r="G986" s="375"/>
      <c r="H986" s="397"/>
      <c r="I986" s="377"/>
      <c r="J986" s="378"/>
      <c r="K986" s="379"/>
      <c r="L986" s="387"/>
      <c r="M986" s="380" t="str">
        <f t="array" ref="M986">IF(L986="","",(MAX(IF(AN$15:AN$144=B986,AO$15:AO$144))/60))</f>
        <v/>
      </c>
      <c r="N986" s="387"/>
      <c r="O986" s="387"/>
      <c r="P986" s="381" t="str">
        <f t="shared" si="61"/>
        <v/>
      </c>
      <c r="Q986" s="382" t="str">
        <f t="array" ref="Q986">IFERROR(INDEX($D$13:$D$1000,MATCH(0,COUNTIF($Q$13:Q985,$D$13:$D$1000&amp;"")+IF($D$13:$D$1000="",1,0),0)),"")</f>
        <v/>
      </c>
      <c r="R986" s="356" t="str">
        <f t="shared" si="62"/>
        <v/>
      </c>
      <c r="S986" s="383" t="str">
        <f t="shared" si="60"/>
        <v/>
      </c>
      <c r="T986" s="384" t="str">
        <f t="shared" si="63"/>
        <v/>
      </c>
      <c r="V986" s="385"/>
      <c r="W986" s="385"/>
      <c r="X986" s="386"/>
    </row>
    <row r="987" spans="2:24">
      <c r="B987" s="395"/>
      <c r="C987" s="371"/>
      <c r="D987" s="372" t="str">
        <f>IFERROR(INDEX('[12]Equipment List'!$B$2:$B$2038,MATCH(E987,'[12]Equipment List'!$A$2:$A$2038,0)),"")</f>
        <v/>
      </c>
      <c r="E987" s="388"/>
      <c r="F987" s="374"/>
      <c r="G987" s="375"/>
      <c r="H987" s="397"/>
      <c r="I987" s="377"/>
      <c r="J987" s="378"/>
      <c r="K987" s="379"/>
      <c r="L987" s="387"/>
      <c r="M987" s="380" t="str">
        <f t="array" ref="M987">IF(L987="","",(MAX(IF(AN$15:AN$144=B987,AO$15:AO$144))/60))</f>
        <v/>
      </c>
      <c r="N987" s="387"/>
      <c r="O987" s="387"/>
      <c r="P987" s="381" t="str">
        <f t="shared" si="61"/>
        <v/>
      </c>
      <c r="Q987" s="382" t="str">
        <f t="array" ref="Q987">IFERROR(INDEX($D$13:$D$1000,MATCH(0,COUNTIF($Q$13:Q986,$D$13:$D$1000&amp;"")+IF($D$13:$D$1000="",1,0),0)),"")</f>
        <v/>
      </c>
      <c r="R987" s="356" t="str">
        <f t="shared" si="62"/>
        <v/>
      </c>
      <c r="S987" s="383" t="str">
        <f t="shared" si="60"/>
        <v/>
      </c>
      <c r="T987" s="384" t="str">
        <f t="shared" si="63"/>
        <v/>
      </c>
      <c r="V987" s="385"/>
      <c r="W987" s="385"/>
      <c r="X987" s="386"/>
    </row>
    <row r="988" spans="2:24">
      <c r="B988" s="395"/>
      <c r="C988" s="371"/>
      <c r="D988" s="372" t="str">
        <f>IFERROR(INDEX('[12]Equipment List'!$B$2:$B$2038,MATCH(E988,'[12]Equipment List'!$A$2:$A$2038,0)),"")</f>
        <v/>
      </c>
      <c r="E988" s="388"/>
      <c r="F988" s="374"/>
      <c r="G988" s="375"/>
      <c r="H988" s="397"/>
      <c r="I988" s="377"/>
      <c r="J988" s="378"/>
      <c r="K988" s="379"/>
      <c r="L988" s="387"/>
      <c r="M988" s="380" t="str">
        <f t="array" ref="M988">IF(L988="","",(MAX(IF(AN$15:AN$144=B988,AO$15:AO$144))/60))</f>
        <v/>
      </c>
      <c r="N988" s="387"/>
      <c r="O988" s="387"/>
      <c r="P988" s="381" t="str">
        <f t="shared" si="61"/>
        <v/>
      </c>
      <c r="Q988" s="382" t="str">
        <f t="array" ref="Q988">IFERROR(INDEX($D$13:$D$1000,MATCH(0,COUNTIF($Q$13:Q987,$D$13:$D$1000&amp;"")+IF($D$13:$D$1000="",1,0),0)),"")</f>
        <v/>
      </c>
      <c r="R988" s="356" t="str">
        <f t="shared" si="62"/>
        <v/>
      </c>
      <c r="S988" s="383" t="str">
        <f t="shared" si="60"/>
        <v/>
      </c>
      <c r="T988" s="384" t="str">
        <f t="shared" si="63"/>
        <v/>
      </c>
      <c r="V988" s="385"/>
      <c r="W988" s="385"/>
      <c r="X988" s="386"/>
    </row>
    <row r="989" spans="2:24">
      <c r="B989" s="395"/>
      <c r="C989" s="371"/>
      <c r="D989" s="372" t="str">
        <f>IFERROR(INDEX('[12]Equipment List'!$B$2:$B$2038,MATCH(E989,'[12]Equipment List'!$A$2:$A$2038,0)),"")</f>
        <v/>
      </c>
      <c r="E989" s="388"/>
      <c r="F989" s="374"/>
      <c r="G989" s="375"/>
      <c r="H989" s="397"/>
      <c r="I989" s="377"/>
      <c r="J989" s="378"/>
      <c r="K989" s="379"/>
      <c r="L989" s="387"/>
      <c r="M989" s="380" t="str">
        <f t="array" ref="M989">IF(L989="","",(MAX(IF(AN$15:AN$144=B989,AO$15:AO$144))/60))</f>
        <v/>
      </c>
      <c r="N989" s="387"/>
      <c r="O989" s="387"/>
      <c r="P989" s="381" t="str">
        <f t="shared" si="61"/>
        <v/>
      </c>
      <c r="Q989" s="382" t="str">
        <f t="array" ref="Q989">IFERROR(INDEX($D$13:$D$1000,MATCH(0,COUNTIF($Q$13:Q988,$D$13:$D$1000&amp;"")+IF($D$13:$D$1000="",1,0),0)),"")</f>
        <v/>
      </c>
      <c r="R989" s="356" t="str">
        <f t="shared" si="62"/>
        <v/>
      </c>
      <c r="S989" s="383" t="str">
        <f t="shared" si="60"/>
        <v/>
      </c>
      <c r="T989" s="384" t="str">
        <f t="shared" si="63"/>
        <v/>
      </c>
      <c r="V989" s="385"/>
      <c r="W989" s="385"/>
      <c r="X989" s="386"/>
    </row>
    <row r="990" spans="2:24">
      <c r="B990" s="395"/>
      <c r="C990" s="371"/>
      <c r="D990" s="372" t="str">
        <f>IFERROR(INDEX('[12]Equipment List'!$B$2:$B$2038,MATCH(E990,'[12]Equipment List'!$A$2:$A$2038,0)),"")</f>
        <v/>
      </c>
      <c r="E990" s="388"/>
      <c r="F990" s="374"/>
      <c r="G990" s="375"/>
      <c r="H990" s="397"/>
      <c r="I990" s="377"/>
      <c r="J990" s="378"/>
      <c r="K990" s="379"/>
      <c r="L990" s="387"/>
      <c r="M990" s="380" t="str">
        <f t="array" ref="M990">IF(L990="","",(MAX(IF(AN$15:AN$144=B990,AO$15:AO$144))/60))</f>
        <v/>
      </c>
      <c r="N990" s="387"/>
      <c r="O990" s="387"/>
      <c r="P990" s="381" t="str">
        <f t="shared" si="61"/>
        <v/>
      </c>
      <c r="Q990" s="382" t="str">
        <f t="array" ref="Q990">IFERROR(INDEX($D$13:$D$1000,MATCH(0,COUNTIF($Q$13:Q989,$D$13:$D$1000&amp;"")+IF($D$13:$D$1000="",1,0),0)),"")</f>
        <v/>
      </c>
      <c r="R990" s="356" t="str">
        <f t="shared" si="62"/>
        <v/>
      </c>
      <c r="S990" s="383" t="str">
        <f t="shared" si="60"/>
        <v/>
      </c>
      <c r="T990" s="384" t="str">
        <f t="shared" si="63"/>
        <v/>
      </c>
      <c r="V990" s="385"/>
      <c r="W990" s="385"/>
      <c r="X990" s="386"/>
    </row>
    <row r="991" spans="2:24">
      <c r="B991" s="395"/>
      <c r="C991" s="371"/>
      <c r="D991" s="372" t="str">
        <f>IFERROR(INDEX('[12]Equipment List'!$B$2:$B$2038,MATCH(E991,'[12]Equipment List'!$A$2:$A$2038,0)),"")</f>
        <v/>
      </c>
      <c r="E991" s="388"/>
      <c r="F991" s="374"/>
      <c r="G991" s="375"/>
      <c r="H991" s="397"/>
      <c r="I991" s="377"/>
      <c r="J991" s="378"/>
      <c r="K991" s="379"/>
      <c r="L991" s="387"/>
      <c r="M991" s="380" t="str">
        <f t="array" ref="M991">IF(L991="","",(MAX(IF(AN$15:AN$144=B991,AO$15:AO$144))/60))</f>
        <v/>
      </c>
      <c r="N991" s="387"/>
      <c r="O991" s="387"/>
      <c r="P991" s="381" t="str">
        <f t="shared" si="61"/>
        <v/>
      </c>
      <c r="Q991" s="382" t="str">
        <f t="array" ref="Q991">IFERROR(INDEX($D$13:$D$1000,MATCH(0,COUNTIF($Q$13:Q990,$D$13:$D$1000&amp;"")+IF($D$13:$D$1000="",1,0),0)),"")</f>
        <v/>
      </c>
      <c r="R991" s="356" t="str">
        <f t="shared" si="62"/>
        <v/>
      </c>
      <c r="S991" s="383" t="str">
        <f t="shared" si="60"/>
        <v/>
      </c>
      <c r="T991" s="384" t="str">
        <f t="shared" si="63"/>
        <v/>
      </c>
      <c r="V991" s="385"/>
      <c r="W991" s="385"/>
      <c r="X991" s="386"/>
    </row>
    <row r="992" spans="2:24">
      <c r="B992" s="395"/>
      <c r="C992" s="371"/>
      <c r="D992" s="372" t="str">
        <f>IFERROR(INDEX('[12]Equipment List'!$B$2:$B$2038,MATCH(E992,'[12]Equipment List'!$A$2:$A$2038,0)),"")</f>
        <v/>
      </c>
      <c r="E992" s="388"/>
      <c r="F992" s="374"/>
      <c r="G992" s="375"/>
      <c r="H992" s="397"/>
      <c r="I992" s="377"/>
      <c r="J992" s="378"/>
      <c r="K992" s="379"/>
      <c r="L992" s="387"/>
      <c r="M992" s="380" t="str">
        <f t="array" ref="M992">IF(L992="","",(MAX(IF(AN$15:AN$144=B992,AO$15:AO$144))/60))</f>
        <v/>
      </c>
      <c r="N992" s="387"/>
      <c r="O992" s="387"/>
      <c r="P992" s="381" t="str">
        <f t="shared" si="61"/>
        <v/>
      </c>
      <c r="Q992" s="382" t="str">
        <f t="array" ref="Q992">IFERROR(INDEX($D$13:$D$1000,MATCH(0,COUNTIF($Q$13:Q991,$D$13:$D$1000&amp;"")+IF($D$13:$D$1000="",1,0),0)),"")</f>
        <v/>
      </c>
      <c r="R992" s="356" t="str">
        <f t="shared" si="62"/>
        <v/>
      </c>
      <c r="S992" s="383" t="str">
        <f t="shared" si="60"/>
        <v/>
      </c>
      <c r="T992" s="384" t="str">
        <f t="shared" si="63"/>
        <v/>
      </c>
      <c r="V992" s="385"/>
      <c r="W992" s="385"/>
      <c r="X992" s="386"/>
    </row>
    <row r="993" spans="2:24">
      <c r="B993" s="395"/>
      <c r="C993" s="371"/>
      <c r="D993" s="372" t="str">
        <f>IFERROR(INDEX('[12]Equipment List'!$B$2:$B$2038,MATCH(E993,'[12]Equipment List'!$A$2:$A$2038,0)),"")</f>
        <v/>
      </c>
      <c r="E993" s="388"/>
      <c r="F993" s="374"/>
      <c r="G993" s="375"/>
      <c r="H993" s="397"/>
      <c r="I993" s="377"/>
      <c r="J993" s="378"/>
      <c r="K993" s="379"/>
      <c r="L993" s="387"/>
      <c r="M993" s="380" t="str">
        <f t="array" ref="M993">IF(L993="","",(MAX(IF(AN$15:AN$144=B993,AO$15:AO$144))/60))</f>
        <v/>
      </c>
      <c r="N993" s="387"/>
      <c r="O993" s="387"/>
      <c r="P993" s="381" t="str">
        <f t="shared" si="61"/>
        <v/>
      </c>
      <c r="Q993" s="382" t="str">
        <f t="array" ref="Q993">IFERROR(INDEX($D$13:$D$1000,MATCH(0,COUNTIF($Q$13:Q992,$D$13:$D$1000&amp;"")+IF($D$13:$D$1000="",1,0),0)),"")</f>
        <v/>
      </c>
      <c r="R993" s="356" t="str">
        <f t="shared" si="62"/>
        <v/>
      </c>
      <c r="S993" s="383" t="str">
        <f t="shared" si="60"/>
        <v/>
      </c>
      <c r="T993" s="384" t="str">
        <f t="shared" si="63"/>
        <v/>
      </c>
      <c r="V993" s="385"/>
      <c r="W993" s="385"/>
      <c r="X993" s="386"/>
    </row>
    <row r="994" spans="2:24">
      <c r="B994" s="395"/>
      <c r="C994" s="371"/>
      <c r="D994" s="372" t="str">
        <f>IFERROR(INDEX('[12]Equipment List'!$B$2:$B$2038,MATCH(E994,'[12]Equipment List'!$A$2:$A$2038,0)),"")</f>
        <v/>
      </c>
      <c r="E994" s="388"/>
      <c r="F994" s="374"/>
      <c r="G994" s="375"/>
      <c r="H994" s="397"/>
      <c r="I994" s="377"/>
      <c r="J994" s="378"/>
      <c r="K994" s="379"/>
      <c r="L994" s="387"/>
      <c r="M994" s="380" t="str">
        <f t="array" ref="M994">IF(L994="","",(MAX(IF(AN$15:AN$144=B994,AO$15:AO$144))/60))</f>
        <v/>
      </c>
      <c r="N994" s="387"/>
      <c r="O994" s="387"/>
      <c r="P994" s="381" t="str">
        <f t="shared" si="61"/>
        <v/>
      </c>
      <c r="Q994" s="382" t="str">
        <f t="array" ref="Q994">IFERROR(INDEX($D$13:$D$1000,MATCH(0,COUNTIF($Q$13:Q993,$D$13:$D$1000&amp;"")+IF($D$13:$D$1000="",1,0),0)),"")</f>
        <v/>
      </c>
      <c r="R994" s="356" t="str">
        <f t="shared" si="62"/>
        <v/>
      </c>
      <c r="S994" s="383" t="str">
        <f t="shared" si="60"/>
        <v/>
      </c>
      <c r="T994" s="384" t="str">
        <f t="shared" si="63"/>
        <v/>
      </c>
      <c r="V994" s="385"/>
      <c r="W994" s="385"/>
      <c r="X994" s="386"/>
    </row>
    <row r="995" spans="2:24">
      <c r="B995" s="395"/>
      <c r="C995" s="371"/>
      <c r="D995" s="372" t="str">
        <f>IFERROR(INDEX('[12]Equipment List'!$B$2:$B$2038,MATCH(E995,'[12]Equipment List'!$A$2:$A$2038,0)),"")</f>
        <v/>
      </c>
      <c r="E995" s="388"/>
      <c r="F995" s="374"/>
      <c r="G995" s="375"/>
      <c r="H995" s="397"/>
      <c r="I995" s="377"/>
      <c r="J995" s="378"/>
      <c r="K995" s="379"/>
      <c r="L995" s="387"/>
      <c r="M995" s="380" t="str">
        <f t="array" ref="M995">IF(L995="","",(MAX(IF(AN$15:AN$144=B995,AO$15:AO$144))/60))</f>
        <v/>
      </c>
      <c r="N995" s="387"/>
      <c r="O995" s="387"/>
      <c r="P995" s="381" t="str">
        <f t="shared" si="61"/>
        <v/>
      </c>
      <c r="Q995" s="382" t="str">
        <f t="array" ref="Q995">IFERROR(INDEX($D$13:$D$1000,MATCH(0,COUNTIF($Q$13:Q994,$D$13:$D$1000&amp;"")+IF($D$13:$D$1000="",1,0),0)),"")</f>
        <v/>
      </c>
      <c r="R995" s="356" t="str">
        <f t="shared" si="62"/>
        <v/>
      </c>
      <c r="S995" s="383" t="str">
        <f t="shared" si="60"/>
        <v/>
      </c>
      <c r="T995" s="384" t="str">
        <f t="shared" si="63"/>
        <v/>
      </c>
      <c r="V995" s="385"/>
      <c r="W995" s="385"/>
      <c r="X995" s="386"/>
    </row>
    <row r="996" spans="2:24">
      <c r="B996" s="395"/>
      <c r="C996" s="371"/>
      <c r="D996" s="372" t="str">
        <f>IFERROR(INDEX('[12]Equipment List'!$B$2:$B$2038,MATCH(E996,'[12]Equipment List'!$A$2:$A$2038,0)),"")</f>
        <v/>
      </c>
      <c r="E996" s="388"/>
      <c r="F996" s="374"/>
      <c r="G996" s="375"/>
      <c r="H996" s="397"/>
      <c r="I996" s="377"/>
      <c r="J996" s="378"/>
      <c r="K996" s="379"/>
      <c r="L996" s="387"/>
      <c r="M996" s="380" t="str">
        <f t="array" ref="M996">IF(L996="","",(MAX(IF(AN$15:AN$144=B996,AO$15:AO$144))/60))</f>
        <v/>
      </c>
      <c r="N996" s="387"/>
      <c r="O996" s="387"/>
      <c r="P996" s="381" t="str">
        <f t="shared" si="61"/>
        <v/>
      </c>
      <c r="Q996" s="382" t="str">
        <f t="array" ref="Q996">IFERROR(INDEX($D$13:$D$1000,MATCH(0,COUNTIF($Q$13:Q995,$D$13:$D$1000&amp;"")+IF($D$13:$D$1000="",1,0),0)),"")</f>
        <v/>
      </c>
      <c r="R996" s="356" t="str">
        <f t="shared" si="62"/>
        <v/>
      </c>
      <c r="S996" s="383" t="str">
        <f t="shared" si="60"/>
        <v/>
      </c>
      <c r="T996" s="384" t="str">
        <f t="shared" si="63"/>
        <v/>
      </c>
      <c r="V996" s="385"/>
      <c r="W996" s="385"/>
      <c r="X996" s="386"/>
    </row>
    <row r="997" spans="2:24">
      <c r="B997" s="395"/>
      <c r="C997" s="371"/>
      <c r="D997" s="372" t="str">
        <f>IFERROR(INDEX('[12]Equipment List'!$B$2:$B$2038,MATCH(E997,'[12]Equipment List'!$A$2:$A$2038,0)),"")</f>
        <v/>
      </c>
      <c r="E997" s="388"/>
      <c r="F997" s="374"/>
      <c r="G997" s="375"/>
      <c r="H997" s="397"/>
      <c r="I997" s="377"/>
      <c r="J997" s="378"/>
      <c r="K997" s="379"/>
      <c r="L997" s="387"/>
      <c r="M997" s="380" t="str">
        <f t="array" ref="M997">IF(L997="","",(MAX(IF(AN$15:AN$144=B997,AO$15:AO$144))/60))</f>
        <v/>
      </c>
      <c r="N997" s="387"/>
      <c r="O997" s="387"/>
      <c r="P997" s="381" t="str">
        <f t="shared" si="61"/>
        <v/>
      </c>
      <c r="Q997" s="382" t="str">
        <f t="array" ref="Q997">IFERROR(INDEX($D$13:$D$1000,MATCH(0,COUNTIF($Q$13:Q996,$D$13:$D$1000&amp;"")+IF($D$13:$D$1000="",1,0),0)),"")</f>
        <v/>
      </c>
      <c r="R997" s="356" t="str">
        <f t="shared" si="62"/>
        <v/>
      </c>
      <c r="S997" s="383" t="str">
        <f t="shared" si="60"/>
        <v/>
      </c>
      <c r="T997" s="384" t="str">
        <f t="shared" si="63"/>
        <v/>
      </c>
      <c r="V997" s="385"/>
      <c r="W997" s="385"/>
      <c r="X997" s="386"/>
    </row>
    <row r="998" spans="2:24">
      <c r="B998" s="395"/>
      <c r="C998" s="371"/>
      <c r="D998" s="372" t="str">
        <f>IFERROR(INDEX('[12]Equipment List'!$B$2:$B$2038,MATCH(E998,'[12]Equipment List'!$A$2:$A$2038,0)),"")</f>
        <v/>
      </c>
      <c r="E998" s="388"/>
      <c r="F998" s="374"/>
      <c r="G998" s="375"/>
      <c r="H998" s="397"/>
      <c r="I998" s="377"/>
      <c r="J998" s="378"/>
      <c r="K998" s="379"/>
      <c r="L998" s="387"/>
      <c r="M998" s="380" t="str">
        <f t="array" ref="M998">IF(L998="","",(MAX(IF(AN$15:AN$144=B998,AO$15:AO$144))/60))</f>
        <v/>
      </c>
      <c r="N998" s="387"/>
      <c r="O998" s="387"/>
      <c r="P998" s="381" t="str">
        <f t="shared" si="61"/>
        <v/>
      </c>
      <c r="Q998" s="382" t="str">
        <f t="array" ref="Q998">IFERROR(INDEX($D$13:$D$1000,MATCH(0,COUNTIF($Q$13:Q997,$D$13:$D$1000&amp;"")+IF($D$13:$D$1000="",1,0),0)),"")</f>
        <v/>
      </c>
      <c r="R998" s="356" t="str">
        <f t="shared" si="62"/>
        <v/>
      </c>
      <c r="S998" s="383" t="str">
        <f t="shared" si="60"/>
        <v/>
      </c>
      <c r="T998" s="384" t="str">
        <f t="shared" si="63"/>
        <v/>
      </c>
      <c r="V998" s="385"/>
      <c r="W998" s="385"/>
      <c r="X998" s="386"/>
    </row>
    <row r="999" spans="2:24">
      <c r="B999" s="395"/>
      <c r="C999" s="371"/>
      <c r="D999" s="372" t="str">
        <f>IFERROR(INDEX('[12]Equipment List'!$B$2:$B$2038,MATCH(E999,'[12]Equipment List'!$A$2:$A$2038,0)),"")</f>
        <v/>
      </c>
      <c r="E999" s="388"/>
      <c r="F999" s="374"/>
      <c r="G999" s="375"/>
      <c r="H999" s="397"/>
      <c r="I999" s="377"/>
      <c r="J999" s="378"/>
      <c r="K999" s="379"/>
      <c r="L999" s="387"/>
      <c r="M999" s="380" t="str">
        <f t="array" ref="M999">IF(L999="","",(MAX(IF(AN$15:AN$144=B999,AO$15:AO$144))/60))</f>
        <v/>
      </c>
      <c r="N999" s="387"/>
      <c r="O999" s="387"/>
      <c r="P999" s="381" t="str">
        <f t="shared" si="61"/>
        <v/>
      </c>
      <c r="Q999" s="382" t="str">
        <f t="array" ref="Q999">IFERROR(INDEX($D$13:$D$1000,MATCH(0,COUNTIF($Q$13:Q998,$D$13:$D$1000&amp;"")+IF($D$13:$D$1000="",1,0),0)),"")</f>
        <v/>
      </c>
      <c r="R999" s="356" t="str">
        <f t="shared" si="62"/>
        <v/>
      </c>
      <c r="S999" s="383" t="str">
        <f t="shared" si="60"/>
        <v/>
      </c>
      <c r="T999" s="384" t="str">
        <f t="shared" si="63"/>
        <v/>
      </c>
      <c r="V999" s="385"/>
      <c r="W999" s="385"/>
      <c r="X999" s="386"/>
    </row>
    <row r="1000" spans="2:24">
      <c r="B1000" s="395"/>
      <c r="C1000" s="371"/>
      <c r="D1000" s="372" t="str">
        <f>IFERROR(INDEX('[12]Equipment List'!$B$2:$B$2038,MATCH(E1000,'[12]Equipment List'!$A$2:$A$2038,0)),"")</f>
        <v/>
      </c>
      <c r="E1000" s="388"/>
      <c r="F1000" s="374"/>
      <c r="G1000" s="375"/>
      <c r="H1000" s="397"/>
      <c r="I1000" s="377"/>
      <c r="J1000" s="378"/>
      <c r="K1000" s="379"/>
      <c r="L1000" s="387"/>
      <c r="M1000" s="380" t="str">
        <f t="array" ref="M1000">IF(L1000="","",(MAX(IF(AN$15:AN$144=B1000,AO$15:AO$144))/60))</f>
        <v/>
      </c>
      <c r="N1000" s="387"/>
      <c r="O1000" s="387"/>
      <c r="P1000" s="381" t="str">
        <f t="shared" si="61"/>
        <v/>
      </c>
      <c r="Q1000" s="382" t="str">
        <f t="array" ref="Q1000">IFERROR(INDEX($D$13:$D$1000,MATCH(0,COUNTIF($Q$13:Q999,$D$13:$D$1000&amp;"")+IF($D$13:$D$1000="",1,0),0)),"")</f>
        <v/>
      </c>
      <c r="R1000" s="356" t="str">
        <f t="shared" si="62"/>
        <v/>
      </c>
      <c r="S1000" s="383" t="str">
        <f t="shared" si="60"/>
        <v/>
      </c>
      <c r="T1000" s="384" t="str">
        <f t="shared" si="63"/>
        <v/>
      </c>
      <c r="V1000" s="385"/>
      <c r="W1000" s="385"/>
      <c r="X1000" s="386"/>
    </row>
    <row r="1001" spans="2:24">
      <c r="F1001" s="399"/>
      <c r="G1001" s="399"/>
    </row>
  </sheetData>
  <mergeCells count="5">
    <mergeCell ref="E3:F3"/>
    <mergeCell ref="H3:K3"/>
    <mergeCell ref="M3:P3"/>
    <mergeCell ref="AH4:AL7"/>
    <mergeCell ref="Y5:Z5"/>
  </mergeCells>
  <phoneticPr fontId="3" type="noConversion"/>
  <conditionalFormatting sqref="E13:E48 E50:E1000">
    <cfRule type="duplicateValues" dxfId="25" priority="14" stopIfTrue="1"/>
  </conditionalFormatting>
  <conditionalFormatting sqref="F4:F9">
    <cfRule type="cellIs" dxfId="24" priority="8" operator="equal">
      <formula>0</formula>
    </cfRule>
  </conditionalFormatting>
  <conditionalFormatting sqref="F7:F8">
    <cfRule type="cellIs" dxfId="23" priority="6" operator="equal">
      <formula>0</formula>
    </cfRule>
    <cfRule type="cellIs" dxfId="22" priority="7" stopIfTrue="1" operator="equal">
      <formula>"="</formula>
    </cfRule>
  </conditionalFormatting>
  <conditionalFormatting sqref="H13:H1000">
    <cfRule type="expression" dxfId="21" priority="11">
      <formula>$G13="Existing Equipment"</formula>
    </cfRule>
  </conditionalFormatting>
  <conditionalFormatting sqref="I4:I5">
    <cfRule type="cellIs" dxfId="20" priority="5" stopIfTrue="1" operator="equal">
      <formula>"="</formula>
    </cfRule>
  </conditionalFormatting>
  <conditionalFormatting sqref="I4:I9">
    <cfRule type="cellIs" dxfId="19" priority="4" operator="equal">
      <formula>0</formula>
    </cfRule>
  </conditionalFormatting>
  <conditionalFormatting sqref="K4:K9">
    <cfRule type="cellIs" dxfId="18" priority="2" operator="equal">
      <formula>0</formula>
    </cfRule>
    <cfRule type="cellIs" dxfId="17" priority="3" stopIfTrue="1" operator="equal">
      <formula>"="</formula>
    </cfRule>
  </conditionalFormatting>
  <conditionalFormatting sqref="L13:L1000">
    <cfRule type="cellIs" dxfId="16" priority="1" operator="greaterThan">
      <formula>$S$5</formula>
    </cfRule>
  </conditionalFormatting>
  <conditionalFormatting sqref="N4:N7">
    <cfRule type="cellIs" dxfId="15" priority="12" operator="equal">
      <formula>0</formula>
    </cfRule>
    <cfRule type="cellIs" dxfId="14" priority="13" stopIfTrue="1" operator="equal">
      <formula>"="</formula>
    </cfRule>
  </conditionalFormatting>
  <conditionalFormatting sqref="P4:P7">
    <cfRule type="cellIs" dxfId="13" priority="9" operator="equal">
      <formula>0</formula>
    </cfRule>
    <cfRule type="cellIs" dxfId="12" priority="10" stopIfTrue="1" operator="equal">
      <formula>"="</formula>
    </cfRule>
  </conditionalFormatting>
  <dataValidations count="2">
    <dataValidation type="list" allowBlank="1" showInputMessage="1" showErrorMessage="1" sqref="G13:G1000" xr:uid="{A621E7DB-73BE-4B53-96A7-4B21133ABF34}">
      <formula1>"Existing Equipment, New Equipment"</formula1>
    </dataValidation>
    <dataValidation type="list" allowBlank="1" showInputMessage="1" showErrorMessage="1" sqref="F13:F1000" xr:uid="{7B8AB4FB-BB83-4FD9-A3E6-FEB8E8D96D5C}">
      <formula1>$X$13:$X$39</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42C34-6062-4233-886A-726581271C2B}">
  <dimension ref="A6:M28"/>
  <sheetViews>
    <sheetView zoomScale="77" workbookViewId="0">
      <selection activeCell="C27" sqref="C27"/>
    </sheetView>
  </sheetViews>
  <sheetFormatPr defaultColWidth="8.6328125" defaultRowHeight="12.5"/>
  <cols>
    <col min="1" max="1" width="51.90625" style="471" customWidth="1"/>
    <col min="2" max="2" width="15.81640625" style="471" customWidth="1"/>
    <col min="3" max="3" width="24.81640625" style="471" customWidth="1"/>
    <col min="4" max="4" width="21.36328125" style="471" customWidth="1"/>
    <col min="5" max="5" width="13.36328125" style="471" customWidth="1"/>
    <col min="6" max="9" width="8.6328125" style="471"/>
    <col min="10" max="10" width="20.81640625" style="471" customWidth="1"/>
    <col min="11" max="11" width="13.81640625" style="471" customWidth="1"/>
    <col min="12" max="12" width="21.1796875" style="471" customWidth="1"/>
    <col min="13" max="13" width="21.26953125" style="471" customWidth="1"/>
    <col min="14" max="16384" width="8.6328125" style="471"/>
  </cols>
  <sheetData>
    <row r="6" spans="1:13">
      <c r="G6" s="472"/>
    </row>
    <row r="7" spans="1:13" ht="13" thickBot="1">
      <c r="G7" s="472"/>
    </row>
    <row r="8" spans="1:13" ht="39.5" thickBot="1">
      <c r="A8" s="473" t="s">
        <v>891</v>
      </c>
      <c r="B8" s="474" t="s">
        <v>892</v>
      </c>
      <c r="C8" s="475" t="s">
        <v>893</v>
      </c>
      <c r="D8" s="476" t="s">
        <v>894</v>
      </c>
      <c r="E8" s="477" t="s">
        <v>895</v>
      </c>
      <c r="F8" s="476" t="s">
        <v>896</v>
      </c>
      <c r="G8" s="476" t="s">
        <v>897</v>
      </c>
      <c r="H8" s="476" t="s">
        <v>898</v>
      </c>
      <c r="I8" s="478" t="s">
        <v>899</v>
      </c>
      <c r="J8" s="478" t="s">
        <v>900</v>
      </c>
      <c r="K8" s="478" t="s">
        <v>901</v>
      </c>
      <c r="L8" s="474" t="s">
        <v>902</v>
      </c>
    </row>
    <row r="9" spans="1:13" ht="15" thickBot="1">
      <c r="A9" s="479" t="s">
        <v>903</v>
      </c>
      <c r="B9" s="639" t="s">
        <v>1427</v>
      </c>
      <c r="C9" s="481"/>
      <c r="D9" s="480"/>
      <c r="E9" s="482"/>
      <c r="F9" s="483"/>
      <c r="G9" s="484"/>
      <c r="H9" s="485"/>
      <c r="I9" s="485">
        <v>2</v>
      </c>
      <c r="J9" s="486">
        <v>1200</v>
      </c>
      <c r="K9" s="487">
        <f t="shared" ref="K9:K12" si="0">J9*I9</f>
        <v>2400</v>
      </c>
      <c r="L9" s="488">
        <f>K9/6.35</f>
        <v>377.95275590551182</v>
      </c>
    </row>
    <row r="10" spans="1:13" ht="13.5" thickBot="1">
      <c r="A10" s="479" t="s">
        <v>904</v>
      </c>
      <c r="B10" s="639" t="s">
        <v>1427</v>
      </c>
      <c r="C10" s="481"/>
      <c r="D10" s="480"/>
      <c r="E10" s="481"/>
      <c r="F10" s="483"/>
      <c r="G10" s="484"/>
      <c r="H10" s="485"/>
      <c r="I10" s="485">
        <v>2</v>
      </c>
      <c r="J10" s="486">
        <v>3000</v>
      </c>
      <c r="K10" s="487">
        <f t="shared" si="0"/>
        <v>6000</v>
      </c>
      <c r="L10" s="488">
        <f t="shared" ref="L10:L15" si="1">K10/6.35</f>
        <v>944.88188976377955</v>
      </c>
      <c r="M10" s="633" t="s">
        <v>1424</v>
      </c>
    </row>
    <row r="11" spans="1:13" ht="13" thickBot="1">
      <c r="A11" s="479" t="s">
        <v>905</v>
      </c>
      <c r="B11" s="639" t="s">
        <v>1427</v>
      </c>
      <c r="C11" s="489"/>
      <c r="D11" s="483"/>
      <c r="E11" s="489"/>
      <c r="F11" s="483"/>
      <c r="G11" s="484"/>
      <c r="H11" s="485"/>
      <c r="I11" s="485">
        <v>1</v>
      </c>
      <c r="J11" s="486">
        <f>1000*1.2</f>
        <v>1200</v>
      </c>
      <c r="K11" s="487">
        <f t="shared" si="0"/>
        <v>1200</v>
      </c>
      <c r="L11" s="488">
        <f t="shared" si="1"/>
        <v>188.97637795275591</v>
      </c>
    </row>
    <row r="12" spans="1:13" ht="13.5" thickBot="1">
      <c r="A12" s="479" t="s">
        <v>906</v>
      </c>
      <c r="B12" s="639" t="s">
        <v>1427</v>
      </c>
      <c r="C12" s="485"/>
      <c r="D12" s="485"/>
      <c r="E12" s="485"/>
      <c r="F12" s="485"/>
      <c r="G12" s="485"/>
      <c r="H12" s="485"/>
      <c r="I12" s="485">
        <v>8</v>
      </c>
      <c r="J12" s="486">
        <f>2500*1.2</f>
        <v>3000</v>
      </c>
      <c r="K12" s="490">
        <f t="shared" si="0"/>
        <v>24000</v>
      </c>
      <c r="L12" s="488">
        <f t="shared" si="1"/>
        <v>3779.5275590551182</v>
      </c>
      <c r="M12" s="633" t="s">
        <v>1425</v>
      </c>
    </row>
    <row r="13" spans="1:13" ht="13" thickBot="1">
      <c r="A13" s="491" t="s">
        <v>106</v>
      </c>
      <c r="B13" s="639" t="s">
        <v>1427</v>
      </c>
      <c r="C13" s="485"/>
      <c r="D13" s="485"/>
      <c r="E13" s="485"/>
      <c r="F13" s="485"/>
      <c r="G13" s="485"/>
      <c r="H13" s="485"/>
      <c r="I13" s="485">
        <v>1</v>
      </c>
      <c r="J13" s="486">
        <v>96000</v>
      </c>
      <c r="K13" s="492">
        <f>J13*I13</f>
        <v>96000</v>
      </c>
      <c r="L13" s="488">
        <f t="shared" si="1"/>
        <v>15118.110236220473</v>
      </c>
    </row>
    <row r="14" spans="1:13" ht="13" thickBot="1">
      <c r="A14" s="493" t="s">
        <v>907</v>
      </c>
      <c r="B14" s="639" t="s">
        <v>1427</v>
      </c>
      <c r="C14" s="485"/>
      <c r="D14" s="485"/>
      <c r="E14" s="485"/>
      <c r="F14" s="485"/>
      <c r="G14" s="485"/>
      <c r="H14" s="485"/>
      <c r="I14" s="485">
        <v>1</v>
      </c>
      <c r="J14" s="486">
        <f>3000*1.2</f>
        <v>3600</v>
      </c>
      <c r="K14" s="492">
        <f>J14/1</f>
        <v>3600</v>
      </c>
      <c r="L14" s="488">
        <f t="shared" si="1"/>
        <v>566.92913385826773</v>
      </c>
    </row>
    <row r="15" spans="1:13">
      <c r="A15" s="485" t="str">
        <f>'P035 0903 version'!U12</f>
        <v>Auto-screw machine
(Double Y axis)
PCBA Fixture
Camera fan fixture</v>
      </c>
      <c r="B15" s="639" t="s">
        <v>1427</v>
      </c>
      <c r="C15" s="485"/>
      <c r="D15" s="485"/>
      <c r="E15" s="485"/>
      <c r="F15" s="485"/>
      <c r="G15" s="485"/>
      <c r="H15" s="485"/>
      <c r="I15" s="485">
        <v>2</v>
      </c>
      <c r="J15" s="486">
        <f>'P035 0131version'!X12*6.35*1.2</f>
        <v>4200</v>
      </c>
      <c r="K15" s="494">
        <f>J15*I15</f>
        <v>8400</v>
      </c>
      <c r="L15" s="488">
        <f t="shared" si="1"/>
        <v>1322.8346456692914</v>
      </c>
    </row>
    <row r="16" spans="1:13">
      <c r="A16" s="634" t="s">
        <v>908</v>
      </c>
      <c r="B16" s="635" t="s">
        <v>909</v>
      </c>
      <c r="C16" s="635"/>
      <c r="D16" s="635"/>
      <c r="E16" s="635"/>
      <c r="F16" s="635"/>
      <c r="G16" s="635"/>
      <c r="H16" s="635"/>
      <c r="I16" s="635">
        <v>1</v>
      </c>
      <c r="J16" s="636">
        <v>144000</v>
      </c>
      <c r="K16" s="636">
        <v>144000</v>
      </c>
      <c r="L16" s="636">
        <f>K16/6.35</f>
        <v>22677.165354330711</v>
      </c>
      <c r="M16" s="962" t="s">
        <v>1426</v>
      </c>
    </row>
    <row r="17" spans="1:13">
      <c r="A17" s="634" t="s">
        <v>910</v>
      </c>
      <c r="B17" s="635" t="s">
        <v>911</v>
      </c>
      <c r="C17" s="637"/>
      <c r="D17" s="637"/>
      <c r="E17" s="637"/>
      <c r="F17" s="637"/>
      <c r="G17" s="638"/>
      <c r="H17" s="638"/>
      <c r="I17" s="635">
        <v>1</v>
      </c>
      <c r="J17" s="636">
        <v>50400</v>
      </c>
      <c r="K17" s="636">
        <v>50400</v>
      </c>
      <c r="L17" s="636">
        <f>K17/6.35</f>
        <v>7937.0078740157487</v>
      </c>
      <c r="M17" s="963"/>
    </row>
    <row r="18" spans="1:13" ht="13.5" thickBot="1">
      <c r="A18" s="495" t="s">
        <v>912</v>
      </c>
      <c r="B18" s="952"/>
      <c r="C18" s="953"/>
      <c r="D18" s="953"/>
      <c r="E18" s="953"/>
      <c r="F18" s="953"/>
      <c r="G18" s="953"/>
      <c r="H18" s="954"/>
      <c r="I18" s="496"/>
      <c r="J18" s="496"/>
      <c r="K18" s="497">
        <f>SUM(K9:K17)</f>
        <v>336000</v>
      </c>
      <c r="L18" s="498">
        <f>SUM(L9:L17)</f>
        <v>52913.385826771657</v>
      </c>
    </row>
    <row r="19" spans="1:13" ht="13.5" thickBot="1">
      <c r="A19" s="499" t="s">
        <v>913</v>
      </c>
      <c r="B19" s="952"/>
      <c r="C19" s="953"/>
      <c r="D19" s="953"/>
      <c r="E19" s="953"/>
      <c r="F19" s="953"/>
      <c r="G19" s="953"/>
      <c r="H19" s="954"/>
      <c r="I19" s="496"/>
      <c r="J19" s="496"/>
      <c r="K19" s="500">
        <v>100000</v>
      </c>
      <c r="L19" s="501"/>
    </row>
    <row r="20" spans="1:13" ht="13.5" thickBot="1">
      <c r="A20" s="502" t="s">
        <v>914</v>
      </c>
      <c r="B20" s="955"/>
      <c r="C20" s="956"/>
      <c r="D20" s="956"/>
      <c r="E20" s="956"/>
      <c r="F20" s="956"/>
      <c r="G20" s="956"/>
      <c r="H20" s="957"/>
      <c r="I20" s="503"/>
      <c r="J20" s="503"/>
      <c r="K20" s="504">
        <f>K18/K19</f>
        <v>3.36</v>
      </c>
      <c r="L20" s="505">
        <f>L18/K19</f>
        <v>0.52913385826771653</v>
      </c>
      <c r="M20" s="506"/>
    </row>
    <row r="21" spans="1:13">
      <c r="G21" s="472"/>
    </row>
    <row r="22" spans="1:13" ht="13" thickBot="1">
      <c r="G22" s="472"/>
    </row>
    <row r="23" spans="1:13" ht="13">
      <c r="C23" s="958" t="s">
        <v>915</v>
      </c>
      <c r="D23" s="960" t="s">
        <v>916</v>
      </c>
      <c r="E23" s="961"/>
      <c r="F23" s="961"/>
      <c r="G23" s="507"/>
      <c r="H23" s="508"/>
      <c r="I23" s="509"/>
      <c r="J23" s="509"/>
    </row>
    <row r="24" spans="1:13" ht="13.5" thickBot="1">
      <c r="C24" s="959"/>
      <c r="D24" s="960" t="s">
        <v>917</v>
      </c>
      <c r="E24" s="961"/>
      <c r="F24" s="961"/>
      <c r="G24" s="507"/>
      <c r="H24" s="508"/>
      <c r="I24" s="509"/>
      <c r="J24" s="509"/>
    </row>
    <row r="25" spans="1:13">
      <c r="G25" s="472"/>
      <c r="K25" s="471" t="s">
        <v>918</v>
      </c>
    </row>
    <row r="26" spans="1:13">
      <c r="G26" s="472"/>
    </row>
    <row r="27" spans="1:13">
      <c r="G27" s="472"/>
    </row>
    <row r="28" spans="1:13">
      <c r="G28" s="472"/>
    </row>
  </sheetData>
  <autoFilter ref="A8:L8" xr:uid="{560F779B-8BA4-41AC-A3AA-D2D8B81CD90F}"/>
  <mergeCells count="5">
    <mergeCell ref="B18:H20"/>
    <mergeCell ref="C23:C24"/>
    <mergeCell ref="D23:F23"/>
    <mergeCell ref="D24:F24"/>
    <mergeCell ref="M16:M17"/>
  </mergeCells>
  <phoneticPr fontId="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1963E-ABCC-4966-8E8E-93FA56C53FB6}">
  <dimension ref="A1:AE22"/>
  <sheetViews>
    <sheetView zoomScale="29" zoomScaleNormal="30" workbookViewId="0">
      <selection activeCell="R18" sqref="R18"/>
    </sheetView>
  </sheetViews>
  <sheetFormatPr defaultColWidth="9" defaultRowHeight="12.5"/>
  <cols>
    <col min="1" max="1" width="5.90625" style="400" customWidth="1"/>
    <col min="2" max="2" width="51" style="466" customWidth="1"/>
    <col min="3" max="3" width="12.36328125" style="400" customWidth="1"/>
    <col min="4" max="4" width="12.36328125" style="467" customWidth="1"/>
    <col min="5" max="5" width="12.1796875" style="467" customWidth="1"/>
    <col min="6" max="6" width="12.1796875" style="468" customWidth="1"/>
    <col min="7" max="7" width="12.1796875" style="469" customWidth="1"/>
    <col min="8" max="12" width="11.7265625" style="400" customWidth="1"/>
    <col min="13" max="13" width="12.36328125" style="400" customWidth="1"/>
    <col min="14" max="15" width="18.81640625" style="400" customWidth="1"/>
    <col min="16" max="20" width="15.1796875" style="400" customWidth="1"/>
    <col min="21" max="21" width="48.1796875" style="400" customWidth="1"/>
    <col min="22" max="22" width="15.6328125" style="400" customWidth="1"/>
    <col min="23" max="23" width="11.08984375" style="400" customWidth="1"/>
    <col min="24" max="25" width="19.90625" style="400" customWidth="1"/>
    <col min="26" max="26" width="11.08984375" style="400" customWidth="1"/>
    <col min="27" max="27" width="19.90625" style="400" customWidth="1"/>
    <col min="28" max="28" width="19.90625" style="470" customWidth="1"/>
    <col min="29" max="30" width="20.1796875" style="400" customWidth="1"/>
    <col min="31" max="31" width="23.54296875" style="400" customWidth="1"/>
    <col min="32" max="16384" width="9" style="400"/>
  </cols>
  <sheetData>
    <row r="1" spans="1:31" ht="60" customHeight="1">
      <c r="A1" s="964" t="s">
        <v>827</v>
      </c>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row>
    <row r="2" spans="1:31" s="402" customFormat="1" ht="82.5" customHeight="1">
      <c r="A2" s="965" t="s">
        <v>828</v>
      </c>
      <c r="B2" s="965"/>
      <c r="C2" s="965"/>
      <c r="D2" s="965"/>
      <c r="E2" s="966" t="str">
        <f>[13]Cover!D5</f>
        <v>Controller</v>
      </c>
      <c r="F2" s="966"/>
      <c r="G2" s="966"/>
      <c r="H2" s="967" t="s">
        <v>829</v>
      </c>
      <c r="I2" s="967"/>
      <c r="J2" s="967"/>
      <c r="K2" s="967"/>
      <c r="L2" s="967"/>
      <c r="M2" s="967"/>
      <c r="N2" s="968">
        <v>1000</v>
      </c>
      <c r="O2" s="968"/>
      <c r="P2" s="969" t="s">
        <v>830</v>
      </c>
      <c r="Q2" s="970"/>
      <c r="R2" s="970"/>
      <c r="S2" s="970"/>
      <c r="T2" s="970"/>
      <c r="U2" s="401">
        <f>N2/U4</f>
        <v>0.18107133498988254</v>
      </c>
      <c r="V2" s="971"/>
      <c r="W2" s="972"/>
      <c r="X2" s="972"/>
      <c r="Y2" s="972"/>
      <c r="Z2" s="972"/>
      <c r="AA2" s="972"/>
      <c r="AB2" s="973"/>
    </row>
    <row r="3" spans="1:31" ht="25" customHeight="1">
      <c r="A3" s="977" t="s">
        <v>831</v>
      </c>
      <c r="B3" s="977"/>
      <c r="C3" s="977"/>
      <c r="D3" s="977"/>
      <c r="E3" s="966" t="s">
        <v>832</v>
      </c>
      <c r="F3" s="966"/>
      <c r="G3" s="966"/>
      <c r="H3" s="967" t="s">
        <v>833</v>
      </c>
      <c r="I3" s="967"/>
      <c r="J3" s="967"/>
      <c r="K3" s="967"/>
      <c r="L3" s="967"/>
      <c r="M3" s="967"/>
      <c r="N3" s="978">
        <v>21</v>
      </c>
      <c r="O3" s="978"/>
      <c r="P3" s="969" t="s">
        <v>834</v>
      </c>
      <c r="Q3" s="970"/>
      <c r="R3" s="970"/>
      <c r="S3" s="970"/>
      <c r="T3" s="970"/>
      <c r="U3" s="401">
        <f>SUMIF(E12:E15,1,I12:I15)/(N6*SUM(E12:E15))</f>
        <v>0.61250000000000004</v>
      </c>
      <c r="V3" s="974"/>
      <c r="W3" s="975"/>
      <c r="X3" s="975"/>
      <c r="Y3" s="975"/>
      <c r="Z3" s="975"/>
      <c r="AA3" s="975"/>
      <c r="AB3" s="976"/>
    </row>
    <row r="4" spans="1:31" ht="25" customHeight="1">
      <c r="A4" s="977" t="s">
        <v>831</v>
      </c>
      <c r="B4" s="977"/>
      <c r="C4" s="977"/>
      <c r="D4" s="977"/>
      <c r="E4" s="966" t="s">
        <v>832</v>
      </c>
      <c r="F4" s="966"/>
      <c r="G4" s="966"/>
      <c r="H4" s="967" t="s">
        <v>835</v>
      </c>
      <c r="I4" s="967"/>
      <c r="J4" s="967"/>
      <c r="K4" s="967"/>
      <c r="L4" s="967"/>
      <c r="M4" s="967"/>
      <c r="N4" s="979">
        <f>U8*U9*O20</f>
        <v>0.8766167142857143</v>
      </c>
      <c r="O4" s="979"/>
      <c r="P4" s="969" t="s">
        <v>836</v>
      </c>
      <c r="Q4" s="970"/>
      <c r="R4" s="970"/>
      <c r="S4" s="970"/>
      <c r="T4" s="970"/>
      <c r="U4" s="403">
        <f>IF(AND(ISNUMBER(N6),ISNUMBER(N3),ISNUMBER(N4)),3600/N6*N3*5)*N4*N7</f>
        <v>5522.6853000000001</v>
      </c>
      <c r="V4" s="974"/>
      <c r="W4" s="975"/>
      <c r="X4" s="975"/>
      <c r="Y4" s="975"/>
      <c r="Z4" s="975"/>
      <c r="AA4" s="975"/>
      <c r="AB4" s="976"/>
    </row>
    <row r="5" spans="1:31" ht="32.4" customHeight="1">
      <c r="A5" s="977" t="s">
        <v>837</v>
      </c>
      <c r="B5" s="977"/>
      <c r="C5" s="977"/>
      <c r="D5" s="977"/>
      <c r="E5" s="966" t="s">
        <v>832</v>
      </c>
      <c r="F5" s="966"/>
      <c r="G5" s="966"/>
      <c r="H5" s="967" t="s">
        <v>838</v>
      </c>
      <c r="I5" s="967"/>
      <c r="J5" s="967"/>
      <c r="K5" s="967"/>
      <c r="L5" s="967"/>
      <c r="M5" s="967"/>
      <c r="N5" s="981">
        <f>IF(ISNUMBER(N2),N3*5*3600/N2*N4)</f>
        <v>331.36111800000003</v>
      </c>
      <c r="O5" s="981"/>
      <c r="P5" s="969" t="s">
        <v>839</v>
      </c>
      <c r="Q5" s="970"/>
      <c r="R5" s="970"/>
      <c r="S5" s="970"/>
      <c r="T5" s="970"/>
      <c r="U5" s="401">
        <f>N2/U7</f>
        <v>0.19917846848887077</v>
      </c>
      <c r="V5" s="974"/>
      <c r="W5" s="975"/>
      <c r="X5" s="975"/>
      <c r="Y5" s="975"/>
      <c r="Z5" s="975"/>
      <c r="AA5" s="975"/>
      <c r="AB5" s="976"/>
    </row>
    <row r="6" spans="1:31" ht="42" customHeight="1">
      <c r="A6" s="977" t="s">
        <v>840</v>
      </c>
      <c r="B6" s="977"/>
      <c r="C6" s="977"/>
      <c r="D6" s="977"/>
      <c r="E6" s="966" t="s">
        <v>841</v>
      </c>
      <c r="F6" s="966"/>
      <c r="G6" s="966"/>
      <c r="H6" s="967" t="s">
        <v>842</v>
      </c>
      <c r="I6" s="967"/>
      <c r="J6" s="967"/>
      <c r="K6" s="967"/>
      <c r="L6" s="967"/>
      <c r="M6" s="967"/>
      <c r="N6" s="980">
        <f>MAX(D12:D15)</f>
        <v>60</v>
      </c>
      <c r="O6" s="980"/>
      <c r="P6" s="969" t="s">
        <v>843</v>
      </c>
      <c r="Q6" s="970"/>
      <c r="R6" s="970"/>
      <c r="S6" s="970"/>
      <c r="T6" s="970"/>
      <c r="U6" s="401">
        <f>SUMIF(E12:E15,1,K12:K15)/(N8*SUM(E12:E15))</f>
        <v>0</v>
      </c>
      <c r="V6" s="974"/>
      <c r="W6" s="975"/>
      <c r="X6" s="975"/>
      <c r="Y6" s="975"/>
      <c r="Z6" s="975"/>
      <c r="AA6" s="975"/>
      <c r="AB6" s="976"/>
    </row>
    <row r="7" spans="1:31" ht="25" customHeight="1">
      <c r="A7" s="977" t="s">
        <v>844</v>
      </c>
      <c r="B7" s="977"/>
      <c r="C7" s="977"/>
      <c r="D7" s="977"/>
      <c r="E7" s="985" t="e">
        <f ca="1">OFFSET([13]Cover!H5,COUNTA([13]Cover!H5:H15)-1,0,1)</f>
        <v>#VALUE!</v>
      </c>
      <c r="F7" s="985"/>
      <c r="G7" s="985"/>
      <c r="H7" s="986" t="s">
        <v>845</v>
      </c>
      <c r="I7" s="986"/>
      <c r="J7" s="986"/>
      <c r="K7" s="986"/>
      <c r="L7" s="986"/>
      <c r="M7" s="986"/>
      <c r="N7" s="987">
        <f>ROUNDUP(N6/N5,0)</f>
        <v>1</v>
      </c>
      <c r="O7" s="987"/>
      <c r="P7" s="969" t="s">
        <v>846</v>
      </c>
      <c r="Q7" s="970"/>
      <c r="R7" s="970"/>
      <c r="S7" s="970"/>
      <c r="T7" s="970"/>
      <c r="U7" s="403">
        <f>IF(AND(ISNUMBER(N8),ISNUMBER(N3),ISNUMBER(N4)),3600/N8*N3*5)*N4*N9</f>
        <v>5020.6230000000005</v>
      </c>
      <c r="V7" s="974"/>
      <c r="W7" s="975"/>
      <c r="X7" s="975"/>
      <c r="Y7" s="975"/>
      <c r="Z7" s="975"/>
      <c r="AA7" s="975"/>
      <c r="AB7" s="976"/>
    </row>
    <row r="8" spans="1:31" ht="25" customHeight="1">
      <c r="A8" s="977" t="s">
        <v>847</v>
      </c>
      <c r="B8" s="977"/>
      <c r="C8" s="977"/>
      <c r="D8" s="977"/>
      <c r="E8" s="966" t="e">
        <f ca="1">OFFSET([13]Cover!G5,COUNTA([13]Cover!G5:G15)-1,0,1)</f>
        <v>#VALUE!</v>
      </c>
      <c r="F8" s="966"/>
      <c r="G8" s="966"/>
      <c r="H8" s="982" t="s">
        <v>848</v>
      </c>
      <c r="I8" s="982"/>
      <c r="J8" s="982"/>
      <c r="K8" s="982"/>
      <c r="L8" s="982"/>
      <c r="M8" s="982"/>
      <c r="N8" s="983">
        <f>MAX(R12:R15)</f>
        <v>66</v>
      </c>
      <c r="O8" s="984"/>
      <c r="P8" s="969" t="s">
        <v>849</v>
      </c>
      <c r="Q8" s="970"/>
      <c r="R8" s="970"/>
      <c r="S8" s="970"/>
      <c r="T8" s="970"/>
      <c r="U8" s="404">
        <f>19.17/21</f>
        <v>0.91285714285714292</v>
      </c>
      <c r="V8" s="974"/>
      <c r="W8" s="975"/>
      <c r="X8" s="975"/>
      <c r="Y8" s="975"/>
      <c r="Z8" s="975"/>
      <c r="AA8" s="975"/>
      <c r="AB8" s="976"/>
    </row>
    <row r="9" spans="1:31" ht="25" customHeight="1">
      <c r="A9" s="977" t="s">
        <v>850</v>
      </c>
      <c r="B9" s="977"/>
      <c r="C9" s="977"/>
      <c r="D9" s="977"/>
      <c r="E9" s="966" t="s">
        <v>851</v>
      </c>
      <c r="F9" s="966"/>
      <c r="G9" s="966"/>
      <c r="H9" s="982" t="s">
        <v>852</v>
      </c>
      <c r="I9" s="982"/>
      <c r="J9" s="982"/>
      <c r="K9" s="982"/>
      <c r="L9" s="982"/>
      <c r="M9" s="982"/>
      <c r="N9" s="987">
        <f>ROUNDUP(N8/N5,0)</f>
        <v>1</v>
      </c>
      <c r="O9" s="987"/>
      <c r="P9" s="969" t="s">
        <v>853</v>
      </c>
      <c r="Q9" s="970"/>
      <c r="R9" s="970"/>
      <c r="S9" s="970"/>
      <c r="T9" s="970"/>
      <c r="U9" s="404">
        <v>0.97</v>
      </c>
      <c r="V9" s="974"/>
      <c r="W9" s="975"/>
      <c r="X9" s="975"/>
      <c r="Y9" s="975"/>
      <c r="Z9" s="975"/>
      <c r="AA9" s="975"/>
      <c r="AB9" s="976"/>
    </row>
    <row r="10" spans="1:31" s="407" customFormat="1" ht="39" customHeight="1">
      <c r="A10" s="1004" t="s">
        <v>152</v>
      </c>
      <c r="B10" s="1005" t="s">
        <v>854</v>
      </c>
      <c r="C10" s="585" t="s">
        <v>855</v>
      </c>
      <c r="D10" s="994" t="s">
        <v>155</v>
      </c>
      <c r="E10" s="995"/>
      <c r="F10" s="995"/>
      <c r="G10" s="995"/>
      <c r="H10" s="995"/>
      <c r="I10" s="995"/>
      <c r="J10" s="995"/>
      <c r="K10" s="995"/>
      <c r="L10" s="995"/>
      <c r="M10" s="996"/>
      <c r="N10" s="1004" t="s">
        <v>156</v>
      </c>
      <c r="O10" s="1004"/>
      <c r="P10" s="1006" t="s">
        <v>856</v>
      </c>
      <c r="Q10" s="1007"/>
      <c r="R10" s="1007"/>
      <c r="S10" s="1007"/>
      <c r="T10" s="1008"/>
      <c r="U10" s="406" t="s">
        <v>157</v>
      </c>
      <c r="V10" s="993" t="s">
        <v>857</v>
      </c>
      <c r="W10" s="994" t="s">
        <v>158</v>
      </c>
      <c r="X10" s="995"/>
      <c r="Y10" s="996"/>
      <c r="Z10" s="994" t="s">
        <v>159</v>
      </c>
      <c r="AA10" s="995"/>
      <c r="AB10" s="996"/>
    </row>
    <row r="11" spans="1:31" s="407" customFormat="1" ht="95">
      <c r="A11" s="1004"/>
      <c r="B11" s="1005"/>
      <c r="C11" s="408" t="s">
        <v>858</v>
      </c>
      <c r="D11" s="409" t="s">
        <v>859</v>
      </c>
      <c r="E11" s="410" t="s">
        <v>860</v>
      </c>
      <c r="F11" s="411" t="s">
        <v>861</v>
      </c>
      <c r="G11" s="411" t="s">
        <v>862</v>
      </c>
      <c r="H11" s="408" t="s">
        <v>863</v>
      </c>
      <c r="I11" s="408" t="s">
        <v>864</v>
      </c>
      <c r="J11" s="408" t="s">
        <v>865</v>
      </c>
      <c r="K11" s="408" t="s">
        <v>866</v>
      </c>
      <c r="L11" s="408" t="s">
        <v>867</v>
      </c>
      <c r="M11" s="408" t="s">
        <v>165</v>
      </c>
      <c r="N11" s="408" t="s">
        <v>166</v>
      </c>
      <c r="O11" s="408" t="s">
        <v>167</v>
      </c>
      <c r="P11" s="412" t="s">
        <v>868</v>
      </c>
      <c r="Q11" s="412" t="s">
        <v>869</v>
      </c>
      <c r="R11" s="412" t="s">
        <v>870</v>
      </c>
      <c r="S11" s="412" t="s">
        <v>871</v>
      </c>
      <c r="T11" s="590" t="s">
        <v>872</v>
      </c>
      <c r="U11" s="408" t="s">
        <v>168</v>
      </c>
      <c r="V11" s="993"/>
      <c r="W11" s="408" t="s">
        <v>169</v>
      </c>
      <c r="X11" s="408" t="s">
        <v>170</v>
      </c>
      <c r="Y11" s="408" t="s">
        <v>171</v>
      </c>
      <c r="Z11" s="408" t="s">
        <v>169</v>
      </c>
      <c r="AA11" s="408" t="s">
        <v>170</v>
      </c>
      <c r="AB11" s="408" t="s">
        <v>171</v>
      </c>
      <c r="AC11" s="408" t="s">
        <v>873</v>
      </c>
      <c r="AD11" s="408" t="s">
        <v>874</v>
      </c>
    </row>
    <row r="12" spans="1:31" s="407" customFormat="1" ht="98.5" customHeight="1">
      <c r="A12" s="413">
        <v>1</v>
      </c>
      <c r="B12" s="414" t="s">
        <v>875</v>
      </c>
      <c r="C12" s="415">
        <v>1</v>
      </c>
      <c r="D12" s="416">
        <v>60</v>
      </c>
      <c r="E12" s="417">
        <v>1</v>
      </c>
      <c r="F12" s="417">
        <v>1</v>
      </c>
      <c r="G12" s="418">
        <v>1</v>
      </c>
      <c r="H12" s="416">
        <f>IF(G12=0,C12*D12/E12/F12,0)</f>
        <v>0</v>
      </c>
      <c r="I12" s="416">
        <f t="shared" ref="I12:I13" si="0">IF($G12=1,$D12/E12/F12,0)</f>
        <v>60</v>
      </c>
      <c r="J12" s="419">
        <f>IF($G12=1,$C12*MAX(I$12:I$15),0)</f>
        <v>60</v>
      </c>
      <c r="K12" s="419">
        <f t="shared" ref="K12:K15" si="1">IF($G12=2,$D12/E12/F12,0)</f>
        <v>0</v>
      </c>
      <c r="L12" s="419">
        <f>IF($G12:$G24=2,$C12:$C24*MAX(K$12:K$15),0)</f>
        <v>0</v>
      </c>
      <c r="M12" s="420">
        <f t="shared" ref="M12:M15" si="2">10*3600/D12*E12*F12</f>
        <v>600</v>
      </c>
      <c r="N12" s="421">
        <v>3.0000000000000001E-3</v>
      </c>
      <c r="O12" s="422">
        <f t="shared" ref="O12:O15" si="3">1-N12</f>
        <v>0.997</v>
      </c>
      <c r="P12" s="591">
        <v>66</v>
      </c>
      <c r="Q12" s="424">
        <v>1</v>
      </c>
      <c r="R12" s="424">
        <f>P12/Q12</f>
        <v>66</v>
      </c>
      <c r="S12" s="591">
        <v>1</v>
      </c>
      <c r="T12" s="997">
        <f>MAX(R12:R15)</f>
        <v>66</v>
      </c>
      <c r="U12" s="425" t="s">
        <v>876</v>
      </c>
      <c r="V12" s="426">
        <v>1</v>
      </c>
      <c r="W12" s="426">
        <v>2</v>
      </c>
      <c r="X12" s="427">
        <v>551.1811023622048</v>
      </c>
      <c r="Y12" s="428">
        <f t="shared" ref="Y12:Y13" si="4">W12*X12</f>
        <v>1102.3622047244096</v>
      </c>
      <c r="Z12" s="426">
        <v>1</v>
      </c>
      <c r="AA12" s="427">
        <v>61672.362531447063</v>
      </c>
      <c r="AB12" s="428">
        <f t="shared" ref="AB12:AB15" si="5">AA12*Z12</f>
        <v>61672.362531447063</v>
      </c>
      <c r="AC12" s="429">
        <f t="shared" ref="AC12:AC19" si="6">AA12*6.35</f>
        <v>391619.50207468885</v>
      </c>
      <c r="AD12" s="429">
        <f t="shared" ref="AD12:AD19" si="7">AC12*Z12</f>
        <v>391619.50207468885</v>
      </c>
    </row>
    <row r="13" spans="1:31" s="407" customFormat="1" ht="72" customHeight="1">
      <c r="A13" s="413">
        <v>2</v>
      </c>
      <c r="B13" s="414" t="s">
        <v>877</v>
      </c>
      <c r="C13" s="415">
        <v>0.5</v>
      </c>
      <c r="D13" s="430">
        <v>57</v>
      </c>
      <c r="E13" s="417">
        <v>1</v>
      </c>
      <c r="F13" s="417">
        <v>1</v>
      </c>
      <c r="G13" s="418">
        <v>1</v>
      </c>
      <c r="H13" s="416">
        <f t="shared" ref="H13" si="8">IF(G13=0,C13*D13/E13/F13,0)</f>
        <v>0</v>
      </c>
      <c r="I13" s="416">
        <f t="shared" si="0"/>
        <v>57</v>
      </c>
      <c r="J13" s="416">
        <f>IF($G13=1,$C13*MAX(I$12:I$15),0)</f>
        <v>30</v>
      </c>
      <c r="K13" s="416">
        <f t="shared" si="1"/>
        <v>0</v>
      </c>
      <c r="L13" s="419">
        <f>IF($G13:$G40=2,$C13:$C40*MAX(K$12:K$15),0)</f>
        <v>0</v>
      </c>
      <c r="M13" s="420">
        <f t="shared" si="2"/>
        <v>631.57894736842104</v>
      </c>
      <c r="N13" s="421">
        <v>4.0000000000000001E-3</v>
      </c>
      <c r="O13" s="422">
        <f t="shared" si="3"/>
        <v>0.996</v>
      </c>
      <c r="P13" s="591">
        <v>57</v>
      </c>
      <c r="Q13" s="424">
        <v>1</v>
      </c>
      <c r="R13" s="424">
        <f t="shared" ref="R13:R15" si="9">P13/Q13</f>
        <v>57</v>
      </c>
      <c r="S13" s="591">
        <v>0.5</v>
      </c>
      <c r="T13" s="997"/>
      <c r="U13" s="425" t="s">
        <v>878</v>
      </c>
      <c r="V13" s="426">
        <v>1</v>
      </c>
      <c r="W13" s="426"/>
      <c r="X13" s="427"/>
      <c r="Y13" s="428">
        <f t="shared" si="4"/>
        <v>0</v>
      </c>
      <c r="Z13" s="426">
        <f>F13</f>
        <v>1</v>
      </c>
      <c r="AA13" s="427">
        <v>3149.6062992125985</v>
      </c>
      <c r="AB13" s="428">
        <f t="shared" si="5"/>
        <v>3149.6062992125985</v>
      </c>
      <c r="AC13" s="429">
        <f t="shared" si="6"/>
        <v>20000</v>
      </c>
      <c r="AD13" s="429">
        <f t="shared" si="7"/>
        <v>20000</v>
      </c>
      <c r="AE13" s="431" t="s">
        <v>879</v>
      </c>
    </row>
    <row r="14" spans="1:31" s="407" customFormat="1" ht="72" customHeight="1">
      <c r="A14" s="413">
        <v>3</v>
      </c>
      <c r="B14" s="414" t="s">
        <v>880</v>
      </c>
      <c r="C14" s="415">
        <v>0.5</v>
      </c>
      <c r="D14" s="416">
        <v>30</v>
      </c>
      <c r="E14" s="417">
        <v>1</v>
      </c>
      <c r="F14" s="417">
        <v>1</v>
      </c>
      <c r="G14" s="418">
        <v>1</v>
      </c>
      <c r="H14" s="416">
        <f>IF(G14=0,C14*D14/E14/F14,0)</f>
        <v>0</v>
      </c>
      <c r="I14" s="416">
        <f>IF($G14=1,$D14/E14/F14,0)</f>
        <v>30</v>
      </c>
      <c r="J14" s="419">
        <f>IF($G14=1,$C14*MAX(I$12:I$15),0)</f>
        <v>30</v>
      </c>
      <c r="K14" s="419">
        <f>IF($G14=2,$D14/E14/F14,0)</f>
        <v>0</v>
      </c>
      <c r="L14" s="419">
        <f>IF($G13:$G32=2,$C13:$C32*MAX(K$12:K$15),0)</f>
        <v>0</v>
      </c>
      <c r="M14" s="420">
        <f>10*3600/D14*E14*F14</f>
        <v>1200</v>
      </c>
      <c r="N14" s="421">
        <v>3.0000000000000001E-3</v>
      </c>
      <c r="O14" s="422">
        <f>1-N14</f>
        <v>0.997</v>
      </c>
      <c r="P14" s="591">
        <v>30</v>
      </c>
      <c r="Q14" s="424">
        <v>1</v>
      </c>
      <c r="R14" s="424">
        <f t="shared" si="9"/>
        <v>30</v>
      </c>
      <c r="S14" s="591">
        <v>0.5</v>
      </c>
      <c r="T14" s="997"/>
      <c r="U14" s="425" t="s">
        <v>881</v>
      </c>
      <c r="V14" s="426">
        <v>1</v>
      </c>
      <c r="W14" s="426"/>
      <c r="X14" s="432"/>
      <c r="Y14" s="428"/>
      <c r="Z14" s="426">
        <f t="shared" ref="Z14:Z15" si="10">F14</f>
        <v>1</v>
      </c>
      <c r="AA14" s="427">
        <v>3149.6062992125985</v>
      </c>
      <c r="AB14" s="428">
        <f t="shared" si="5"/>
        <v>3149.6062992125985</v>
      </c>
      <c r="AC14" s="429">
        <f t="shared" si="6"/>
        <v>20000</v>
      </c>
      <c r="AD14" s="429">
        <f t="shared" si="7"/>
        <v>20000</v>
      </c>
    </row>
    <row r="15" spans="1:31" s="407" customFormat="1" ht="72" customHeight="1">
      <c r="A15" s="413">
        <v>4</v>
      </c>
      <c r="B15" s="433" t="s">
        <v>882</v>
      </c>
      <c r="C15" s="415">
        <v>1</v>
      </c>
      <c r="D15" s="416">
        <v>20</v>
      </c>
      <c r="E15" s="417">
        <v>1</v>
      </c>
      <c r="F15" s="417">
        <v>1</v>
      </c>
      <c r="G15" s="418">
        <v>0</v>
      </c>
      <c r="H15" s="416">
        <f t="shared" ref="H15" si="11">IF(G15=0,C15*D15/E15/F15,0)</f>
        <v>20</v>
      </c>
      <c r="I15" s="416">
        <f>IF($G15=1,$D15/E15/F15,0)</f>
        <v>0</v>
      </c>
      <c r="J15" s="416">
        <f>IF($G15=1,$C15*MAX(I$12:I$15),0)</f>
        <v>0</v>
      </c>
      <c r="K15" s="416">
        <f t="shared" si="1"/>
        <v>0</v>
      </c>
      <c r="L15" s="419">
        <f>IF($G15:$G37=2,$C15:$C37*MAX(K$12:K$15),0)</f>
        <v>0</v>
      </c>
      <c r="M15" s="420">
        <f t="shared" si="2"/>
        <v>1800</v>
      </c>
      <c r="N15" s="434">
        <v>0</v>
      </c>
      <c r="O15" s="422">
        <f t="shared" si="3"/>
        <v>1</v>
      </c>
      <c r="P15" s="591">
        <v>20</v>
      </c>
      <c r="Q15" s="424">
        <v>1</v>
      </c>
      <c r="R15" s="424">
        <f t="shared" si="9"/>
        <v>20</v>
      </c>
      <c r="S15" s="591">
        <v>1</v>
      </c>
      <c r="T15" s="424">
        <v>20</v>
      </c>
      <c r="U15" s="425" t="s">
        <v>883</v>
      </c>
      <c r="V15" s="426">
        <v>1</v>
      </c>
      <c r="W15" s="426"/>
      <c r="X15" s="427"/>
      <c r="Y15" s="428"/>
      <c r="Z15" s="426">
        <f t="shared" si="10"/>
        <v>1</v>
      </c>
      <c r="AA15" s="427">
        <v>3937.0078740157483</v>
      </c>
      <c r="AB15" s="428">
        <f t="shared" si="5"/>
        <v>3937.0078740157483</v>
      </c>
      <c r="AC15" s="429">
        <f t="shared" si="6"/>
        <v>25000</v>
      </c>
      <c r="AD15" s="429">
        <f t="shared" si="7"/>
        <v>25000</v>
      </c>
    </row>
    <row r="16" spans="1:31" s="407" customFormat="1" ht="72" customHeight="1">
      <c r="A16" s="413"/>
      <c r="B16" s="435" t="s">
        <v>884</v>
      </c>
      <c r="C16" s="436"/>
      <c r="D16" s="437"/>
      <c r="E16" s="438"/>
      <c r="F16" s="438"/>
      <c r="G16" s="439"/>
      <c r="H16" s="440"/>
      <c r="I16" s="440"/>
      <c r="J16" s="440"/>
      <c r="K16" s="440"/>
      <c r="L16" s="440"/>
      <c r="M16" s="441"/>
      <c r="N16" s="442"/>
      <c r="O16" s="443"/>
      <c r="P16" s="437"/>
      <c r="Q16" s="438"/>
      <c r="R16" s="438"/>
      <c r="S16" s="437"/>
      <c r="T16" s="438"/>
      <c r="U16" s="443"/>
      <c r="V16" s="426">
        <v>1</v>
      </c>
      <c r="W16" s="444"/>
      <c r="X16" s="445"/>
      <c r="Y16" s="446"/>
      <c r="Z16" s="447">
        <v>1</v>
      </c>
      <c r="AA16" s="448">
        <f>25000/6.35</f>
        <v>3937.0078740157483</v>
      </c>
      <c r="AB16" s="448">
        <f t="shared" ref="AB16:AB19" si="12">Z16*AA16</f>
        <v>3937.0078740157483</v>
      </c>
      <c r="AC16" s="449">
        <f t="shared" si="6"/>
        <v>25000</v>
      </c>
      <c r="AD16" s="449">
        <f t="shared" si="7"/>
        <v>25000</v>
      </c>
    </row>
    <row r="17" spans="1:30" s="407" customFormat="1" ht="72" customHeight="1">
      <c r="A17" s="413"/>
      <c r="B17" s="450" t="s">
        <v>885</v>
      </c>
      <c r="C17" s="436"/>
      <c r="D17" s="437"/>
      <c r="E17" s="438"/>
      <c r="F17" s="438"/>
      <c r="G17" s="439"/>
      <c r="H17" s="440"/>
      <c r="I17" s="440"/>
      <c r="J17" s="440"/>
      <c r="K17" s="440"/>
      <c r="L17" s="440"/>
      <c r="M17" s="441"/>
      <c r="N17" s="442"/>
      <c r="O17" s="443"/>
      <c r="P17" s="437"/>
      <c r="Q17" s="438"/>
      <c r="R17" s="438"/>
      <c r="S17" s="437"/>
      <c r="T17" s="438"/>
      <c r="U17" s="443"/>
      <c r="V17" s="426">
        <v>1</v>
      </c>
      <c r="W17" s="444"/>
      <c r="X17" s="445"/>
      <c r="Y17" s="446"/>
      <c r="Z17" s="447">
        <v>1</v>
      </c>
      <c r="AA17" s="448">
        <f>50000/6.35</f>
        <v>7874.0157480314965</v>
      </c>
      <c r="AB17" s="448">
        <f t="shared" si="12"/>
        <v>7874.0157480314965</v>
      </c>
      <c r="AC17" s="449">
        <f t="shared" si="6"/>
        <v>50000</v>
      </c>
      <c r="AD17" s="449">
        <f t="shared" si="7"/>
        <v>50000</v>
      </c>
    </row>
    <row r="18" spans="1:30" s="407" customFormat="1" ht="72" customHeight="1">
      <c r="A18" s="413"/>
      <c r="B18" s="435" t="s">
        <v>886</v>
      </c>
      <c r="C18" s="436"/>
      <c r="D18" s="437"/>
      <c r="E18" s="438"/>
      <c r="F18" s="438"/>
      <c r="G18" s="439"/>
      <c r="H18" s="440"/>
      <c r="I18" s="440"/>
      <c r="J18" s="440"/>
      <c r="K18" s="440"/>
      <c r="L18" s="440"/>
      <c r="M18" s="441"/>
      <c r="N18" s="442"/>
      <c r="O18" s="443"/>
      <c r="P18" s="437"/>
      <c r="Q18" s="438"/>
      <c r="R18" s="438"/>
      <c r="S18" s="437"/>
      <c r="T18" s="438"/>
      <c r="U18" s="443"/>
      <c r="V18" s="426">
        <v>1</v>
      </c>
      <c r="W18" s="444"/>
      <c r="X18" s="445"/>
      <c r="Y18" s="446"/>
      <c r="Z18" s="447">
        <v>1</v>
      </c>
      <c r="AA18" s="448">
        <v>0</v>
      </c>
      <c r="AB18" s="448">
        <f t="shared" si="12"/>
        <v>0</v>
      </c>
      <c r="AC18" s="449">
        <v>0</v>
      </c>
      <c r="AD18" s="449">
        <f t="shared" si="7"/>
        <v>0</v>
      </c>
    </row>
    <row r="19" spans="1:30" s="407" customFormat="1" ht="72" customHeight="1">
      <c r="A19" s="413"/>
      <c r="B19" s="435" t="s">
        <v>887</v>
      </c>
      <c r="C19" s="436"/>
      <c r="D19" s="437"/>
      <c r="E19" s="438"/>
      <c r="F19" s="438"/>
      <c r="G19" s="439"/>
      <c r="H19" s="440"/>
      <c r="I19" s="440"/>
      <c r="J19" s="440"/>
      <c r="K19" s="440"/>
      <c r="L19" s="440"/>
      <c r="M19" s="441"/>
      <c r="N19" s="442"/>
      <c r="O19" s="443"/>
      <c r="P19" s="437"/>
      <c r="Q19" s="438"/>
      <c r="R19" s="438"/>
      <c r="S19" s="437"/>
      <c r="T19" s="438"/>
      <c r="U19" s="443"/>
      <c r="V19" s="426">
        <v>1</v>
      </c>
      <c r="W19" s="444"/>
      <c r="X19" s="445"/>
      <c r="Y19" s="446"/>
      <c r="Z19" s="447">
        <v>1</v>
      </c>
      <c r="AA19" s="448">
        <v>70787.401574803152</v>
      </c>
      <c r="AB19" s="448">
        <f t="shared" si="12"/>
        <v>70787.401574803152</v>
      </c>
      <c r="AC19" s="449">
        <f t="shared" si="6"/>
        <v>449500</v>
      </c>
      <c r="AD19" s="449">
        <f t="shared" si="7"/>
        <v>449500</v>
      </c>
    </row>
    <row r="20" spans="1:30" s="407" customFormat="1" ht="46.5" customHeight="1">
      <c r="A20" s="413"/>
      <c r="B20" s="584"/>
      <c r="C20" s="452">
        <f>SUM(C12:C15)</f>
        <v>3</v>
      </c>
      <c r="D20" s="453"/>
      <c r="E20" s="453"/>
      <c r="F20" s="586"/>
      <c r="G20" s="586"/>
      <c r="H20" s="455">
        <f>SUM(H12:H15)</f>
        <v>20</v>
      </c>
      <c r="I20" s="455"/>
      <c r="J20" s="455">
        <f>SUM(J12:J15)</f>
        <v>120</v>
      </c>
      <c r="K20" s="455"/>
      <c r="L20" s="455">
        <f>SUM(L12:L15)</f>
        <v>0</v>
      </c>
      <c r="M20" s="456">
        <f>MIN(M12:M15)</f>
        <v>600</v>
      </c>
      <c r="N20" s="421">
        <f>SUM(N12:N15)</f>
        <v>0.01</v>
      </c>
      <c r="O20" s="457">
        <f>1-N20</f>
        <v>0.99</v>
      </c>
      <c r="P20" s="458"/>
      <c r="Q20" s="458">
        <f>SUM(Q12:Q15)</f>
        <v>4</v>
      </c>
      <c r="R20" s="458"/>
      <c r="S20" s="458">
        <f>SUM(S12:S15)</f>
        <v>3</v>
      </c>
      <c r="T20" s="458"/>
      <c r="U20" s="459"/>
      <c r="V20" s="459"/>
      <c r="W20" s="998" t="s">
        <v>888</v>
      </c>
      <c r="X20" s="999"/>
      <c r="Y20" s="1002">
        <f>SUM(Y12:Y15)</f>
        <v>1102.3622047244096</v>
      </c>
      <c r="Z20" s="998" t="s">
        <v>888</v>
      </c>
      <c r="AA20" s="999"/>
      <c r="AB20" s="1002">
        <f>SUM(AB12:AB19)</f>
        <v>154507.0082007384</v>
      </c>
    </row>
    <row r="21" spans="1:30" s="407" customFormat="1" ht="46.5" customHeight="1">
      <c r="A21" s="988" t="s">
        <v>889</v>
      </c>
      <c r="B21" s="989"/>
      <c r="C21" s="989"/>
      <c r="D21" s="989"/>
      <c r="E21" s="989"/>
      <c r="F21" s="989"/>
      <c r="G21" s="990"/>
      <c r="H21" s="991">
        <f>SUM(H20:L20)</f>
        <v>140</v>
      </c>
      <c r="I21" s="991"/>
      <c r="J21" s="991"/>
      <c r="K21" s="991"/>
      <c r="L21" s="991"/>
      <c r="M21" s="991"/>
      <c r="N21" s="991"/>
      <c r="O21" s="991"/>
      <c r="P21" s="460" t="s">
        <v>889</v>
      </c>
      <c r="Q21" s="461">
        <f>SUM(P20:Q20)</f>
        <v>4</v>
      </c>
      <c r="R21" s="462"/>
      <c r="S21" s="462"/>
      <c r="T21" s="462"/>
      <c r="U21" s="463">
        <f>N5*2</f>
        <v>662.72223600000007</v>
      </c>
      <c r="V21" s="464"/>
      <c r="W21" s="1000"/>
      <c r="X21" s="1001"/>
      <c r="Y21" s="1003"/>
      <c r="Z21" s="1000"/>
      <c r="AA21" s="1001"/>
      <c r="AB21" s="1003"/>
    </row>
    <row r="22" spans="1:30" ht="155.5" customHeight="1">
      <c r="A22" s="992" t="s">
        <v>890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row>
  </sheetData>
  <mergeCells count="58">
    <mergeCell ref="A21:G21"/>
    <mergeCell ref="H21:O21"/>
    <mergeCell ref="A22:AB22"/>
    <mergeCell ref="V10:V11"/>
    <mergeCell ref="W10:Y10"/>
    <mergeCell ref="Z10:AB10"/>
    <mergeCell ref="T12:T14"/>
    <mergeCell ref="W20:X21"/>
    <mergeCell ref="Y20:Y21"/>
    <mergeCell ref="Z20:AA21"/>
    <mergeCell ref="AB20:AB21"/>
    <mergeCell ref="A10:A11"/>
    <mergeCell ref="B10:B11"/>
    <mergeCell ref="D10:M10"/>
    <mergeCell ref="N10:O10"/>
    <mergeCell ref="P10:T10"/>
    <mergeCell ref="A9:D9"/>
    <mergeCell ref="E9:G9"/>
    <mergeCell ref="H9:M9"/>
    <mergeCell ref="N9:O9"/>
    <mergeCell ref="P9:T9"/>
    <mergeCell ref="A7:D7"/>
    <mergeCell ref="E7:G7"/>
    <mergeCell ref="H7:M7"/>
    <mergeCell ref="N7:O7"/>
    <mergeCell ref="P7:T7"/>
    <mergeCell ref="A8:D8"/>
    <mergeCell ref="E8:G8"/>
    <mergeCell ref="H8:M8"/>
    <mergeCell ref="N8:O8"/>
    <mergeCell ref="P8:T8"/>
    <mergeCell ref="P4:T4"/>
    <mergeCell ref="A6:D6"/>
    <mergeCell ref="E6:G6"/>
    <mergeCell ref="H6:M6"/>
    <mergeCell ref="N6:O6"/>
    <mergeCell ref="P6:T6"/>
    <mergeCell ref="A5:D5"/>
    <mergeCell ref="E5:G5"/>
    <mergeCell ref="H5:M5"/>
    <mergeCell ref="N5:O5"/>
    <mergeCell ref="P5:T5"/>
    <mergeCell ref="A1:AB1"/>
    <mergeCell ref="A2:D2"/>
    <mergeCell ref="E2:G2"/>
    <mergeCell ref="H2:M2"/>
    <mergeCell ref="N2:O2"/>
    <mergeCell ref="P2:T2"/>
    <mergeCell ref="V2:AB9"/>
    <mergeCell ref="A3:D3"/>
    <mergeCell ref="E3:G3"/>
    <mergeCell ref="H3:M3"/>
    <mergeCell ref="N3:O3"/>
    <mergeCell ref="P3:T3"/>
    <mergeCell ref="A4:D4"/>
    <mergeCell ref="E4:G4"/>
    <mergeCell ref="H4:M4"/>
    <mergeCell ref="N4:O4"/>
  </mergeCells>
  <phoneticPr fontId="3" type="noConversion"/>
  <conditionalFormatting sqref="F1:F1048576">
    <cfRule type="cellIs" dxfId="11" priority="3" operator="greaterThan">
      <formula>1</formula>
    </cfRule>
  </conditionalFormatting>
  <conditionalFormatting sqref="G1:G9">
    <cfRule type="cellIs" dxfId="10" priority="5" operator="equal">
      <formula>0</formula>
    </cfRule>
  </conditionalFormatting>
  <conditionalFormatting sqref="G11:G1048576">
    <cfRule type="cellIs" dxfId="9" priority="4" operator="equal">
      <formula>0</formula>
    </cfRule>
  </conditionalFormatting>
  <conditionalFormatting sqref="V1:V19">
    <cfRule type="cellIs" dxfId="8" priority="2" operator="equal">
      <formula>1</formula>
    </cfRule>
  </conditionalFormatting>
  <conditionalFormatting sqref="V22:V1048576">
    <cfRule type="cellIs" dxfId="6" priority="6" operator="equal">
      <formula>1</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A41FE3DD-FA8D-47E9-84C9-64577ED4F814}">
            <xm:f>NOT(ISERROR(SEARCH(#REF!=1,V12)))</xm:f>
            <xm:f>#REF!=1</xm:f>
            <x14:dxf>
              <font>
                <color rgb="FF9C0006"/>
              </font>
              <fill>
                <patternFill>
                  <bgColor rgb="FFFFC7CE"/>
                </patternFill>
              </fill>
            </x14:dxf>
          </x14:cfRule>
          <xm:sqref>V12:V19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62CB4-F821-4702-99FC-9B2738BD0BB5}">
  <dimension ref="A1:AE22"/>
  <sheetViews>
    <sheetView zoomScale="40" zoomScaleNormal="49" workbookViewId="0">
      <selection activeCell="N20" sqref="N20"/>
    </sheetView>
  </sheetViews>
  <sheetFormatPr defaultColWidth="9" defaultRowHeight="12.5"/>
  <cols>
    <col min="1" max="1" width="5.90625" style="400" customWidth="1"/>
    <col min="2" max="2" width="51" style="466" customWidth="1"/>
    <col min="3" max="3" width="12.36328125" style="400" customWidth="1"/>
    <col min="4" max="4" width="12.36328125" style="467" customWidth="1"/>
    <col min="5" max="5" width="12.1796875" style="467" customWidth="1"/>
    <col min="6" max="6" width="12.1796875" style="468" customWidth="1"/>
    <col min="7" max="7" width="12.1796875" style="469" customWidth="1"/>
    <col min="8" max="12" width="11.7265625" style="400" customWidth="1"/>
    <col min="13" max="13" width="12.36328125" style="400" customWidth="1"/>
    <col min="14" max="14" width="18.54296875" style="400" customWidth="1"/>
    <col min="15" max="15" width="18.81640625" style="400" customWidth="1"/>
    <col min="16" max="20" width="15.1796875" style="400" customWidth="1"/>
    <col min="21" max="21" width="48.1796875" style="400" customWidth="1"/>
    <col min="22" max="22" width="15.6328125" style="400" customWidth="1"/>
    <col min="23" max="23" width="11.08984375" style="400" customWidth="1"/>
    <col min="24" max="25" width="19.90625" style="400" customWidth="1"/>
    <col min="26" max="26" width="11.08984375" style="400" customWidth="1"/>
    <col min="27" max="27" width="19.90625" style="400" customWidth="1"/>
    <col min="28" max="28" width="19.90625" style="470" customWidth="1"/>
    <col min="29" max="30" width="20.1796875" style="400" customWidth="1"/>
    <col min="31" max="31" width="23.54296875" style="400" customWidth="1"/>
    <col min="32" max="16384" width="9" style="400"/>
  </cols>
  <sheetData>
    <row r="1" spans="1:31" ht="60" customHeight="1">
      <c r="A1" s="964" t="s">
        <v>827</v>
      </c>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row>
    <row r="2" spans="1:31" s="402" customFormat="1" ht="82.5" customHeight="1">
      <c r="A2" s="965" t="s">
        <v>828</v>
      </c>
      <c r="B2" s="965"/>
      <c r="C2" s="965"/>
      <c r="D2" s="965"/>
      <c r="E2" s="966" t="str">
        <f>[14]Cover!D5</f>
        <v>Controller</v>
      </c>
      <c r="F2" s="966"/>
      <c r="G2" s="966"/>
      <c r="H2" s="967" t="s">
        <v>829</v>
      </c>
      <c r="I2" s="967"/>
      <c r="J2" s="967"/>
      <c r="K2" s="967"/>
      <c r="L2" s="967"/>
      <c r="M2" s="967"/>
      <c r="N2" s="968">
        <v>1000</v>
      </c>
      <c r="O2" s="968"/>
      <c r="P2" s="969" t="s">
        <v>830</v>
      </c>
      <c r="Q2" s="970"/>
      <c r="R2" s="970"/>
      <c r="S2" s="970"/>
      <c r="T2" s="970"/>
      <c r="U2" s="401">
        <f>N2/U4</f>
        <v>0.18488336309493272</v>
      </c>
      <c r="V2" s="971"/>
      <c r="W2" s="972"/>
      <c r="X2" s="972"/>
      <c r="Y2" s="972"/>
      <c r="Z2" s="972"/>
      <c r="AA2" s="972"/>
      <c r="AB2" s="973"/>
    </row>
    <row r="3" spans="1:31" ht="25" customHeight="1">
      <c r="A3" s="977" t="s">
        <v>831</v>
      </c>
      <c r="B3" s="977"/>
      <c r="C3" s="977"/>
      <c r="D3" s="977"/>
      <c r="E3" s="966" t="s">
        <v>832</v>
      </c>
      <c r="F3" s="966"/>
      <c r="G3" s="966"/>
      <c r="H3" s="967" t="s">
        <v>833</v>
      </c>
      <c r="I3" s="967"/>
      <c r="J3" s="967"/>
      <c r="K3" s="967"/>
      <c r="L3" s="967"/>
      <c r="M3" s="967"/>
      <c r="N3" s="978">
        <v>21</v>
      </c>
      <c r="O3" s="978"/>
      <c r="P3" s="969" t="s">
        <v>834</v>
      </c>
      <c r="Q3" s="970"/>
      <c r="R3" s="970"/>
      <c r="S3" s="970"/>
      <c r="T3" s="970"/>
      <c r="U3" s="401">
        <f>SUMIF(E12:E15,1,I12:I15)/(N6*SUM(E12:E15))</f>
        <v>0.61250000000000004</v>
      </c>
      <c r="V3" s="974"/>
      <c r="W3" s="975"/>
      <c r="X3" s="975"/>
      <c r="Y3" s="975"/>
      <c r="Z3" s="975"/>
      <c r="AA3" s="975"/>
      <c r="AB3" s="976"/>
    </row>
    <row r="4" spans="1:31" ht="25" customHeight="1">
      <c r="A4" s="977" t="s">
        <v>831</v>
      </c>
      <c r="B4" s="977"/>
      <c r="C4" s="977"/>
      <c r="D4" s="977"/>
      <c r="E4" s="966" t="s">
        <v>832</v>
      </c>
      <c r="F4" s="966"/>
      <c r="G4" s="966"/>
      <c r="H4" s="967" t="s">
        <v>835</v>
      </c>
      <c r="I4" s="967"/>
      <c r="J4" s="967"/>
      <c r="K4" s="967"/>
      <c r="L4" s="967"/>
      <c r="M4" s="967"/>
      <c r="N4" s="979">
        <f>U8*U9*O20</f>
        <v>0.85854214285714281</v>
      </c>
      <c r="O4" s="979"/>
      <c r="P4" s="969" t="s">
        <v>836</v>
      </c>
      <c r="Q4" s="970"/>
      <c r="R4" s="970"/>
      <c r="S4" s="970"/>
      <c r="T4" s="970"/>
      <c r="U4" s="403">
        <f>IF(AND(ISNUMBER(N6),ISNUMBER(N3),ISNUMBER(N4)),3600/N6*N3*5)*N4*N7</f>
        <v>5408.8154999999997</v>
      </c>
      <c r="V4" s="974"/>
      <c r="W4" s="975"/>
      <c r="X4" s="975"/>
      <c r="Y4" s="975"/>
      <c r="Z4" s="975"/>
      <c r="AA4" s="975"/>
      <c r="AB4" s="976"/>
    </row>
    <row r="5" spans="1:31" ht="32.4" customHeight="1">
      <c r="A5" s="977" t="s">
        <v>837</v>
      </c>
      <c r="B5" s="977"/>
      <c r="C5" s="977"/>
      <c r="D5" s="977"/>
      <c r="E5" s="966" t="s">
        <v>832</v>
      </c>
      <c r="F5" s="966"/>
      <c r="G5" s="966"/>
      <c r="H5" s="967" t="s">
        <v>838</v>
      </c>
      <c r="I5" s="967"/>
      <c r="J5" s="967"/>
      <c r="K5" s="967"/>
      <c r="L5" s="967"/>
      <c r="M5" s="967"/>
      <c r="N5" s="981">
        <f>IF(ISNUMBER(N2),N3*5*3600/N2*N4)</f>
        <v>324.52893</v>
      </c>
      <c r="O5" s="981"/>
      <c r="P5" s="969" t="s">
        <v>839</v>
      </c>
      <c r="Q5" s="970"/>
      <c r="R5" s="970"/>
      <c r="S5" s="970"/>
      <c r="T5" s="970"/>
      <c r="U5" s="401">
        <f>N2/U7</f>
        <v>0.18488336309493272</v>
      </c>
      <c r="V5" s="974"/>
      <c r="W5" s="975"/>
      <c r="X5" s="975"/>
      <c r="Y5" s="975"/>
      <c r="Z5" s="975"/>
      <c r="AA5" s="975"/>
      <c r="AB5" s="976"/>
    </row>
    <row r="6" spans="1:31" ht="42" customHeight="1">
      <c r="A6" s="977" t="s">
        <v>840</v>
      </c>
      <c r="B6" s="977"/>
      <c r="C6" s="977"/>
      <c r="D6" s="977"/>
      <c r="E6" s="966" t="s">
        <v>841</v>
      </c>
      <c r="F6" s="966"/>
      <c r="G6" s="966"/>
      <c r="H6" s="967" t="s">
        <v>842</v>
      </c>
      <c r="I6" s="967"/>
      <c r="J6" s="967"/>
      <c r="K6" s="967"/>
      <c r="L6" s="967"/>
      <c r="M6" s="967"/>
      <c r="N6" s="980">
        <f>MAX(D12:D15)</f>
        <v>60</v>
      </c>
      <c r="O6" s="980"/>
      <c r="P6" s="969" t="s">
        <v>843</v>
      </c>
      <c r="Q6" s="970"/>
      <c r="R6" s="970"/>
      <c r="S6" s="970"/>
      <c r="T6" s="970"/>
      <c r="U6" s="401">
        <f>SUMIF(E12:E15,1,K12:K15)/(N8*SUM(E12:E15))</f>
        <v>0</v>
      </c>
      <c r="V6" s="974"/>
      <c r="W6" s="975"/>
      <c r="X6" s="975"/>
      <c r="Y6" s="975"/>
      <c r="Z6" s="975"/>
      <c r="AA6" s="975"/>
      <c r="AB6" s="976"/>
    </row>
    <row r="7" spans="1:31" ht="25" customHeight="1">
      <c r="A7" s="977" t="s">
        <v>844</v>
      </c>
      <c r="B7" s="977"/>
      <c r="C7" s="977"/>
      <c r="D7" s="977"/>
      <c r="E7" s="985" t="e">
        <f ca="1">OFFSET([14]Cover!H5,COUNTA([14]Cover!H5:H15)-1,0,1)</f>
        <v>#VALUE!</v>
      </c>
      <c r="F7" s="985"/>
      <c r="G7" s="985"/>
      <c r="H7" s="986" t="s">
        <v>845</v>
      </c>
      <c r="I7" s="986"/>
      <c r="J7" s="986"/>
      <c r="K7" s="986"/>
      <c r="L7" s="986"/>
      <c r="M7" s="986"/>
      <c r="N7" s="987">
        <f>ROUNDUP(N6/N5,0)</f>
        <v>1</v>
      </c>
      <c r="O7" s="987"/>
      <c r="P7" s="969" t="s">
        <v>846</v>
      </c>
      <c r="Q7" s="970"/>
      <c r="R7" s="970"/>
      <c r="S7" s="970"/>
      <c r="T7" s="970"/>
      <c r="U7" s="403">
        <f>IF(AND(ISNUMBER(N8),ISNUMBER(N3),ISNUMBER(N4)),3600/N8*N3*5)*N4*N9</f>
        <v>5408.8154999999997</v>
      </c>
      <c r="V7" s="974"/>
      <c r="W7" s="975"/>
      <c r="X7" s="975"/>
      <c r="Y7" s="975"/>
      <c r="Z7" s="975"/>
      <c r="AA7" s="975"/>
      <c r="AB7" s="976"/>
    </row>
    <row r="8" spans="1:31" ht="25" customHeight="1">
      <c r="A8" s="977" t="s">
        <v>847</v>
      </c>
      <c r="B8" s="977"/>
      <c r="C8" s="977"/>
      <c r="D8" s="977"/>
      <c r="E8" s="966" t="e">
        <f ca="1">OFFSET([14]Cover!G5,COUNTA([14]Cover!G5:G15)-1,0,1)</f>
        <v>#VALUE!</v>
      </c>
      <c r="F8" s="966"/>
      <c r="G8" s="966"/>
      <c r="H8" s="982" t="s">
        <v>848</v>
      </c>
      <c r="I8" s="982"/>
      <c r="J8" s="982"/>
      <c r="K8" s="982"/>
      <c r="L8" s="982"/>
      <c r="M8" s="982"/>
      <c r="N8" s="983">
        <f>MAX(R12:R15)</f>
        <v>60</v>
      </c>
      <c r="O8" s="984"/>
      <c r="P8" s="969" t="s">
        <v>849</v>
      </c>
      <c r="Q8" s="970"/>
      <c r="R8" s="970"/>
      <c r="S8" s="970"/>
      <c r="T8" s="970"/>
      <c r="U8" s="404">
        <f>19.17/21</f>
        <v>0.91285714285714292</v>
      </c>
      <c r="V8" s="974"/>
      <c r="W8" s="975"/>
      <c r="X8" s="975"/>
      <c r="Y8" s="975"/>
      <c r="Z8" s="975"/>
      <c r="AA8" s="975"/>
      <c r="AB8" s="976"/>
    </row>
    <row r="9" spans="1:31" ht="25" customHeight="1">
      <c r="A9" s="977" t="s">
        <v>850</v>
      </c>
      <c r="B9" s="977"/>
      <c r="C9" s="977"/>
      <c r="D9" s="977"/>
      <c r="E9" s="966" t="s">
        <v>851</v>
      </c>
      <c r="F9" s="966"/>
      <c r="G9" s="966"/>
      <c r="H9" s="982" t="s">
        <v>852</v>
      </c>
      <c r="I9" s="982"/>
      <c r="J9" s="982"/>
      <c r="K9" s="982"/>
      <c r="L9" s="982"/>
      <c r="M9" s="982"/>
      <c r="N9" s="987">
        <f>ROUNDUP(N8/N5,0)</f>
        <v>1</v>
      </c>
      <c r="O9" s="987"/>
      <c r="P9" s="969" t="s">
        <v>853</v>
      </c>
      <c r="Q9" s="970"/>
      <c r="R9" s="970"/>
      <c r="S9" s="970"/>
      <c r="T9" s="970"/>
      <c r="U9" s="404">
        <v>0.95</v>
      </c>
      <c r="V9" s="974"/>
      <c r="W9" s="975"/>
      <c r="X9" s="975"/>
      <c r="Y9" s="975"/>
      <c r="Z9" s="975"/>
      <c r="AA9" s="975"/>
      <c r="AB9" s="976"/>
    </row>
    <row r="10" spans="1:31" s="407" customFormat="1" ht="39" customHeight="1">
      <c r="A10" s="1004" t="s">
        <v>152</v>
      </c>
      <c r="B10" s="1005" t="s">
        <v>854</v>
      </c>
      <c r="C10" s="405" t="s">
        <v>855</v>
      </c>
      <c r="D10" s="994" t="s">
        <v>155</v>
      </c>
      <c r="E10" s="995"/>
      <c r="F10" s="995"/>
      <c r="G10" s="995"/>
      <c r="H10" s="995"/>
      <c r="I10" s="995"/>
      <c r="J10" s="995"/>
      <c r="K10" s="995"/>
      <c r="L10" s="995"/>
      <c r="M10" s="996"/>
      <c r="N10" s="1004" t="s">
        <v>156</v>
      </c>
      <c r="O10" s="1004"/>
      <c r="P10" s="1006" t="s">
        <v>856</v>
      </c>
      <c r="Q10" s="1007"/>
      <c r="R10" s="1007"/>
      <c r="S10" s="1007"/>
      <c r="T10" s="1008"/>
      <c r="U10" s="406" t="s">
        <v>157</v>
      </c>
      <c r="V10" s="993" t="s">
        <v>857</v>
      </c>
      <c r="W10" s="994" t="s">
        <v>158</v>
      </c>
      <c r="X10" s="995"/>
      <c r="Y10" s="996"/>
      <c r="Z10" s="994" t="s">
        <v>159</v>
      </c>
      <c r="AA10" s="995"/>
      <c r="AB10" s="996"/>
    </row>
    <row r="11" spans="1:31" s="407" customFormat="1" ht="95">
      <c r="A11" s="1004"/>
      <c r="B11" s="1005"/>
      <c r="C11" s="408" t="s">
        <v>858</v>
      </c>
      <c r="D11" s="409" t="s">
        <v>859</v>
      </c>
      <c r="E11" s="410" t="s">
        <v>860</v>
      </c>
      <c r="F11" s="411" t="s">
        <v>861</v>
      </c>
      <c r="G11" s="411" t="s">
        <v>862</v>
      </c>
      <c r="H11" s="408" t="s">
        <v>863</v>
      </c>
      <c r="I11" s="408" t="s">
        <v>864</v>
      </c>
      <c r="J11" s="408" t="s">
        <v>865</v>
      </c>
      <c r="K11" s="408" t="s">
        <v>866</v>
      </c>
      <c r="L11" s="408" t="s">
        <v>867</v>
      </c>
      <c r="M11" s="408" t="s">
        <v>165</v>
      </c>
      <c r="N11" s="408" t="s">
        <v>166</v>
      </c>
      <c r="O11" s="408" t="s">
        <v>167</v>
      </c>
      <c r="P11" s="412" t="s">
        <v>868</v>
      </c>
      <c r="Q11" s="412" t="s">
        <v>869</v>
      </c>
      <c r="R11" s="412" t="s">
        <v>870</v>
      </c>
      <c r="S11" s="412" t="s">
        <v>871</v>
      </c>
      <c r="T11" s="412" t="s">
        <v>872</v>
      </c>
      <c r="U11" s="408" t="s">
        <v>168</v>
      </c>
      <c r="V11" s="993"/>
      <c r="W11" s="408" t="s">
        <v>169</v>
      </c>
      <c r="X11" s="408" t="s">
        <v>170</v>
      </c>
      <c r="Y11" s="408" t="s">
        <v>171</v>
      </c>
      <c r="Z11" s="408" t="s">
        <v>169</v>
      </c>
      <c r="AA11" s="408" t="s">
        <v>170</v>
      </c>
      <c r="AB11" s="408" t="s">
        <v>171</v>
      </c>
      <c r="AC11" s="408" t="s">
        <v>873</v>
      </c>
      <c r="AD11" s="408" t="s">
        <v>874</v>
      </c>
    </row>
    <row r="12" spans="1:31" s="407" customFormat="1" ht="98.5" customHeight="1">
      <c r="A12" s="413">
        <v>1</v>
      </c>
      <c r="B12" s="414" t="s">
        <v>875</v>
      </c>
      <c r="C12" s="415">
        <v>1</v>
      </c>
      <c r="D12" s="416">
        <v>60</v>
      </c>
      <c r="E12" s="417">
        <v>1</v>
      </c>
      <c r="F12" s="417">
        <v>1</v>
      </c>
      <c r="G12" s="418">
        <v>1</v>
      </c>
      <c r="H12" s="416">
        <f>IF(G12=0,C12*D12/E12/F12,0)</f>
        <v>0</v>
      </c>
      <c r="I12" s="416">
        <f t="shared" ref="I12:I13" si="0">IF($G12=1,$D12/E12/F12,0)</f>
        <v>60</v>
      </c>
      <c r="J12" s="419">
        <f>IF($G12=1,$C12*MAX(I$12:I$15),0)</f>
        <v>60</v>
      </c>
      <c r="K12" s="419">
        <f t="shared" ref="K12:K15" si="1">IF($G12=2,$D12/E12/F12,0)</f>
        <v>0</v>
      </c>
      <c r="L12" s="419">
        <f>IF($G12:$G24=2,$C12:$C24*MAX(K$12:K$15),0)</f>
        <v>0</v>
      </c>
      <c r="M12" s="420">
        <f t="shared" ref="M12:M15" si="2">10*3600/D12*E12*F12</f>
        <v>600</v>
      </c>
      <c r="N12" s="421">
        <v>3.0000000000000001E-3</v>
      </c>
      <c r="O12" s="422">
        <f t="shared" ref="O12:O15" si="3">1-N12</f>
        <v>0.997</v>
      </c>
      <c r="P12" s="423">
        <v>60</v>
      </c>
      <c r="Q12" s="424">
        <f t="shared" ref="Q12:Q15" si="4">F12</f>
        <v>1</v>
      </c>
      <c r="R12" s="424">
        <f t="shared" ref="R12:R15" si="5">P12/Q12</f>
        <v>60</v>
      </c>
      <c r="S12" s="423">
        <f t="shared" ref="S12:S15" si="6">C12</f>
        <v>1</v>
      </c>
      <c r="T12" s="1009">
        <f>MAX(R12:R14)</f>
        <v>60</v>
      </c>
      <c r="U12" s="425" t="s">
        <v>876</v>
      </c>
      <c r="V12" s="426">
        <v>1</v>
      </c>
      <c r="W12" s="426">
        <v>2</v>
      </c>
      <c r="X12" s="427">
        <v>551.1811023622048</v>
      </c>
      <c r="Y12" s="428">
        <f t="shared" ref="Y12:Y13" si="7">W12*X12</f>
        <v>1102.3622047244096</v>
      </c>
      <c r="Z12" s="426">
        <v>1</v>
      </c>
      <c r="AA12" s="427">
        <v>61672.362531447063</v>
      </c>
      <c r="AB12" s="428">
        <f t="shared" ref="AB12:AB15" si="8">AA12*Z12</f>
        <v>61672.362531447063</v>
      </c>
      <c r="AC12" s="429">
        <f t="shared" ref="AC12:AC19" si="9">AA12*6.35</f>
        <v>391619.50207468885</v>
      </c>
      <c r="AD12" s="429">
        <f t="shared" ref="AD12:AD19" si="10">AC12*Z12</f>
        <v>391619.50207468885</v>
      </c>
    </row>
    <row r="13" spans="1:31" s="407" customFormat="1" ht="72" customHeight="1">
      <c r="A13" s="413">
        <v>2</v>
      </c>
      <c r="B13" s="414" t="s">
        <v>877</v>
      </c>
      <c r="C13" s="415">
        <v>0.5</v>
      </c>
      <c r="D13" s="430">
        <v>57</v>
      </c>
      <c r="E13" s="417">
        <v>1</v>
      </c>
      <c r="F13" s="417">
        <v>1</v>
      </c>
      <c r="G13" s="418">
        <v>1</v>
      </c>
      <c r="H13" s="416">
        <f t="shared" ref="H13" si="11">IF(G13=0,C13*D13/E13/F13,0)</f>
        <v>0</v>
      </c>
      <c r="I13" s="416">
        <f t="shared" si="0"/>
        <v>57</v>
      </c>
      <c r="J13" s="416">
        <f>IF($G13=1,$C13*MAX(I$12:I$15),0)</f>
        <v>30</v>
      </c>
      <c r="K13" s="416">
        <f t="shared" si="1"/>
        <v>0</v>
      </c>
      <c r="L13" s="419">
        <f>IF($G13:$G40=2,$C13:$C40*MAX(K$12:K$15),0)</f>
        <v>0</v>
      </c>
      <c r="M13" s="420">
        <f t="shared" si="2"/>
        <v>631.57894736842104</v>
      </c>
      <c r="N13" s="421">
        <v>4.0000000000000001E-3</v>
      </c>
      <c r="O13" s="422">
        <f t="shared" si="3"/>
        <v>0.996</v>
      </c>
      <c r="P13" s="423">
        <v>57</v>
      </c>
      <c r="Q13" s="424">
        <f t="shared" si="4"/>
        <v>1</v>
      </c>
      <c r="R13" s="424">
        <f t="shared" si="5"/>
        <v>57</v>
      </c>
      <c r="S13" s="423">
        <v>0.5</v>
      </c>
      <c r="T13" s="1009"/>
      <c r="U13" s="425" t="s">
        <v>878</v>
      </c>
      <c r="V13" s="426">
        <v>1</v>
      </c>
      <c r="W13" s="426"/>
      <c r="X13" s="427"/>
      <c r="Y13" s="428">
        <f t="shared" si="7"/>
        <v>0</v>
      </c>
      <c r="Z13" s="426">
        <f>F13</f>
        <v>1</v>
      </c>
      <c r="AA13" s="427">
        <v>3149.6062992125985</v>
      </c>
      <c r="AB13" s="428">
        <f t="shared" si="8"/>
        <v>3149.6062992125985</v>
      </c>
      <c r="AC13" s="429">
        <f t="shared" si="9"/>
        <v>20000</v>
      </c>
      <c r="AD13" s="429">
        <f t="shared" si="10"/>
        <v>20000</v>
      </c>
      <c r="AE13" s="431" t="s">
        <v>879</v>
      </c>
    </row>
    <row r="14" spans="1:31" s="407" customFormat="1" ht="72" customHeight="1">
      <c r="A14" s="413">
        <v>3</v>
      </c>
      <c r="B14" s="414" t="s">
        <v>880</v>
      </c>
      <c r="C14" s="415">
        <v>0.5</v>
      </c>
      <c r="D14" s="416">
        <v>30</v>
      </c>
      <c r="E14" s="417">
        <v>1</v>
      </c>
      <c r="F14" s="417">
        <v>1</v>
      </c>
      <c r="G14" s="418">
        <v>1</v>
      </c>
      <c r="H14" s="416">
        <f>IF(G14=0,C14*D14/E14/F14,0)</f>
        <v>0</v>
      </c>
      <c r="I14" s="416">
        <f>IF($G14=1,$D14/E14/F14,0)</f>
        <v>30</v>
      </c>
      <c r="J14" s="419">
        <f>IF($G14=1,$C14*MAX(I$12:I$15),0)</f>
        <v>30</v>
      </c>
      <c r="K14" s="419">
        <f>IF($G14=2,$D14/E14/F14,0)</f>
        <v>0</v>
      </c>
      <c r="L14" s="419">
        <f>IF($G13:$G32=2,$C13:$C32*MAX(K$12:K$15),0)</f>
        <v>0</v>
      </c>
      <c r="M14" s="420">
        <f>10*3600/D14*E14*F14</f>
        <v>1200</v>
      </c>
      <c r="N14" s="421">
        <v>3.0000000000000001E-3</v>
      </c>
      <c r="O14" s="422">
        <f>1-N14</f>
        <v>0.997</v>
      </c>
      <c r="P14" s="423">
        <v>30</v>
      </c>
      <c r="Q14" s="424">
        <f t="shared" si="4"/>
        <v>1</v>
      </c>
      <c r="R14" s="424">
        <f t="shared" si="5"/>
        <v>30</v>
      </c>
      <c r="S14" s="423">
        <v>0.5</v>
      </c>
      <c r="T14" s="1010"/>
      <c r="U14" s="425" t="s">
        <v>881</v>
      </c>
      <c r="V14" s="426">
        <v>1</v>
      </c>
      <c r="W14" s="426"/>
      <c r="X14" s="432"/>
      <c r="Y14" s="428"/>
      <c r="Z14" s="426">
        <f t="shared" ref="Z14:Z15" si="12">F14</f>
        <v>1</v>
      </c>
      <c r="AA14" s="427">
        <v>3149.6062992125985</v>
      </c>
      <c r="AB14" s="428">
        <f t="shared" si="8"/>
        <v>3149.6062992125985</v>
      </c>
      <c r="AC14" s="429">
        <f t="shared" si="9"/>
        <v>20000</v>
      </c>
      <c r="AD14" s="429">
        <f t="shared" si="10"/>
        <v>20000</v>
      </c>
    </row>
    <row r="15" spans="1:31" s="407" customFormat="1" ht="72" customHeight="1">
      <c r="A15" s="413">
        <v>4</v>
      </c>
      <c r="B15" s="433" t="s">
        <v>882</v>
      </c>
      <c r="C15" s="415">
        <v>1</v>
      </c>
      <c r="D15" s="416">
        <v>20</v>
      </c>
      <c r="E15" s="417">
        <v>1</v>
      </c>
      <c r="F15" s="417">
        <v>1</v>
      </c>
      <c r="G15" s="418">
        <v>0</v>
      </c>
      <c r="H15" s="416">
        <f t="shared" ref="H15" si="13">IF(G15=0,C15*D15/E15/F15,0)</f>
        <v>20</v>
      </c>
      <c r="I15" s="416">
        <f>IF($G15=1,$D15/E15/F15,0)</f>
        <v>0</v>
      </c>
      <c r="J15" s="416">
        <f>IF($G15=1,$C15*MAX(I$12:I$15),0)</f>
        <v>0</v>
      </c>
      <c r="K15" s="416">
        <f t="shared" si="1"/>
        <v>0</v>
      </c>
      <c r="L15" s="419">
        <f>IF($G15:$G37=2,$C15:$C37*MAX(K$12:K$15),0)</f>
        <v>0</v>
      </c>
      <c r="M15" s="420">
        <f t="shared" si="2"/>
        <v>1800</v>
      </c>
      <c r="N15" s="434">
        <v>0</v>
      </c>
      <c r="O15" s="422">
        <f t="shared" si="3"/>
        <v>1</v>
      </c>
      <c r="P15" s="423">
        <v>20</v>
      </c>
      <c r="Q15" s="424">
        <f t="shared" si="4"/>
        <v>1</v>
      </c>
      <c r="R15" s="424">
        <f t="shared" si="5"/>
        <v>20</v>
      </c>
      <c r="S15" s="423">
        <f t="shared" si="6"/>
        <v>1</v>
      </c>
      <c r="T15" s="424">
        <f t="shared" ref="T15" si="14">R15*S15</f>
        <v>20</v>
      </c>
      <c r="U15" s="425" t="s">
        <v>883</v>
      </c>
      <c r="V15" s="426">
        <v>1</v>
      </c>
      <c r="W15" s="426"/>
      <c r="X15" s="427"/>
      <c r="Y15" s="428"/>
      <c r="Z15" s="426">
        <f t="shared" si="12"/>
        <v>1</v>
      </c>
      <c r="AA15" s="427">
        <v>3937.0078740157483</v>
      </c>
      <c r="AB15" s="428">
        <f t="shared" si="8"/>
        <v>3937.0078740157483</v>
      </c>
      <c r="AC15" s="429">
        <f t="shared" si="9"/>
        <v>25000</v>
      </c>
      <c r="AD15" s="429">
        <f t="shared" si="10"/>
        <v>25000</v>
      </c>
    </row>
    <row r="16" spans="1:31" s="407" customFormat="1" ht="72" customHeight="1">
      <c r="A16" s="413"/>
      <c r="B16" s="435" t="s">
        <v>884</v>
      </c>
      <c r="C16" s="436"/>
      <c r="D16" s="437"/>
      <c r="E16" s="438"/>
      <c r="F16" s="438"/>
      <c r="G16" s="439"/>
      <c r="H16" s="440"/>
      <c r="I16" s="440"/>
      <c r="J16" s="440"/>
      <c r="K16" s="440"/>
      <c r="L16" s="440"/>
      <c r="M16" s="441"/>
      <c r="N16" s="442"/>
      <c r="O16" s="443"/>
      <c r="P16" s="437"/>
      <c r="Q16" s="438"/>
      <c r="R16" s="438"/>
      <c r="S16" s="437"/>
      <c r="T16" s="438"/>
      <c r="U16" s="443"/>
      <c r="V16" s="426">
        <v>1</v>
      </c>
      <c r="W16" s="444"/>
      <c r="X16" s="445"/>
      <c r="Y16" s="446"/>
      <c r="Z16" s="447">
        <v>1</v>
      </c>
      <c r="AA16" s="448">
        <f>25000/6.35</f>
        <v>3937.0078740157483</v>
      </c>
      <c r="AB16" s="448">
        <f t="shared" ref="AB16:AB19" si="15">Z16*AA16</f>
        <v>3937.0078740157483</v>
      </c>
      <c r="AC16" s="449">
        <f t="shared" si="9"/>
        <v>25000</v>
      </c>
      <c r="AD16" s="449">
        <f t="shared" si="10"/>
        <v>25000</v>
      </c>
    </row>
    <row r="17" spans="1:30" s="407" customFormat="1" ht="72" customHeight="1">
      <c r="A17" s="413"/>
      <c r="B17" s="450" t="s">
        <v>885</v>
      </c>
      <c r="C17" s="436"/>
      <c r="D17" s="437"/>
      <c r="E17" s="438"/>
      <c r="F17" s="438"/>
      <c r="G17" s="439"/>
      <c r="H17" s="440"/>
      <c r="I17" s="440"/>
      <c r="J17" s="440"/>
      <c r="K17" s="440"/>
      <c r="L17" s="440"/>
      <c r="M17" s="441"/>
      <c r="N17" s="442"/>
      <c r="O17" s="443"/>
      <c r="P17" s="437"/>
      <c r="Q17" s="438"/>
      <c r="R17" s="438"/>
      <c r="S17" s="437"/>
      <c r="T17" s="438"/>
      <c r="U17" s="443"/>
      <c r="V17" s="426">
        <v>1</v>
      </c>
      <c r="W17" s="444"/>
      <c r="X17" s="445"/>
      <c r="Y17" s="446"/>
      <c r="Z17" s="447">
        <v>1</v>
      </c>
      <c r="AA17" s="448">
        <f>50000/6.35</f>
        <v>7874.0157480314965</v>
      </c>
      <c r="AB17" s="448">
        <f t="shared" si="15"/>
        <v>7874.0157480314965</v>
      </c>
      <c r="AC17" s="449">
        <f t="shared" si="9"/>
        <v>50000</v>
      </c>
      <c r="AD17" s="449">
        <f t="shared" si="10"/>
        <v>50000</v>
      </c>
    </row>
    <row r="18" spans="1:30" s="407" customFormat="1" ht="72" customHeight="1">
      <c r="A18" s="413"/>
      <c r="B18" s="435" t="s">
        <v>886</v>
      </c>
      <c r="C18" s="436"/>
      <c r="D18" s="437"/>
      <c r="E18" s="438"/>
      <c r="F18" s="438"/>
      <c r="G18" s="439"/>
      <c r="H18" s="440"/>
      <c r="I18" s="440"/>
      <c r="J18" s="440"/>
      <c r="K18" s="440"/>
      <c r="L18" s="440"/>
      <c r="M18" s="441"/>
      <c r="N18" s="442"/>
      <c r="O18" s="443"/>
      <c r="P18" s="437"/>
      <c r="Q18" s="438"/>
      <c r="R18" s="438"/>
      <c r="S18" s="437"/>
      <c r="T18" s="438"/>
      <c r="U18" s="443"/>
      <c r="V18" s="426">
        <v>1</v>
      </c>
      <c r="W18" s="444"/>
      <c r="X18" s="445"/>
      <c r="Y18" s="446"/>
      <c r="Z18" s="447">
        <v>1</v>
      </c>
      <c r="AA18" s="448">
        <v>0</v>
      </c>
      <c r="AB18" s="448">
        <f t="shared" si="15"/>
        <v>0</v>
      </c>
      <c r="AC18" s="449">
        <v>0</v>
      </c>
      <c r="AD18" s="449">
        <f t="shared" si="10"/>
        <v>0</v>
      </c>
    </row>
    <row r="19" spans="1:30" s="407" customFormat="1" ht="72" customHeight="1">
      <c r="A19" s="413"/>
      <c r="B19" s="435" t="s">
        <v>887</v>
      </c>
      <c r="C19" s="436"/>
      <c r="D19" s="437"/>
      <c r="E19" s="438"/>
      <c r="F19" s="438"/>
      <c r="G19" s="439"/>
      <c r="H19" s="440"/>
      <c r="I19" s="440"/>
      <c r="J19" s="440"/>
      <c r="K19" s="440"/>
      <c r="L19" s="440"/>
      <c r="M19" s="441"/>
      <c r="N19" s="442"/>
      <c r="O19" s="443"/>
      <c r="P19" s="437"/>
      <c r="Q19" s="438"/>
      <c r="R19" s="438"/>
      <c r="S19" s="437"/>
      <c r="T19" s="438"/>
      <c r="U19" s="443"/>
      <c r="V19" s="426">
        <v>1</v>
      </c>
      <c r="W19" s="444"/>
      <c r="X19" s="445"/>
      <c r="Y19" s="446"/>
      <c r="Z19" s="447">
        <v>1</v>
      </c>
      <c r="AA19" s="448">
        <v>70787.401574803152</v>
      </c>
      <c r="AB19" s="448">
        <f t="shared" si="15"/>
        <v>70787.401574803152</v>
      </c>
      <c r="AC19" s="449">
        <f t="shared" si="9"/>
        <v>449500</v>
      </c>
      <c r="AD19" s="449">
        <f t="shared" si="10"/>
        <v>449500</v>
      </c>
    </row>
    <row r="20" spans="1:30" s="407" customFormat="1" ht="46.5" customHeight="1">
      <c r="A20" s="413"/>
      <c r="B20" s="451"/>
      <c r="C20" s="452">
        <f>SUM(C12:C15)</f>
        <v>3</v>
      </c>
      <c r="D20" s="453"/>
      <c r="E20" s="453"/>
      <c r="F20" s="454"/>
      <c r="G20" s="454"/>
      <c r="H20" s="455">
        <f>SUM(H12:H15)</f>
        <v>20</v>
      </c>
      <c r="I20" s="455"/>
      <c r="J20" s="455">
        <f>SUM(J12:J15)</f>
        <v>120</v>
      </c>
      <c r="K20" s="455"/>
      <c r="L20" s="455">
        <f>SUM(L12:L15)</f>
        <v>0</v>
      </c>
      <c r="M20" s="456">
        <f>MIN(M12:M15)</f>
        <v>600</v>
      </c>
      <c r="N20" s="421">
        <f>SUM(N12:N15)</f>
        <v>0.01</v>
      </c>
      <c r="O20" s="457">
        <f>1-N20</f>
        <v>0.99</v>
      </c>
      <c r="P20" s="458"/>
      <c r="Q20" s="458">
        <f>SUM(Q12:Q15)</f>
        <v>4</v>
      </c>
      <c r="R20" s="458"/>
      <c r="S20" s="458">
        <f>SUM(S12:S15)</f>
        <v>3</v>
      </c>
      <c r="T20" s="458"/>
      <c r="U20" s="459"/>
      <c r="V20" s="459"/>
      <c r="W20" s="998" t="s">
        <v>888</v>
      </c>
      <c r="X20" s="999"/>
      <c r="Y20" s="1002">
        <f>SUM(Y12:Y15)</f>
        <v>1102.3622047244096</v>
      </c>
      <c r="Z20" s="998" t="s">
        <v>888</v>
      </c>
      <c r="AA20" s="999"/>
      <c r="AB20" s="1002">
        <f>SUM(AB12:AB19)</f>
        <v>154507.0082007384</v>
      </c>
    </row>
    <row r="21" spans="1:30" s="407" customFormat="1" ht="46.5" customHeight="1">
      <c r="A21" s="988" t="s">
        <v>889</v>
      </c>
      <c r="B21" s="989"/>
      <c r="C21" s="989"/>
      <c r="D21" s="989"/>
      <c r="E21" s="989"/>
      <c r="F21" s="989"/>
      <c r="G21" s="990"/>
      <c r="H21" s="991">
        <f>SUM(H20:L20)</f>
        <v>140</v>
      </c>
      <c r="I21" s="991"/>
      <c r="J21" s="991"/>
      <c r="K21" s="991"/>
      <c r="L21" s="991"/>
      <c r="M21" s="991"/>
      <c r="N21" s="991"/>
      <c r="O21" s="991"/>
      <c r="P21" s="460" t="s">
        <v>889</v>
      </c>
      <c r="Q21" s="461">
        <f>SUM(P20:Q20)</f>
        <v>4</v>
      </c>
      <c r="R21" s="462"/>
      <c r="S21" s="462"/>
      <c r="T21" s="462"/>
      <c r="U21" s="463">
        <f>N5*2</f>
        <v>649.05786000000001</v>
      </c>
      <c r="V21" s="464"/>
      <c r="W21" s="1000"/>
      <c r="X21" s="1001"/>
      <c r="Y21" s="1003"/>
      <c r="Z21" s="1000"/>
      <c r="AA21" s="1001"/>
      <c r="AB21" s="1003"/>
      <c r="AD21" s="465">
        <f>SUM(AD12:AD20)</f>
        <v>981119.50207468891</v>
      </c>
    </row>
    <row r="22" spans="1:30" ht="155.5" customHeight="1">
      <c r="A22" s="992" t="s">
        <v>890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row>
  </sheetData>
  <mergeCells count="58">
    <mergeCell ref="A21:G21"/>
    <mergeCell ref="H21:O21"/>
    <mergeCell ref="A22:AB22"/>
    <mergeCell ref="V10:V11"/>
    <mergeCell ref="W10:Y10"/>
    <mergeCell ref="Z10:AB10"/>
    <mergeCell ref="T12:T14"/>
    <mergeCell ref="W20:X21"/>
    <mergeCell ref="Y20:Y21"/>
    <mergeCell ref="Z20:AA21"/>
    <mergeCell ref="AB20:AB21"/>
    <mergeCell ref="A10:A11"/>
    <mergeCell ref="B10:B11"/>
    <mergeCell ref="D10:M10"/>
    <mergeCell ref="N10:O10"/>
    <mergeCell ref="P10:T10"/>
    <mergeCell ref="A9:D9"/>
    <mergeCell ref="E9:G9"/>
    <mergeCell ref="H9:M9"/>
    <mergeCell ref="N9:O9"/>
    <mergeCell ref="P9:T9"/>
    <mergeCell ref="A7:D7"/>
    <mergeCell ref="E7:G7"/>
    <mergeCell ref="H7:M7"/>
    <mergeCell ref="N7:O7"/>
    <mergeCell ref="P7:T7"/>
    <mergeCell ref="A8:D8"/>
    <mergeCell ref="E8:G8"/>
    <mergeCell ref="H8:M8"/>
    <mergeCell ref="N8:O8"/>
    <mergeCell ref="P8:T8"/>
    <mergeCell ref="P4:T4"/>
    <mergeCell ref="A6:D6"/>
    <mergeCell ref="E6:G6"/>
    <mergeCell ref="H6:M6"/>
    <mergeCell ref="N6:O6"/>
    <mergeCell ref="P6:T6"/>
    <mergeCell ref="A5:D5"/>
    <mergeCell ref="E5:G5"/>
    <mergeCell ref="H5:M5"/>
    <mergeCell ref="N5:O5"/>
    <mergeCell ref="P5:T5"/>
    <mergeCell ref="A1:AB1"/>
    <mergeCell ref="A2:D2"/>
    <mergeCell ref="E2:G2"/>
    <mergeCell ref="H2:M2"/>
    <mergeCell ref="N2:O2"/>
    <mergeCell ref="P2:T2"/>
    <mergeCell ref="V2:AB9"/>
    <mergeCell ref="A3:D3"/>
    <mergeCell ref="E3:G3"/>
    <mergeCell ref="H3:M3"/>
    <mergeCell ref="N3:O3"/>
    <mergeCell ref="P3:T3"/>
    <mergeCell ref="A4:D4"/>
    <mergeCell ref="E4:G4"/>
    <mergeCell ref="H4:M4"/>
    <mergeCell ref="N4:O4"/>
  </mergeCells>
  <phoneticPr fontId="3" type="noConversion"/>
  <conditionalFormatting sqref="F1:F1048576">
    <cfRule type="cellIs" dxfId="5" priority="3" operator="greaterThan">
      <formula>1</formula>
    </cfRule>
  </conditionalFormatting>
  <conditionalFormatting sqref="G1:G9">
    <cfRule type="cellIs" dxfId="4" priority="5" operator="equal">
      <formula>0</formula>
    </cfRule>
  </conditionalFormatting>
  <conditionalFormatting sqref="G11:G1048576">
    <cfRule type="cellIs" dxfId="3" priority="4" operator="equal">
      <formula>0</formula>
    </cfRule>
  </conditionalFormatting>
  <conditionalFormatting sqref="V1:V19">
    <cfRule type="cellIs" dxfId="2" priority="2" operator="equal">
      <formula>1</formula>
    </cfRule>
  </conditionalFormatting>
  <conditionalFormatting sqref="V22:V1048576">
    <cfRule type="cellIs" dxfId="0" priority="6" operator="equal">
      <formula>1</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938B599-2C7F-4AD8-A3A6-0103A2A2E21D}">
            <xm:f>NOT(ISERROR(SEARCH(#REF!=1,V12)))</xm:f>
            <xm:f>#REF!=1</xm:f>
            <x14:dxf>
              <font>
                <color rgb="FF9C0006"/>
              </font>
              <fill>
                <patternFill>
                  <bgColor rgb="FFFFC7CE"/>
                </patternFill>
              </fill>
            </x14:dxf>
          </x14:cfRule>
          <xm:sqref>V12:V19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E1C31-9CCC-4901-AF66-8CFD06FBCF83}">
  <dimension ref="A1:P36"/>
  <sheetViews>
    <sheetView zoomScale="75" zoomScaleNormal="70" workbookViewId="0">
      <selection activeCell="H23" sqref="H23"/>
    </sheetView>
  </sheetViews>
  <sheetFormatPr defaultColWidth="11" defaultRowHeight="15"/>
  <cols>
    <col min="1" max="1" width="24.6328125" style="554" customWidth="1"/>
    <col min="2" max="2" width="8.1796875" style="568" bestFit="1" customWidth="1"/>
    <col min="3" max="3" width="20.08984375" style="569" customWidth="1"/>
    <col min="4" max="4" width="13.1796875" style="554" hidden="1" customWidth="1"/>
    <col min="5" max="5" width="21.453125" style="554" hidden="1" customWidth="1"/>
    <col min="6" max="6" width="13.1796875" style="554" hidden="1" customWidth="1"/>
    <col min="7" max="7" width="13.1796875" style="554" customWidth="1"/>
    <col min="8" max="9" width="11.1796875" style="554" bestFit="1" customWidth="1"/>
    <col min="10" max="10" width="22.7265625" style="554" customWidth="1"/>
    <col min="11" max="11" width="13" style="554" customWidth="1"/>
    <col min="12" max="12" width="50.81640625" style="554" customWidth="1"/>
    <col min="13" max="13" width="17.6328125" style="554" customWidth="1"/>
    <col min="14" max="14" width="11.1796875" style="554" bestFit="1" customWidth="1"/>
    <col min="15" max="16384" width="11" style="554"/>
  </cols>
  <sheetData>
    <row r="1" spans="1:14" ht="42" customHeight="1">
      <c r="A1" s="547" t="s">
        <v>978</v>
      </c>
      <c r="B1" s="548" t="s">
        <v>979</v>
      </c>
      <c r="C1" s="549" t="s">
        <v>980</v>
      </c>
      <c r="D1" s="550" t="s">
        <v>981</v>
      </c>
      <c r="E1" s="551" t="s">
        <v>982</v>
      </c>
      <c r="F1" s="550" t="s">
        <v>983</v>
      </c>
      <c r="G1" s="550" t="s">
        <v>1032</v>
      </c>
      <c r="H1" s="552" t="s">
        <v>984</v>
      </c>
      <c r="I1" s="553" t="s">
        <v>696</v>
      </c>
      <c r="J1" s="553" t="s">
        <v>985</v>
      </c>
      <c r="K1" s="553" t="s">
        <v>986</v>
      </c>
      <c r="L1" s="853" t="s">
        <v>987</v>
      </c>
      <c r="M1" s="853"/>
      <c r="N1" s="853"/>
    </row>
    <row r="2" spans="1:14">
      <c r="A2" s="555" t="s">
        <v>988</v>
      </c>
      <c r="B2" s="555" t="s">
        <v>989</v>
      </c>
      <c r="C2" s="556">
        <v>324092</v>
      </c>
      <c r="D2" s="557">
        <v>0.05</v>
      </c>
      <c r="E2" s="557"/>
      <c r="F2" s="558">
        <v>0.05</v>
      </c>
      <c r="G2" s="558">
        <v>0.05</v>
      </c>
      <c r="H2" s="559">
        <v>2</v>
      </c>
      <c r="I2" s="559">
        <f>H2*G2</f>
        <v>0.1</v>
      </c>
      <c r="J2" s="559">
        <f>3000*50</f>
        <v>150000</v>
      </c>
      <c r="K2" s="560">
        <f t="shared" ref="K2:K28" si="0">I2*C2/J2</f>
        <v>0.21606133333333333</v>
      </c>
      <c r="L2" s="854" t="s">
        <v>990</v>
      </c>
      <c r="M2" s="855"/>
      <c r="N2" s="855"/>
    </row>
    <row r="3" spans="1:14">
      <c r="A3" s="555" t="s">
        <v>991</v>
      </c>
      <c r="B3" s="555" t="s">
        <v>989</v>
      </c>
      <c r="C3" s="556">
        <v>324092</v>
      </c>
      <c r="D3" s="557">
        <v>0.05</v>
      </c>
      <c r="E3" s="557"/>
      <c r="F3" s="558">
        <v>0.05</v>
      </c>
      <c r="G3" s="558">
        <v>0.05</v>
      </c>
      <c r="H3" s="559">
        <v>2</v>
      </c>
      <c r="I3" s="559">
        <f t="shared" ref="I3:I28" si="1">H3*G3</f>
        <v>0.1</v>
      </c>
      <c r="J3" s="559">
        <f t="shared" ref="J3:J28" si="2">3000*50</f>
        <v>150000</v>
      </c>
      <c r="K3" s="560">
        <f t="shared" si="0"/>
        <v>0.21606133333333333</v>
      </c>
      <c r="L3" s="855" t="s">
        <v>991</v>
      </c>
      <c r="M3" s="855"/>
      <c r="N3" s="855"/>
    </row>
    <row r="4" spans="1:14">
      <c r="A4" s="555" t="s">
        <v>992</v>
      </c>
      <c r="B4" s="555" t="s">
        <v>989</v>
      </c>
      <c r="C4" s="556">
        <v>345012</v>
      </c>
      <c r="D4" s="557">
        <v>0.15</v>
      </c>
      <c r="E4" s="557"/>
      <c r="F4" s="558">
        <v>0.05</v>
      </c>
      <c r="G4" s="558">
        <v>0.05</v>
      </c>
      <c r="H4" s="561">
        <v>4</v>
      </c>
      <c r="I4" s="559">
        <f t="shared" si="1"/>
        <v>0.2</v>
      </c>
      <c r="J4" s="559">
        <f t="shared" si="2"/>
        <v>150000</v>
      </c>
      <c r="K4" s="560">
        <f t="shared" si="0"/>
        <v>0.46001600000000004</v>
      </c>
      <c r="L4" s="561" t="s">
        <v>993</v>
      </c>
      <c r="M4" s="561"/>
      <c r="N4" s="559"/>
    </row>
    <row r="5" spans="1:14">
      <c r="A5" s="555" t="s">
        <v>994</v>
      </c>
      <c r="B5" s="555" t="s">
        <v>989</v>
      </c>
      <c r="C5" s="556">
        <v>345012</v>
      </c>
      <c r="D5" s="557">
        <v>0.15</v>
      </c>
      <c r="E5" s="557"/>
      <c r="F5" s="558">
        <v>0.2</v>
      </c>
      <c r="G5" s="558">
        <v>0.2</v>
      </c>
      <c r="H5" s="561">
        <v>18</v>
      </c>
      <c r="I5" s="559">
        <f t="shared" si="1"/>
        <v>3.6</v>
      </c>
      <c r="J5" s="559">
        <f t="shared" si="2"/>
        <v>150000</v>
      </c>
      <c r="K5" s="560">
        <f t="shared" si="0"/>
        <v>8.2802880000000005</v>
      </c>
      <c r="L5" s="561" t="s">
        <v>995</v>
      </c>
      <c r="M5" s="561" t="s">
        <v>996</v>
      </c>
      <c r="N5" s="559" t="s">
        <v>997</v>
      </c>
    </row>
    <row r="6" spans="1:14">
      <c r="A6" s="555" t="s">
        <v>998</v>
      </c>
      <c r="B6" s="555" t="s">
        <v>989</v>
      </c>
      <c r="C6" s="556">
        <v>345012</v>
      </c>
      <c r="D6" s="557">
        <v>0.1</v>
      </c>
      <c r="E6" s="557"/>
      <c r="F6" s="558">
        <v>0.2</v>
      </c>
      <c r="G6" s="558">
        <v>0.2</v>
      </c>
      <c r="H6" s="561">
        <v>12</v>
      </c>
      <c r="I6" s="559">
        <f t="shared" si="1"/>
        <v>2.4000000000000004</v>
      </c>
      <c r="J6" s="559">
        <f t="shared" si="2"/>
        <v>150000</v>
      </c>
      <c r="K6" s="560">
        <f t="shared" si="0"/>
        <v>5.5201920000000007</v>
      </c>
      <c r="L6" s="561" t="s">
        <v>999</v>
      </c>
      <c r="M6" s="561" t="s">
        <v>997</v>
      </c>
      <c r="N6" s="559"/>
    </row>
    <row r="7" spans="1:14">
      <c r="A7" s="555" t="s">
        <v>1000</v>
      </c>
      <c r="B7" s="555" t="s">
        <v>989</v>
      </c>
      <c r="C7" s="556">
        <v>345012</v>
      </c>
      <c r="D7" s="558">
        <v>0.1</v>
      </c>
      <c r="E7" s="558"/>
      <c r="F7" s="558">
        <v>0.1</v>
      </c>
      <c r="G7" s="558">
        <v>0.2</v>
      </c>
      <c r="H7" s="561">
        <v>20</v>
      </c>
      <c r="I7" s="559">
        <f t="shared" si="1"/>
        <v>4</v>
      </c>
      <c r="J7" s="559">
        <f t="shared" si="2"/>
        <v>150000</v>
      </c>
      <c r="K7" s="560">
        <f t="shared" si="0"/>
        <v>9.2003199999999996</v>
      </c>
      <c r="L7" s="561" t="s">
        <v>1001</v>
      </c>
      <c r="M7" s="561"/>
      <c r="N7" s="559"/>
    </row>
    <row r="8" spans="1:14" ht="17.5">
      <c r="A8" s="555" t="s">
        <v>1002</v>
      </c>
      <c r="B8" s="555" t="s">
        <v>1003</v>
      </c>
      <c r="C8" s="556">
        <f>64181+20000</f>
        <v>84181</v>
      </c>
      <c r="D8" s="558">
        <v>0.1</v>
      </c>
      <c r="E8" s="562">
        <v>20000</v>
      </c>
      <c r="F8" s="558">
        <v>0.1</v>
      </c>
      <c r="G8" s="558">
        <v>0.1</v>
      </c>
      <c r="H8" s="561">
        <v>1</v>
      </c>
      <c r="I8" s="559">
        <f t="shared" si="1"/>
        <v>0.1</v>
      </c>
      <c r="J8" s="559">
        <f t="shared" si="2"/>
        <v>150000</v>
      </c>
      <c r="K8" s="560">
        <f t="shared" si="0"/>
        <v>5.6120666666666666E-2</v>
      </c>
      <c r="L8" s="561"/>
      <c r="M8" s="561"/>
      <c r="N8" s="559"/>
    </row>
    <row r="9" spans="1:14" ht="17.5">
      <c r="A9" s="555" t="s">
        <v>1004</v>
      </c>
      <c r="B9" s="555" t="s">
        <v>1003</v>
      </c>
      <c r="C9" s="556">
        <v>345012</v>
      </c>
      <c r="D9" s="558">
        <v>0.1</v>
      </c>
      <c r="E9" s="562">
        <v>20000</v>
      </c>
      <c r="F9" s="558">
        <v>0.1</v>
      </c>
      <c r="G9" s="558">
        <v>0.1</v>
      </c>
      <c r="H9" s="561">
        <v>1</v>
      </c>
      <c r="I9" s="559">
        <f t="shared" si="1"/>
        <v>0.1</v>
      </c>
      <c r="J9" s="559">
        <f t="shared" si="2"/>
        <v>150000</v>
      </c>
      <c r="K9" s="560">
        <f t="shared" si="0"/>
        <v>0.23000800000000002</v>
      </c>
      <c r="L9" s="561"/>
      <c r="M9" s="561"/>
      <c r="N9" s="559"/>
    </row>
    <row r="10" spans="1:14" ht="17.5">
      <c r="A10" s="555" t="s">
        <v>1005</v>
      </c>
      <c r="B10" s="555" t="s">
        <v>1003</v>
      </c>
      <c r="C10" s="556">
        <v>345012</v>
      </c>
      <c r="D10" s="558">
        <v>0.1</v>
      </c>
      <c r="E10" s="562">
        <v>20000</v>
      </c>
      <c r="F10" s="558">
        <v>0.1</v>
      </c>
      <c r="G10" s="558">
        <v>0.1</v>
      </c>
      <c r="H10" s="561">
        <v>4</v>
      </c>
      <c r="I10" s="559">
        <f t="shared" si="1"/>
        <v>0.4</v>
      </c>
      <c r="J10" s="559">
        <f t="shared" si="2"/>
        <v>150000</v>
      </c>
      <c r="K10" s="560">
        <f t="shared" si="0"/>
        <v>0.92003200000000007</v>
      </c>
      <c r="L10" s="561"/>
      <c r="M10" s="561"/>
      <c r="N10" s="559"/>
    </row>
    <row r="11" spans="1:14">
      <c r="A11" s="555" t="s">
        <v>1006</v>
      </c>
      <c r="B11" s="555" t="s">
        <v>989</v>
      </c>
      <c r="C11" s="556">
        <v>44100</v>
      </c>
      <c r="D11" s="558">
        <v>0.1</v>
      </c>
      <c r="E11" s="558"/>
      <c r="F11" s="558">
        <v>0.1</v>
      </c>
      <c r="G11" s="558">
        <v>0.1</v>
      </c>
      <c r="H11" s="561">
        <v>1</v>
      </c>
      <c r="I11" s="559">
        <f t="shared" si="1"/>
        <v>0.1</v>
      </c>
      <c r="J11" s="559">
        <f t="shared" si="2"/>
        <v>150000</v>
      </c>
      <c r="K11" s="560">
        <f t="shared" si="0"/>
        <v>2.9399999999999999E-2</v>
      </c>
      <c r="L11" s="561"/>
      <c r="M11" s="561"/>
      <c r="N11" s="559"/>
    </row>
    <row r="12" spans="1:14" ht="17.5">
      <c r="A12" s="555" t="s">
        <v>1007</v>
      </c>
      <c r="B12" s="555" t="s">
        <v>1003</v>
      </c>
      <c r="C12" s="556">
        <v>345012</v>
      </c>
      <c r="D12" s="558">
        <v>0.1</v>
      </c>
      <c r="E12" s="562">
        <v>20000</v>
      </c>
      <c r="F12" s="558">
        <v>0.1</v>
      </c>
      <c r="G12" s="558">
        <v>0.1</v>
      </c>
      <c r="H12" s="561">
        <v>2</v>
      </c>
      <c r="I12" s="559">
        <f t="shared" si="1"/>
        <v>0.2</v>
      </c>
      <c r="J12" s="559">
        <f t="shared" si="2"/>
        <v>150000</v>
      </c>
      <c r="K12" s="560">
        <f t="shared" si="0"/>
        <v>0.46001600000000004</v>
      </c>
      <c r="L12" s="561"/>
      <c r="M12" s="561"/>
      <c r="N12" s="559"/>
    </row>
    <row r="13" spans="1:14">
      <c r="A13" s="555" t="s">
        <v>1008</v>
      </c>
      <c r="B13" s="555" t="s">
        <v>989</v>
      </c>
      <c r="C13" s="556">
        <v>345012</v>
      </c>
      <c r="D13" s="558">
        <v>0.1</v>
      </c>
      <c r="E13" s="558"/>
      <c r="F13" s="558">
        <v>0.1</v>
      </c>
      <c r="G13" s="558">
        <v>0.1</v>
      </c>
      <c r="H13" s="561">
        <v>1</v>
      </c>
      <c r="I13" s="559">
        <f t="shared" si="1"/>
        <v>0.1</v>
      </c>
      <c r="J13" s="559">
        <f t="shared" si="2"/>
        <v>150000</v>
      </c>
      <c r="K13" s="560">
        <f t="shared" si="0"/>
        <v>0.23000800000000002</v>
      </c>
      <c r="L13" s="561"/>
      <c r="M13" s="561"/>
      <c r="N13" s="559"/>
    </row>
    <row r="14" spans="1:14">
      <c r="A14" s="555" t="s">
        <v>1009</v>
      </c>
      <c r="B14" s="555" t="s">
        <v>989</v>
      </c>
      <c r="C14" s="556">
        <v>44100</v>
      </c>
      <c r="D14" s="558">
        <v>0.1</v>
      </c>
      <c r="E14" s="558"/>
      <c r="F14" s="558">
        <v>0.1</v>
      </c>
      <c r="G14" s="558">
        <v>0.1</v>
      </c>
      <c r="H14" s="561">
        <v>1</v>
      </c>
      <c r="I14" s="559">
        <f t="shared" si="1"/>
        <v>0.1</v>
      </c>
      <c r="J14" s="559">
        <f t="shared" si="2"/>
        <v>150000</v>
      </c>
      <c r="K14" s="560">
        <f t="shared" si="0"/>
        <v>2.9399999999999999E-2</v>
      </c>
      <c r="L14" s="561"/>
      <c r="M14" s="561"/>
      <c r="N14" s="559"/>
    </row>
    <row r="15" spans="1:14">
      <c r="A15" s="555" t="s">
        <v>1010</v>
      </c>
      <c r="B15" s="555" t="s">
        <v>989</v>
      </c>
      <c r="C15" s="556">
        <v>86472.665454545437</v>
      </c>
      <c r="D15" s="563">
        <v>0.15</v>
      </c>
      <c r="E15" s="563"/>
      <c r="F15" s="558">
        <v>0.1</v>
      </c>
      <c r="G15" s="563">
        <v>0.1</v>
      </c>
      <c r="H15" s="561">
        <v>1</v>
      </c>
      <c r="I15" s="559">
        <f t="shared" si="1"/>
        <v>0.1</v>
      </c>
      <c r="J15" s="559">
        <f t="shared" si="2"/>
        <v>150000</v>
      </c>
      <c r="K15" s="560">
        <f t="shared" si="0"/>
        <v>5.7648443636363629E-2</v>
      </c>
      <c r="L15" s="561"/>
      <c r="M15" s="561"/>
      <c r="N15" s="559"/>
    </row>
    <row r="16" spans="1:14">
      <c r="A16" s="555" t="s">
        <v>1011</v>
      </c>
      <c r="B16" s="555" t="s">
        <v>989</v>
      </c>
      <c r="C16" s="556">
        <v>345012</v>
      </c>
      <c r="D16" s="558">
        <v>0.1</v>
      </c>
      <c r="E16" s="558"/>
      <c r="F16" s="558">
        <v>0.15</v>
      </c>
      <c r="G16" s="558">
        <v>0.15</v>
      </c>
      <c r="H16" s="561">
        <v>4</v>
      </c>
      <c r="I16" s="559">
        <f t="shared" si="1"/>
        <v>0.6</v>
      </c>
      <c r="J16" s="559">
        <f t="shared" si="2"/>
        <v>150000</v>
      </c>
      <c r="K16" s="560">
        <f t="shared" si="0"/>
        <v>1.3800479999999999</v>
      </c>
      <c r="L16" s="561" t="s">
        <v>1012</v>
      </c>
      <c r="M16" s="559"/>
      <c r="N16" s="559"/>
    </row>
    <row r="17" spans="1:16" ht="17.5">
      <c r="A17" s="555" t="s">
        <v>1013</v>
      </c>
      <c r="B17" s="555" t="s">
        <v>1003</v>
      </c>
      <c r="C17" s="556">
        <v>345012</v>
      </c>
      <c r="D17" s="563">
        <v>0.15</v>
      </c>
      <c r="E17" s="562">
        <v>20000</v>
      </c>
      <c r="F17" s="558">
        <v>0.1</v>
      </c>
      <c r="G17" s="563">
        <v>0.1</v>
      </c>
      <c r="H17" s="561">
        <v>1</v>
      </c>
      <c r="I17" s="559">
        <f t="shared" si="1"/>
        <v>0.1</v>
      </c>
      <c r="J17" s="559">
        <f t="shared" si="2"/>
        <v>150000</v>
      </c>
      <c r="K17" s="560">
        <f t="shared" si="0"/>
        <v>0.23000800000000002</v>
      </c>
      <c r="L17" s="561"/>
      <c r="M17" s="559"/>
      <c r="N17" s="559"/>
    </row>
    <row r="18" spans="1:16">
      <c r="A18" s="555" t="s">
        <v>1014</v>
      </c>
      <c r="B18" s="555" t="s">
        <v>989</v>
      </c>
      <c r="C18" s="556">
        <v>345012</v>
      </c>
      <c r="D18" s="558">
        <v>0.1</v>
      </c>
      <c r="E18" s="558"/>
      <c r="F18" s="558">
        <v>0.15</v>
      </c>
      <c r="G18" s="558">
        <v>0.15</v>
      </c>
      <c r="H18" s="561">
        <v>2</v>
      </c>
      <c r="I18" s="559">
        <f t="shared" si="1"/>
        <v>0.3</v>
      </c>
      <c r="J18" s="559">
        <f t="shared" si="2"/>
        <v>150000</v>
      </c>
      <c r="K18" s="560">
        <f t="shared" si="0"/>
        <v>0.69002399999999997</v>
      </c>
      <c r="L18" s="559"/>
      <c r="M18" s="559"/>
      <c r="N18" s="559"/>
    </row>
    <row r="19" spans="1:16">
      <c r="A19" s="555" t="s">
        <v>1015</v>
      </c>
      <c r="B19" s="555" t="s">
        <v>989</v>
      </c>
      <c r="C19" s="556">
        <v>345012</v>
      </c>
      <c r="D19" s="558">
        <v>0.1</v>
      </c>
      <c r="E19" s="558"/>
      <c r="F19" s="558">
        <v>0.1</v>
      </c>
      <c r="G19" s="558">
        <v>0.1</v>
      </c>
      <c r="H19" s="561">
        <v>2</v>
      </c>
      <c r="I19" s="559">
        <f t="shared" si="1"/>
        <v>0.2</v>
      </c>
      <c r="J19" s="559">
        <f t="shared" si="2"/>
        <v>150000</v>
      </c>
      <c r="K19" s="560">
        <f t="shared" si="0"/>
        <v>0.46001600000000004</v>
      </c>
      <c r="L19" s="559"/>
      <c r="M19" s="559"/>
      <c r="N19" s="559"/>
    </row>
    <row r="20" spans="1:16">
      <c r="A20" s="555" t="s">
        <v>1016</v>
      </c>
      <c r="B20" s="555" t="s">
        <v>1003</v>
      </c>
      <c r="C20" s="556">
        <v>345012</v>
      </c>
      <c r="D20" s="558">
        <v>0.1</v>
      </c>
      <c r="E20" s="558"/>
      <c r="F20" s="558">
        <v>0.1</v>
      </c>
      <c r="G20" s="558">
        <v>0.1</v>
      </c>
      <c r="H20" s="561">
        <v>1</v>
      </c>
      <c r="I20" s="559">
        <f t="shared" si="1"/>
        <v>0.1</v>
      </c>
      <c r="J20" s="559">
        <f t="shared" si="2"/>
        <v>150000</v>
      </c>
      <c r="K20" s="560">
        <f t="shared" si="0"/>
        <v>0.23000800000000002</v>
      </c>
      <c r="L20" s="559"/>
      <c r="M20" s="559"/>
      <c r="N20" s="559"/>
    </row>
    <row r="21" spans="1:16">
      <c r="A21" s="555" t="s">
        <v>1017</v>
      </c>
      <c r="B21" s="555" t="s">
        <v>989</v>
      </c>
      <c r="C21" s="556">
        <v>345012</v>
      </c>
      <c r="D21" s="558">
        <v>0.1</v>
      </c>
      <c r="E21" s="558"/>
      <c r="F21" s="558">
        <v>0.1</v>
      </c>
      <c r="G21" s="558">
        <v>0.1</v>
      </c>
      <c r="H21" s="561">
        <v>1</v>
      </c>
      <c r="I21" s="559">
        <f t="shared" si="1"/>
        <v>0.1</v>
      </c>
      <c r="J21" s="559">
        <f t="shared" si="2"/>
        <v>150000</v>
      </c>
      <c r="K21" s="560">
        <f t="shared" si="0"/>
        <v>0.23000800000000002</v>
      </c>
      <c r="L21" s="559"/>
      <c r="M21" s="559"/>
      <c r="N21" s="559"/>
    </row>
    <row r="22" spans="1:16" ht="17.5">
      <c r="A22" s="555" t="s">
        <v>1018</v>
      </c>
      <c r="B22" s="555" t="s">
        <v>1003</v>
      </c>
      <c r="C22" s="556">
        <f>86472.6654545454+20000</f>
        <v>106472.66545454539</v>
      </c>
      <c r="D22" s="563">
        <v>0.15</v>
      </c>
      <c r="E22" s="562">
        <v>20000</v>
      </c>
      <c r="F22" s="558">
        <v>0.1</v>
      </c>
      <c r="G22" s="563">
        <v>0.1</v>
      </c>
      <c r="H22" s="561">
        <v>1</v>
      </c>
      <c r="I22" s="559">
        <f t="shared" si="1"/>
        <v>0.1</v>
      </c>
      <c r="J22" s="559">
        <f t="shared" si="2"/>
        <v>150000</v>
      </c>
      <c r="K22" s="560">
        <f t="shared" si="0"/>
        <v>7.098177696969693E-2</v>
      </c>
      <c r="L22" s="559"/>
      <c r="M22" s="559"/>
      <c r="N22" s="559"/>
    </row>
    <row r="23" spans="1:16">
      <c r="A23" s="555" t="s">
        <v>1019</v>
      </c>
      <c r="B23" s="555" t="s">
        <v>989</v>
      </c>
      <c r="C23" s="556">
        <v>345012</v>
      </c>
      <c r="D23" s="558">
        <v>0.1</v>
      </c>
      <c r="E23" s="558"/>
      <c r="F23" s="558">
        <v>0.2</v>
      </c>
      <c r="G23" s="558">
        <v>0.2</v>
      </c>
      <c r="H23" s="561">
        <v>14</v>
      </c>
      <c r="I23" s="559">
        <f t="shared" si="1"/>
        <v>2.8000000000000003</v>
      </c>
      <c r="J23" s="559">
        <f t="shared" si="2"/>
        <v>150000</v>
      </c>
      <c r="K23" s="560">
        <f t="shared" si="0"/>
        <v>6.4402240000000006</v>
      </c>
      <c r="L23" s="561" t="s">
        <v>1020</v>
      </c>
      <c r="M23" s="564" t="s">
        <v>997</v>
      </c>
      <c r="N23" s="559"/>
    </row>
    <row r="24" spans="1:16">
      <c r="A24" s="555" t="s">
        <v>1021</v>
      </c>
      <c r="B24" s="555" t="s">
        <v>989</v>
      </c>
      <c r="C24" s="556">
        <v>345012</v>
      </c>
      <c r="D24" s="558">
        <v>0.1</v>
      </c>
      <c r="E24" s="558"/>
      <c r="F24" s="558">
        <v>0.2</v>
      </c>
      <c r="G24" s="558">
        <v>0.2</v>
      </c>
      <c r="H24" s="561">
        <v>4</v>
      </c>
      <c r="I24" s="559">
        <f t="shared" si="1"/>
        <v>0.8</v>
      </c>
      <c r="J24" s="559">
        <f t="shared" si="2"/>
        <v>150000</v>
      </c>
      <c r="K24" s="560">
        <f t="shared" si="0"/>
        <v>1.8400640000000001</v>
      </c>
      <c r="L24" s="565" t="s">
        <v>1022</v>
      </c>
      <c r="M24" s="564"/>
      <c r="N24" s="559"/>
    </row>
    <row r="25" spans="1:16" ht="17.5">
      <c r="A25" s="555" t="s">
        <v>1023</v>
      </c>
      <c r="B25" s="555" t="s">
        <v>1003</v>
      </c>
      <c r="C25" s="556">
        <v>345012</v>
      </c>
      <c r="D25" s="558">
        <v>0.1</v>
      </c>
      <c r="E25" s="562">
        <v>20000</v>
      </c>
      <c r="F25" s="558">
        <v>0.1</v>
      </c>
      <c r="G25" s="558">
        <v>0.1</v>
      </c>
      <c r="H25" s="561">
        <v>2</v>
      </c>
      <c r="I25" s="559">
        <f t="shared" si="1"/>
        <v>0.2</v>
      </c>
      <c r="J25" s="559">
        <f t="shared" si="2"/>
        <v>150000</v>
      </c>
      <c r="K25" s="560">
        <f t="shared" si="0"/>
        <v>0.46001600000000004</v>
      </c>
      <c r="L25" s="561" t="s">
        <v>1024</v>
      </c>
      <c r="M25" s="559"/>
      <c r="N25" s="559"/>
    </row>
    <row r="26" spans="1:16">
      <c r="A26" s="566" t="s">
        <v>1025</v>
      </c>
      <c r="B26" s="555" t="s">
        <v>989</v>
      </c>
      <c r="C26" s="556">
        <v>65614.5</v>
      </c>
      <c r="D26" s="558">
        <v>0.05</v>
      </c>
      <c r="E26" s="558"/>
      <c r="F26" s="558">
        <v>0.1</v>
      </c>
      <c r="G26" s="558">
        <v>0.05</v>
      </c>
      <c r="H26" s="561">
        <v>1</v>
      </c>
      <c r="I26" s="559">
        <f t="shared" si="1"/>
        <v>0.05</v>
      </c>
      <c r="J26" s="559">
        <f t="shared" si="2"/>
        <v>150000</v>
      </c>
      <c r="K26" s="560">
        <f t="shared" si="0"/>
        <v>2.1871500000000002E-2</v>
      </c>
      <c r="L26" s="559"/>
      <c r="M26" s="559" t="s">
        <v>1026</v>
      </c>
      <c r="N26" s="559"/>
    </row>
    <row r="27" spans="1:16">
      <c r="A27" s="566" t="s">
        <v>1027</v>
      </c>
      <c r="B27" s="555" t="s">
        <v>989</v>
      </c>
      <c r="C27" s="556">
        <v>345012</v>
      </c>
      <c r="D27" s="558">
        <v>0.05</v>
      </c>
      <c r="E27" s="558"/>
      <c r="F27" s="558">
        <v>0.1</v>
      </c>
      <c r="G27" s="558">
        <v>0.05</v>
      </c>
      <c r="H27" s="561">
        <v>4</v>
      </c>
      <c r="I27" s="559">
        <f t="shared" si="1"/>
        <v>0.2</v>
      </c>
      <c r="J27" s="559">
        <f t="shared" si="2"/>
        <v>150000</v>
      </c>
      <c r="K27" s="560">
        <f t="shared" si="0"/>
        <v>0.46001600000000004</v>
      </c>
      <c r="L27" s="559"/>
      <c r="M27" s="559" t="s">
        <v>1028</v>
      </c>
      <c r="N27" s="559"/>
    </row>
    <row r="28" spans="1:16">
      <c r="A28" s="555" t="s">
        <v>1029</v>
      </c>
      <c r="B28" s="555" t="s">
        <v>989</v>
      </c>
      <c r="C28" s="556">
        <v>345012</v>
      </c>
      <c r="D28" s="558">
        <v>0.05</v>
      </c>
      <c r="E28" s="558"/>
      <c r="F28" s="558">
        <v>0.1</v>
      </c>
      <c r="G28" s="558">
        <v>0.05</v>
      </c>
      <c r="H28" s="561">
        <v>28</v>
      </c>
      <c r="I28" s="559">
        <f t="shared" si="1"/>
        <v>1.4000000000000001</v>
      </c>
      <c r="J28" s="559">
        <f t="shared" si="2"/>
        <v>150000</v>
      </c>
      <c r="K28" s="560">
        <f t="shared" si="0"/>
        <v>3.2201120000000003</v>
      </c>
      <c r="L28" s="567" t="s">
        <v>1030</v>
      </c>
      <c r="M28" s="559"/>
      <c r="N28" s="559"/>
    </row>
    <row r="29" spans="1:16">
      <c r="K29" s="560"/>
      <c r="L29" s="570"/>
      <c r="M29" s="570"/>
      <c r="N29" s="570"/>
      <c r="O29" s="570"/>
      <c r="P29" s="570"/>
    </row>
    <row r="30" spans="1:16">
      <c r="K30" s="571">
        <f>SUM(K2:K29)</f>
        <v>41.638969053939405</v>
      </c>
      <c r="M30" s="572">
        <f>K30</f>
        <v>41.638969053939405</v>
      </c>
      <c r="N30" s="573" t="s">
        <v>1031</v>
      </c>
      <c r="O30" s="570"/>
      <c r="P30" s="570"/>
    </row>
    <row r="31" spans="1:16">
      <c r="K31" s="574"/>
      <c r="M31" s="572">
        <f>M30*1.1</f>
        <v>45.802865959333353</v>
      </c>
      <c r="N31" s="573"/>
      <c r="O31" s="570"/>
      <c r="P31" s="570"/>
    </row>
    <row r="32" spans="1:16">
      <c r="A32" s="569"/>
      <c r="B32" s="569"/>
      <c r="D32" s="569"/>
      <c r="E32" s="569"/>
      <c r="K32" s="575">
        <f>K30/'[4]Main sheet_SMT and Assembly'!I81</f>
        <v>1.3206409792894001</v>
      </c>
      <c r="M32" s="572">
        <f>M31*1.1</f>
        <v>50.38315255526669</v>
      </c>
      <c r="N32" s="573"/>
      <c r="O32" s="570"/>
      <c r="P32" s="570"/>
    </row>
    <row r="33" spans="11:16">
      <c r="K33" s="570"/>
      <c r="L33" s="570"/>
      <c r="M33" s="572">
        <f>M32*1.1</f>
        <v>55.421467810793366</v>
      </c>
      <c r="N33" s="572">
        <f>AVERAGE(M30:M33)</f>
        <v>48.311613844833204</v>
      </c>
      <c r="O33" s="570"/>
      <c r="P33" s="570"/>
    </row>
    <row r="34" spans="11:16">
      <c r="K34" s="570"/>
      <c r="L34" s="570"/>
      <c r="M34" s="570"/>
      <c r="N34" s="570"/>
      <c r="O34" s="570"/>
      <c r="P34" s="570"/>
    </row>
    <row r="35" spans="11:16">
      <c r="K35" s="570"/>
      <c r="L35" s="570"/>
      <c r="M35" s="570"/>
      <c r="N35" s="570"/>
      <c r="O35" s="570"/>
      <c r="P35" s="570"/>
    </row>
    <row r="36" spans="11:16">
      <c r="K36" s="570"/>
      <c r="M36" s="570"/>
      <c r="N36" s="570"/>
      <c r="O36" s="570"/>
      <c r="P36" s="570"/>
    </row>
  </sheetData>
  <autoFilter ref="A1:P28" xr:uid="{2BE4FD11-3DE9-45F0-A3B7-07E50CA7EAB2}">
    <filterColumn colId="11" showButton="0"/>
    <filterColumn colId="12" showButton="0"/>
  </autoFilter>
  <mergeCells count="3">
    <mergeCell ref="L1:N1"/>
    <mergeCell ref="L2:N2"/>
    <mergeCell ref="L3:N3"/>
  </mergeCells>
  <phoneticPr fontId="3"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F1090-9A95-437E-8224-C3597DB4CB87}">
  <dimension ref="A1:J19"/>
  <sheetViews>
    <sheetView view="pageBreakPreview" topLeftCell="B2" zoomScale="90" zoomScaleNormal="100" workbookViewId="0">
      <selection activeCell="F25" sqref="F25"/>
    </sheetView>
  </sheetViews>
  <sheetFormatPr defaultColWidth="8.81640625" defaultRowHeight="15"/>
  <cols>
    <col min="1" max="5" width="22.6328125" style="510" customWidth="1"/>
    <col min="6" max="6" width="18.6328125" style="511" customWidth="1"/>
    <col min="7" max="7" width="14.1796875" style="511" bestFit="1" customWidth="1"/>
    <col min="8" max="8" width="25.08984375" style="511" customWidth="1"/>
    <col min="9" max="9" width="14.1796875" style="511" customWidth="1"/>
    <col min="10" max="10" width="33" style="511" customWidth="1"/>
    <col min="11" max="16384" width="8.81640625" style="511"/>
  </cols>
  <sheetData>
    <row r="1" spans="1:10" ht="15.5" thickBot="1">
      <c r="A1" s="510" t="s">
        <v>919</v>
      </c>
    </row>
    <row r="2" spans="1:10" ht="31.5" thickBot="1">
      <c r="A2" s="512" t="s">
        <v>920</v>
      </c>
      <c r="B2" s="512" t="s">
        <v>921</v>
      </c>
      <c r="C2" s="512" t="s">
        <v>222</v>
      </c>
      <c r="D2" s="512" t="s">
        <v>223</v>
      </c>
      <c r="E2" s="512" t="s">
        <v>224</v>
      </c>
      <c r="F2" s="513" t="s">
        <v>922</v>
      </c>
      <c r="G2" s="512" t="s">
        <v>923</v>
      </c>
    </row>
    <row r="3" spans="1:10" ht="16" thickBot="1">
      <c r="A3" s="512" t="s">
        <v>924</v>
      </c>
      <c r="B3" s="512" t="s">
        <v>925</v>
      </c>
      <c r="C3" s="706" t="s">
        <v>926</v>
      </c>
      <c r="D3" s="707" t="s">
        <v>927</v>
      </c>
      <c r="E3" s="708">
        <v>5.5555555600000001E-2</v>
      </c>
      <c r="F3" s="709">
        <v>4.2220000000000004</v>
      </c>
      <c r="G3" s="710">
        <f>F3*E3</f>
        <v>0.23455555574320003</v>
      </c>
      <c r="H3" s="705"/>
    </row>
    <row r="4" spans="1:10" ht="16" thickBot="1">
      <c r="A4" s="512" t="s">
        <v>928</v>
      </c>
      <c r="B4" s="512" t="s">
        <v>929</v>
      </c>
      <c r="C4" s="706" t="s">
        <v>930</v>
      </c>
      <c r="D4" s="707" t="s">
        <v>927</v>
      </c>
      <c r="E4" s="708">
        <v>0.11111111110000001</v>
      </c>
      <c r="F4" s="709">
        <v>0.36399999999999999</v>
      </c>
      <c r="G4" s="710">
        <f t="shared" ref="G4:G7" si="0">F4*E4</f>
        <v>4.0444444440400004E-2</v>
      </c>
      <c r="H4" s="705"/>
    </row>
    <row r="5" spans="1:10" ht="16" thickBot="1">
      <c r="A5" s="514"/>
      <c r="B5" s="512" t="s">
        <v>931</v>
      </c>
      <c r="C5" s="706" t="s">
        <v>932</v>
      </c>
      <c r="D5" s="707" t="s">
        <v>927</v>
      </c>
      <c r="E5" s="708">
        <v>0.38888888900000002</v>
      </c>
      <c r="F5" s="709">
        <v>2.1</v>
      </c>
      <c r="G5" s="710">
        <f t="shared" si="0"/>
        <v>0.81666666690000012</v>
      </c>
      <c r="H5" s="705"/>
    </row>
    <row r="6" spans="1:10" ht="16" thickBot="1">
      <c r="A6" s="515" t="s">
        <v>933</v>
      </c>
      <c r="B6" s="515" t="s">
        <v>934</v>
      </c>
      <c r="C6" s="711" t="s">
        <v>933</v>
      </c>
      <c r="D6" s="707" t="s">
        <v>927</v>
      </c>
      <c r="E6" s="708">
        <v>5.5555555600000001E-2</v>
      </c>
      <c r="F6" s="709">
        <v>0.24</v>
      </c>
      <c r="G6" s="710">
        <f t="shared" si="0"/>
        <v>1.3333333344E-2</v>
      </c>
      <c r="H6" s="705"/>
    </row>
    <row r="7" spans="1:10" ht="16" thickBot="1">
      <c r="A7" s="515" t="s">
        <v>935</v>
      </c>
      <c r="B7" s="515" t="s">
        <v>936</v>
      </c>
      <c r="C7" s="711" t="s">
        <v>935</v>
      </c>
      <c r="D7" s="707" t="s">
        <v>927</v>
      </c>
      <c r="E7" s="708">
        <v>0.11111111110000001</v>
      </c>
      <c r="F7" s="709">
        <v>0.19900000000000001</v>
      </c>
      <c r="G7" s="710">
        <f t="shared" si="0"/>
        <v>2.2111111108900003E-2</v>
      </c>
      <c r="H7" s="705"/>
    </row>
    <row r="8" spans="1:10">
      <c r="C8" s="712"/>
      <c r="D8" s="712"/>
      <c r="E8" s="712"/>
      <c r="F8" s="713" t="s">
        <v>937</v>
      </c>
      <c r="G8" s="714">
        <f>SUM(G3:G7)</f>
        <v>1.1271111115365002</v>
      </c>
      <c r="J8" s="716"/>
    </row>
    <row r="9" spans="1:10" ht="15.5" hidden="1" thickBot="1">
      <c r="B9" s="510" t="s">
        <v>1535</v>
      </c>
      <c r="I9" s="715"/>
    </row>
    <row r="10" spans="1:10" ht="15.5" hidden="1" thickBot="1">
      <c r="B10" s="717"/>
      <c r="C10" s="718" t="s">
        <v>1506</v>
      </c>
      <c r="D10" s="719">
        <v>40</v>
      </c>
      <c r="E10" s="720"/>
      <c r="F10" s="721"/>
      <c r="G10" s="721"/>
    </row>
    <row r="11" spans="1:10" ht="15.5" hidden="1" thickBot="1">
      <c r="B11" s="722" t="s">
        <v>1507</v>
      </c>
      <c r="C11" s="723" t="s">
        <v>1508</v>
      </c>
      <c r="D11" s="723" t="s">
        <v>1509</v>
      </c>
      <c r="E11" s="723" t="s">
        <v>1510</v>
      </c>
      <c r="F11" s="723"/>
      <c r="G11" s="723"/>
    </row>
    <row r="12" spans="1:10" ht="15.5" hidden="1" thickBot="1">
      <c r="B12" s="724" t="s">
        <v>1511</v>
      </c>
      <c r="C12" s="723" t="s">
        <v>1512</v>
      </c>
      <c r="D12" s="751">
        <v>1</v>
      </c>
      <c r="E12" s="751">
        <v>3.5</v>
      </c>
      <c r="F12" s="751">
        <v>3.5</v>
      </c>
      <c r="G12" s="723">
        <f>E12*D12</f>
        <v>3.5</v>
      </c>
    </row>
    <row r="13" spans="1:10" ht="15.5" hidden="1" thickBot="1">
      <c r="B13" s="724" t="s">
        <v>1513</v>
      </c>
      <c r="C13" s="723" t="s">
        <v>1514</v>
      </c>
      <c r="D13" s="751">
        <v>2</v>
      </c>
      <c r="E13" s="751">
        <v>0.5</v>
      </c>
      <c r="F13" s="751">
        <v>1</v>
      </c>
      <c r="G13" s="723">
        <f t="shared" ref="G13:G17" si="1">E13*D13</f>
        <v>1</v>
      </c>
    </row>
    <row r="14" spans="1:10" ht="15.5" hidden="1" thickBot="1">
      <c r="B14" s="724" t="s">
        <v>1515</v>
      </c>
      <c r="C14" s="723" t="s">
        <v>1516</v>
      </c>
      <c r="D14" s="751">
        <v>5</v>
      </c>
      <c r="E14" s="751">
        <v>6.14</v>
      </c>
      <c r="F14" s="751">
        <v>30.7</v>
      </c>
      <c r="G14" s="723">
        <f t="shared" si="1"/>
        <v>30.7</v>
      </c>
    </row>
    <row r="15" spans="1:10" ht="15.5" hidden="1" thickBot="1">
      <c r="B15" s="724" t="s">
        <v>1517</v>
      </c>
      <c r="C15" s="723" t="s">
        <v>1505</v>
      </c>
      <c r="D15" s="751">
        <v>1</v>
      </c>
      <c r="E15" s="751">
        <v>1.49</v>
      </c>
      <c r="F15" s="751">
        <v>1.49</v>
      </c>
      <c r="G15" s="723">
        <f t="shared" si="1"/>
        <v>1.49</v>
      </c>
    </row>
    <row r="16" spans="1:10" ht="15.5" hidden="1" thickBot="1">
      <c r="B16" s="724" t="s">
        <v>935</v>
      </c>
      <c r="C16" s="723" t="s">
        <v>1518</v>
      </c>
      <c r="D16" s="751">
        <v>2</v>
      </c>
      <c r="E16" s="751">
        <v>1.9599999999999999E-2</v>
      </c>
      <c r="F16" s="751">
        <v>3.9199999999999999E-2</v>
      </c>
      <c r="G16" s="723">
        <f t="shared" si="1"/>
        <v>3.9199999999999999E-2</v>
      </c>
    </row>
    <row r="17" spans="2:7" ht="15.5" hidden="1" thickBot="1">
      <c r="B17" s="724" t="s">
        <v>933</v>
      </c>
      <c r="C17" s="704" t="s">
        <v>1519</v>
      </c>
      <c r="D17" s="751">
        <v>1</v>
      </c>
      <c r="E17" s="751">
        <v>0.23</v>
      </c>
      <c r="F17" s="751">
        <v>0.23</v>
      </c>
      <c r="G17" s="723">
        <f t="shared" si="1"/>
        <v>0.23</v>
      </c>
    </row>
    <row r="18" spans="2:7" ht="15.5" hidden="1" thickBot="1">
      <c r="B18" s="725"/>
      <c r="C18" s="726"/>
      <c r="D18" s="726"/>
      <c r="E18" s="726"/>
      <c r="F18" s="751">
        <v>36.959200000000003</v>
      </c>
      <c r="G18" s="723"/>
    </row>
    <row r="19" spans="2:7" ht="15.5" hidden="1" thickBot="1">
      <c r="B19" s="725"/>
      <c r="C19" s="726"/>
      <c r="D19" s="726"/>
      <c r="E19" s="726" t="s">
        <v>1414</v>
      </c>
      <c r="F19" s="751">
        <f>F18/40</f>
        <v>0.92398000000000002</v>
      </c>
      <c r="G19" s="727"/>
    </row>
  </sheetData>
  <phoneticPr fontId="3" type="noConversion"/>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24222-03B9-4898-9F29-7FF6918DBFB4}">
  <dimension ref="A3:B6"/>
  <sheetViews>
    <sheetView workbookViewId="0">
      <selection activeCell="H23" sqref="H23"/>
    </sheetView>
  </sheetViews>
  <sheetFormatPr defaultColWidth="8.81640625" defaultRowHeight="12.5"/>
  <cols>
    <col min="2" max="2" width="10" customWidth="1"/>
  </cols>
  <sheetData>
    <row r="3" spans="1:2" ht="13">
      <c r="A3" s="516" t="s">
        <v>20</v>
      </c>
      <c r="B3" s="516" t="s">
        <v>124</v>
      </c>
    </row>
    <row r="4" spans="1:2">
      <c r="A4" s="517">
        <v>1</v>
      </c>
      <c r="B4" s="518">
        <v>6.35</v>
      </c>
    </row>
    <row r="6" spans="1:2">
      <c r="A6" t="s">
        <v>938</v>
      </c>
    </row>
  </sheetData>
  <phoneticPr fontId="3"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DA8C8-129E-4CC5-A2E6-E0194CA0681F}">
  <sheetPr>
    <tabColor rgb="FF7030A0"/>
  </sheetPr>
  <dimension ref="A1:H10"/>
  <sheetViews>
    <sheetView tabSelected="1" zoomScale="95" zoomScaleNormal="145" workbookViewId="0">
      <selection activeCell="E18" sqref="E18"/>
    </sheetView>
  </sheetViews>
  <sheetFormatPr defaultColWidth="9.1796875" defaultRowHeight="13"/>
  <cols>
    <col min="1" max="1" width="45" style="519" bestFit="1" customWidth="1"/>
    <col min="2" max="2" width="13.36328125" style="520" bestFit="1" customWidth="1"/>
    <col min="3" max="16384" width="9.1796875" style="519"/>
  </cols>
  <sheetData>
    <row r="1" spans="1:8">
      <c r="B1" s="520" t="s">
        <v>939</v>
      </c>
      <c r="C1" s="519" t="s">
        <v>940</v>
      </c>
      <c r="D1" s="519" t="s">
        <v>941</v>
      </c>
    </row>
    <row r="2" spans="1:8">
      <c r="A2" s="519" t="s">
        <v>942</v>
      </c>
      <c r="B2" s="521">
        <v>0</v>
      </c>
      <c r="C2" s="519" t="s">
        <v>943</v>
      </c>
    </row>
    <row r="4" spans="1:8" ht="13" customHeight="1">
      <c r="A4" s="519" t="s">
        <v>944</v>
      </c>
      <c r="B4" s="522">
        <f>'P035 0903 version'!AD21</f>
        <v>981119.50207468891</v>
      </c>
      <c r="C4" s="519" t="s">
        <v>943</v>
      </c>
      <c r="D4" s="519" t="s">
        <v>945</v>
      </c>
    </row>
    <row r="5" spans="1:8" ht="13" customHeight="1">
      <c r="A5" s="519" t="s">
        <v>1582</v>
      </c>
      <c r="B5" s="523">
        <v>0.04</v>
      </c>
    </row>
    <row r="6" spans="1:8">
      <c r="A6" s="519" t="s">
        <v>946</v>
      </c>
      <c r="B6" s="522">
        <f>B4*(1+B5*3)</f>
        <v>1098853.8423236518</v>
      </c>
      <c r="C6" s="519" t="s">
        <v>943</v>
      </c>
      <c r="D6" s="519" t="s">
        <v>947</v>
      </c>
    </row>
    <row r="7" spans="1:8">
      <c r="A7" s="519" t="s">
        <v>948</v>
      </c>
      <c r="B7" s="522">
        <f>1000*50*3</f>
        <v>150000</v>
      </c>
      <c r="C7" s="519" t="s">
        <v>949</v>
      </c>
      <c r="D7" s="519" t="s">
        <v>950</v>
      </c>
      <c r="G7" s="524" t="s">
        <v>951</v>
      </c>
      <c r="H7" s="524"/>
    </row>
    <row r="8" spans="1:8">
      <c r="A8" s="519" t="s">
        <v>952</v>
      </c>
      <c r="B8" s="522">
        <f>60*3</f>
        <v>180</v>
      </c>
      <c r="C8" s="519" t="s">
        <v>953</v>
      </c>
      <c r="D8" s="519" t="s">
        <v>954</v>
      </c>
    </row>
    <row r="10" spans="1:8">
      <c r="A10" s="519" t="s">
        <v>955</v>
      </c>
      <c r="B10" s="520">
        <f>B6/((B7*B8)/3600)</f>
        <v>146.51384564315356</v>
      </c>
    </row>
  </sheetData>
  <phoneticPr fontId="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5EB24-1628-409E-AC47-B32889FD20DF}">
  <sheetPr>
    <tabColor rgb="FFFFC000"/>
    <pageSetUpPr fitToPage="1"/>
  </sheetPr>
  <dimension ref="A1:CX100"/>
  <sheetViews>
    <sheetView zoomScale="57" zoomScaleNormal="70" workbookViewId="0">
      <selection activeCell="F9" sqref="F9"/>
    </sheetView>
  </sheetViews>
  <sheetFormatPr defaultColWidth="8.81640625" defaultRowHeight="12.5"/>
  <cols>
    <col min="2" max="2" width="55.08984375" customWidth="1"/>
    <col min="3" max="3" width="32.1796875" customWidth="1"/>
    <col min="4" max="4" width="24.453125" customWidth="1"/>
    <col min="5" max="5" width="14.1796875" customWidth="1"/>
    <col min="6" max="6" width="25.26953125" customWidth="1"/>
    <col min="7" max="7" width="20.81640625" customWidth="1"/>
    <col min="8" max="8" width="11.1796875" customWidth="1"/>
    <col min="9" max="9" width="20.90625" customWidth="1"/>
    <col min="10" max="10" width="27.26953125" customWidth="1"/>
    <col min="11" max="11" width="39.1796875" customWidth="1"/>
    <col min="12" max="12" width="28.453125" customWidth="1"/>
    <col min="13" max="13" width="12" customWidth="1"/>
    <col min="14" max="14" width="23.453125" customWidth="1"/>
    <col min="15" max="15" width="23.453125" bestFit="1" customWidth="1"/>
    <col min="16" max="16" width="12.453125" bestFit="1" customWidth="1"/>
    <col min="17" max="18" width="22.453125" bestFit="1" customWidth="1"/>
    <col min="19" max="19" width="13.81640625" customWidth="1"/>
  </cols>
  <sheetData>
    <row r="1" spans="1:14" ht="27.75" customHeight="1" thickBot="1">
      <c r="A1" s="856"/>
      <c r="B1" s="858" t="s">
        <v>0</v>
      </c>
      <c r="C1" s="859"/>
      <c r="D1" s="859"/>
      <c r="E1" s="859"/>
      <c r="F1" s="859"/>
      <c r="G1" s="859"/>
      <c r="H1" s="859"/>
      <c r="I1" s="859"/>
      <c r="J1" s="859"/>
      <c r="K1" s="859"/>
      <c r="L1" s="860"/>
    </row>
    <row r="2" spans="1:14">
      <c r="A2" s="856"/>
      <c r="B2" s="1"/>
      <c r="C2" s="1"/>
      <c r="D2" s="2" t="s">
        <v>1</v>
      </c>
      <c r="E2" s="1"/>
      <c r="F2" s="1"/>
      <c r="G2" s="1"/>
      <c r="H2" s="1"/>
      <c r="I2" s="1"/>
      <c r="J2" s="1"/>
      <c r="K2" s="1"/>
      <c r="L2" s="1"/>
    </row>
    <row r="3" spans="1:14" ht="20.5" customHeight="1">
      <c r="A3" s="856"/>
      <c r="B3" s="3" t="s">
        <v>2</v>
      </c>
      <c r="C3" s="4" t="s">
        <v>3</v>
      </c>
      <c r="D3" s="861" t="s">
        <v>4</v>
      </c>
      <c r="E3" s="862"/>
      <c r="F3" s="5" t="s">
        <v>1428</v>
      </c>
      <c r="G3" s="3" t="s">
        <v>5</v>
      </c>
      <c r="H3" s="863" t="s">
        <v>1056</v>
      </c>
      <c r="I3" s="864"/>
      <c r="J3" s="6" t="s">
        <v>7</v>
      </c>
      <c r="K3" s="848" t="s">
        <v>1569</v>
      </c>
      <c r="L3" s="1"/>
    </row>
    <row r="4" spans="1:14" ht="22.5" customHeight="1" thickBot="1">
      <c r="A4" s="857"/>
      <c r="B4" s="7" t="s">
        <v>8</v>
      </c>
      <c r="C4" s="8"/>
      <c r="D4" s="8"/>
      <c r="E4" s="8"/>
      <c r="F4" s="8"/>
      <c r="G4" s="8"/>
      <c r="H4" s="9"/>
      <c r="I4" s="9" t="s">
        <v>9</v>
      </c>
      <c r="J4" s="8"/>
      <c r="K4" s="8"/>
      <c r="L4" s="8"/>
    </row>
    <row r="5" spans="1:14" ht="13">
      <c r="A5" s="865"/>
      <c r="B5" s="10"/>
      <c r="C5" s="11"/>
      <c r="D5" s="11"/>
      <c r="E5" s="11"/>
      <c r="F5" s="11"/>
      <c r="G5" s="11"/>
      <c r="H5" s="11"/>
      <c r="I5" s="12"/>
      <c r="L5" s="12"/>
      <c r="M5" s="11"/>
      <c r="N5" s="13" t="s">
        <v>10</v>
      </c>
    </row>
    <row r="6" spans="1:14" ht="13">
      <c r="A6" s="866"/>
      <c r="B6" s="867" t="s">
        <v>11</v>
      </c>
      <c r="C6" s="869" t="s">
        <v>12</v>
      </c>
      <c r="D6" s="869" t="s">
        <v>13</v>
      </c>
      <c r="E6" s="869" t="s">
        <v>14</v>
      </c>
      <c r="F6" s="869" t="s">
        <v>15</v>
      </c>
      <c r="H6" s="14"/>
      <c r="L6" s="15" t="s">
        <v>16</v>
      </c>
      <c r="M6" s="15" t="s">
        <v>17</v>
      </c>
      <c r="N6" s="576" t="s">
        <v>1033</v>
      </c>
    </row>
    <row r="7" spans="1:14" ht="18">
      <c r="A7" s="866"/>
      <c r="B7" s="868"/>
      <c r="C7" s="870"/>
      <c r="D7" s="870"/>
      <c r="E7" s="870"/>
      <c r="F7" s="870"/>
      <c r="H7" s="1"/>
      <c r="L7" s="15" t="s">
        <v>18</v>
      </c>
      <c r="M7" s="16"/>
      <c r="N7" s="16"/>
    </row>
    <row r="8" spans="1:14" ht="19.5" customHeight="1" thickBot="1">
      <c r="A8" s="866"/>
      <c r="B8" s="868"/>
      <c r="C8" s="870"/>
      <c r="D8" s="870"/>
      <c r="E8" s="870"/>
      <c r="F8" s="870"/>
      <c r="G8" s="17" t="s">
        <v>19</v>
      </c>
      <c r="H8" s="18" t="s">
        <v>20</v>
      </c>
      <c r="L8" s="15" t="s">
        <v>21</v>
      </c>
      <c r="M8" s="19">
        <f>(20.02+88.63)*1.1</f>
        <v>119.515</v>
      </c>
      <c r="N8" s="19">
        <f>(54.22+148.75)*1.1</f>
        <v>223.26700000000002</v>
      </c>
    </row>
    <row r="9" spans="1:14" ht="37.5" customHeight="1" thickBot="1">
      <c r="A9" s="871" t="s">
        <v>22</v>
      </c>
      <c r="B9" s="20" t="s">
        <v>23</v>
      </c>
      <c r="C9" s="21" t="s">
        <v>24</v>
      </c>
      <c r="D9" s="21" t="s">
        <v>1574</v>
      </c>
      <c r="E9" s="22">
        <v>1</v>
      </c>
      <c r="F9" s="577">
        <f>'P035 Mar.4th  2026 EEBOM format'!T253*6.35</f>
        <v>100.00954705949999</v>
      </c>
      <c r="G9" s="588">
        <f>F9*E9</f>
        <v>100.00954705949999</v>
      </c>
      <c r="H9" s="733">
        <f t="shared" ref="H9:H37" si="0">G9/Exchange</f>
        <v>15.749534969999999</v>
      </c>
      <c r="I9" s="750" t="s">
        <v>940</v>
      </c>
      <c r="J9" s="750" t="s">
        <v>1529</v>
      </c>
      <c r="K9" s="750" t="s">
        <v>1528</v>
      </c>
      <c r="L9" s="737" t="s">
        <v>25</v>
      </c>
      <c r="M9" s="25">
        <f>'[4]TLA Investment  '!B10</f>
        <v>182.49912033195022</v>
      </c>
      <c r="N9" s="26"/>
    </row>
    <row r="10" spans="1:14" ht="59" customHeight="1" thickBot="1">
      <c r="A10" s="872"/>
      <c r="B10" s="20" t="s">
        <v>26</v>
      </c>
      <c r="C10" s="21" t="s">
        <v>27</v>
      </c>
      <c r="D10" s="21" t="s">
        <v>1575</v>
      </c>
      <c r="E10" s="22">
        <v>1</v>
      </c>
      <c r="F10" s="577">
        <f>4.32*6.35</f>
        <v>27.431999999999999</v>
      </c>
      <c r="G10" s="588">
        <f t="shared" ref="G10:G29" si="1">E10*F10</f>
        <v>27.431999999999999</v>
      </c>
      <c r="H10" s="733">
        <f>G10/Exchange</f>
        <v>4.32</v>
      </c>
      <c r="I10" s="738" t="s">
        <v>28</v>
      </c>
      <c r="J10" s="739" t="s">
        <v>1434</v>
      </c>
      <c r="K10" s="740" t="s">
        <v>1521</v>
      </c>
      <c r="L10" s="737" t="s">
        <v>29</v>
      </c>
      <c r="M10" s="25">
        <f>55.43*1.1</f>
        <v>60.973000000000006</v>
      </c>
      <c r="N10" s="25">
        <f>55.43*1.1</f>
        <v>60.973000000000006</v>
      </c>
    </row>
    <row r="11" spans="1:14" ht="23.5" customHeight="1" thickBot="1">
      <c r="A11" s="872"/>
      <c r="B11" s="20" t="s">
        <v>30</v>
      </c>
      <c r="C11" s="28" t="s">
        <v>31</v>
      </c>
      <c r="D11" s="28"/>
      <c r="E11" s="29">
        <v>1</v>
      </c>
      <c r="F11" s="30"/>
      <c r="G11" s="810"/>
      <c r="H11" s="731"/>
      <c r="I11" s="741" t="s">
        <v>32</v>
      </c>
      <c r="J11" s="206"/>
      <c r="K11" s="742"/>
      <c r="L11" s="31"/>
      <c r="M11" s="31"/>
    </row>
    <row r="12" spans="1:14" ht="69.5" customHeight="1" thickBot="1">
      <c r="A12" s="872"/>
      <c r="B12" s="20" t="s">
        <v>33</v>
      </c>
      <c r="C12" s="21" t="s">
        <v>1429</v>
      </c>
      <c r="D12" s="21" t="s">
        <v>1576</v>
      </c>
      <c r="E12" s="22">
        <v>1</v>
      </c>
      <c r="F12" s="729">
        <f>3*6.35*1.1</f>
        <v>20.954999999999998</v>
      </c>
      <c r="G12" s="588">
        <f t="shared" si="1"/>
        <v>20.954999999999998</v>
      </c>
      <c r="H12" s="733">
        <f t="shared" si="0"/>
        <v>3.3</v>
      </c>
      <c r="I12" s="738" t="s">
        <v>28</v>
      </c>
      <c r="J12" s="739" t="s">
        <v>1523</v>
      </c>
      <c r="K12" s="743" t="s">
        <v>1524</v>
      </c>
      <c r="L12" s="32"/>
    </row>
    <row r="13" spans="1:14" ht="29" customHeight="1" thickBot="1">
      <c r="A13" s="872"/>
      <c r="B13" s="20" t="s">
        <v>34</v>
      </c>
      <c r="C13" s="21" t="s">
        <v>35</v>
      </c>
      <c r="D13" s="21" t="s">
        <v>36</v>
      </c>
      <c r="E13" s="22">
        <v>4</v>
      </c>
      <c r="F13" s="577">
        <f>0.61*1.1*6.35</f>
        <v>4.2608499999999996</v>
      </c>
      <c r="G13" s="588">
        <f t="shared" si="1"/>
        <v>17.043399999999998</v>
      </c>
      <c r="H13" s="733">
        <f t="shared" si="0"/>
        <v>2.6839999999999997</v>
      </c>
      <c r="I13" s="738" t="s">
        <v>28</v>
      </c>
      <c r="J13" s="206" t="s">
        <v>1041</v>
      </c>
      <c r="K13" s="743" t="s">
        <v>1526</v>
      </c>
      <c r="L13" s="32"/>
    </row>
    <row r="14" spans="1:14" ht="56" customHeight="1" thickBot="1">
      <c r="A14" s="872"/>
      <c r="B14" s="20" t="s">
        <v>37</v>
      </c>
      <c r="C14" s="21" t="s">
        <v>38</v>
      </c>
      <c r="D14" s="21" t="s">
        <v>39</v>
      </c>
      <c r="E14" s="22">
        <v>1</v>
      </c>
      <c r="F14" s="23">
        <f>1.34*(1+10%)*6.35</f>
        <v>9.3599000000000014</v>
      </c>
      <c r="G14" s="33">
        <f t="shared" si="1"/>
        <v>9.3599000000000014</v>
      </c>
      <c r="H14" s="732">
        <f t="shared" si="0"/>
        <v>1.4740000000000002</v>
      </c>
      <c r="I14" s="738" t="s">
        <v>28</v>
      </c>
      <c r="J14" s="206" t="s">
        <v>40</v>
      </c>
      <c r="K14" s="743" t="s">
        <v>1533</v>
      </c>
      <c r="L14" s="32"/>
    </row>
    <row r="15" spans="1:14" ht="66" customHeight="1" thickBot="1">
      <c r="A15" s="872"/>
      <c r="B15" s="20" t="s">
        <v>41</v>
      </c>
      <c r="C15" s="21" t="s">
        <v>1035</v>
      </c>
      <c r="D15" s="21" t="s">
        <v>42</v>
      </c>
      <c r="E15" s="22">
        <v>1</v>
      </c>
      <c r="F15" s="23">
        <f>0.55*(1+10%)*6.35</f>
        <v>3.8417500000000002</v>
      </c>
      <c r="G15" s="24">
        <f t="shared" si="1"/>
        <v>3.8417500000000002</v>
      </c>
      <c r="H15" s="730">
        <f t="shared" si="0"/>
        <v>0.60500000000000009</v>
      </c>
      <c r="I15" s="738" t="s">
        <v>28</v>
      </c>
      <c r="J15" s="206" t="s">
        <v>40</v>
      </c>
      <c r="K15" s="743" t="s">
        <v>1522</v>
      </c>
      <c r="L15" s="32"/>
    </row>
    <row r="16" spans="1:14" ht="57" customHeight="1" thickBot="1">
      <c r="A16" s="872"/>
      <c r="B16" s="20" t="s">
        <v>43</v>
      </c>
      <c r="C16" s="21" t="s">
        <v>44</v>
      </c>
      <c r="D16" s="21" t="s">
        <v>1577</v>
      </c>
      <c r="E16" s="587">
        <v>1</v>
      </c>
      <c r="F16" s="577">
        <f>0.37*(1+10%)*6.35</f>
        <v>2.5844499999999999</v>
      </c>
      <c r="G16" s="588">
        <f>E16*F16</f>
        <v>2.5844499999999999</v>
      </c>
      <c r="H16" s="733">
        <f t="shared" si="0"/>
        <v>0.40700000000000003</v>
      </c>
      <c r="I16" s="738" t="s">
        <v>28</v>
      </c>
      <c r="J16" s="740" t="s">
        <v>1520</v>
      </c>
      <c r="K16" s="740" t="s">
        <v>1525</v>
      </c>
      <c r="L16" s="32"/>
    </row>
    <row r="17" spans="1:12" ht="54" customHeight="1" thickBot="1">
      <c r="A17" s="872"/>
      <c r="B17" s="20" t="s">
        <v>1039</v>
      </c>
      <c r="C17" s="589" t="s">
        <v>1060</v>
      </c>
      <c r="D17" s="589" t="s">
        <v>1580</v>
      </c>
      <c r="E17" s="587">
        <v>1</v>
      </c>
      <c r="F17" s="577">
        <f>1.1427*1.12*6.35</f>
        <v>8.1268823999999995</v>
      </c>
      <c r="G17" s="588">
        <f>E17*F17</f>
        <v>8.1268823999999995</v>
      </c>
      <c r="H17" s="733">
        <f t="shared" si="0"/>
        <v>1.2798240000000001</v>
      </c>
      <c r="I17" s="744" t="s">
        <v>1059</v>
      </c>
      <c r="J17" s="745" t="s">
        <v>1430</v>
      </c>
      <c r="K17" s="743" t="s">
        <v>1522</v>
      </c>
      <c r="L17" s="32"/>
    </row>
    <row r="18" spans="1:12" ht="54" customHeight="1" thickBot="1">
      <c r="A18" s="872"/>
      <c r="B18" s="20" t="s">
        <v>1036</v>
      </c>
      <c r="C18" s="589" t="s">
        <v>1038</v>
      </c>
      <c r="D18" s="589" t="s">
        <v>1578</v>
      </c>
      <c r="E18" s="587">
        <v>1</v>
      </c>
      <c r="F18" s="577">
        <f>0.092*6.35*1.15</f>
        <v>0.67182999999999993</v>
      </c>
      <c r="G18" s="588">
        <f>E18*F18</f>
        <v>0.67182999999999993</v>
      </c>
      <c r="H18" s="733">
        <f t="shared" si="0"/>
        <v>0.10579999999999999</v>
      </c>
      <c r="I18" s="744" t="s">
        <v>1058</v>
      </c>
      <c r="J18" s="745" t="s">
        <v>1431</v>
      </c>
      <c r="K18" s="740" t="s">
        <v>1530</v>
      </c>
      <c r="L18" s="32"/>
    </row>
    <row r="19" spans="1:12" ht="54" customHeight="1" thickBot="1">
      <c r="A19" s="872"/>
      <c r="B19" s="20" t="s">
        <v>1037</v>
      </c>
      <c r="C19" s="811" t="s">
        <v>1040</v>
      </c>
      <c r="D19" s="811" t="s">
        <v>1579</v>
      </c>
      <c r="E19" s="812">
        <v>1</v>
      </c>
      <c r="F19" s="813"/>
      <c r="G19" s="814"/>
      <c r="H19" s="815"/>
      <c r="I19" s="816"/>
      <c r="J19" s="817" t="s">
        <v>1527</v>
      </c>
      <c r="K19" s="817" t="s">
        <v>1532</v>
      </c>
      <c r="L19" s="32"/>
    </row>
    <row r="20" spans="1:12" ht="38.5" customHeight="1" thickBot="1">
      <c r="A20" s="872"/>
      <c r="B20" s="769" t="s">
        <v>1563</v>
      </c>
      <c r="C20" s="589" t="s">
        <v>1564</v>
      </c>
      <c r="D20" s="589" t="s">
        <v>45</v>
      </c>
      <c r="E20" s="34">
        <v>1.5</v>
      </c>
      <c r="F20" s="728">
        <f>0.643*6.35</f>
        <v>4.0830500000000001</v>
      </c>
      <c r="G20" s="588">
        <f t="shared" si="1"/>
        <v>6.1245750000000001</v>
      </c>
      <c r="H20" s="733">
        <f t="shared" si="0"/>
        <v>0.96450000000000002</v>
      </c>
      <c r="I20" s="738" t="s">
        <v>46</v>
      </c>
      <c r="J20" s="743" t="s">
        <v>1433</v>
      </c>
      <c r="K20" s="740" t="s">
        <v>1565</v>
      </c>
      <c r="L20" s="32"/>
    </row>
    <row r="21" spans="1:12" ht="64" customHeight="1" thickBot="1">
      <c r="A21" s="872"/>
      <c r="B21" s="20" t="s">
        <v>47</v>
      </c>
      <c r="C21" s="21" t="s">
        <v>1432</v>
      </c>
      <c r="D21" s="21" t="s">
        <v>1042</v>
      </c>
      <c r="E21" s="22">
        <v>1</v>
      </c>
      <c r="F21" s="577">
        <f>(1.937+0.358)*6.35</f>
        <v>14.573249999999998</v>
      </c>
      <c r="G21" s="588">
        <f t="shared" si="1"/>
        <v>14.573249999999998</v>
      </c>
      <c r="H21" s="733">
        <f t="shared" si="0"/>
        <v>2.2949999999999999</v>
      </c>
      <c r="I21" s="206" t="s">
        <v>48</v>
      </c>
      <c r="J21" s="740" t="s">
        <v>1043</v>
      </c>
      <c r="K21" s="740" t="s">
        <v>1531</v>
      </c>
      <c r="L21" s="32"/>
    </row>
    <row r="22" spans="1:12" ht="36" customHeight="1" thickBot="1">
      <c r="A22" s="872"/>
      <c r="B22" s="20" t="s">
        <v>1047</v>
      </c>
      <c r="C22" s="21" t="s">
        <v>1053</v>
      </c>
      <c r="D22" s="21" t="s">
        <v>1054</v>
      </c>
      <c r="E22" s="22">
        <v>1</v>
      </c>
      <c r="F22" s="886"/>
      <c r="G22" s="24"/>
      <c r="H22" s="730"/>
      <c r="I22" s="206"/>
      <c r="J22" s="206"/>
      <c r="K22" s="206"/>
      <c r="L22" s="32"/>
    </row>
    <row r="23" spans="1:12" ht="25.5" customHeight="1" thickBot="1">
      <c r="A23" s="872"/>
      <c r="B23" s="20" t="s">
        <v>51</v>
      </c>
      <c r="C23" s="21" t="s">
        <v>49</v>
      </c>
      <c r="D23" s="21" t="s">
        <v>50</v>
      </c>
      <c r="E23" s="22">
        <v>2</v>
      </c>
      <c r="F23" s="887"/>
      <c r="G23" s="24">
        <f t="shared" si="1"/>
        <v>0</v>
      </c>
      <c r="H23" s="730">
        <f t="shared" si="0"/>
        <v>0</v>
      </c>
      <c r="I23" s="738"/>
      <c r="J23" s="746"/>
      <c r="K23" s="206"/>
      <c r="L23" s="32"/>
    </row>
    <row r="24" spans="1:12" ht="20.5" customHeight="1" thickBot="1">
      <c r="A24" s="872"/>
      <c r="B24" s="20" t="s">
        <v>54</v>
      </c>
      <c r="C24" s="21" t="s">
        <v>52</v>
      </c>
      <c r="D24" s="21" t="s">
        <v>53</v>
      </c>
      <c r="E24" s="22">
        <v>3</v>
      </c>
      <c r="F24" s="887"/>
      <c r="G24" s="24">
        <f t="shared" si="1"/>
        <v>0</v>
      </c>
      <c r="H24" s="730">
        <f t="shared" si="0"/>
        <v>0</v>
      </c>
      <c r="I24" s="738"/>
      <c r="J24" s="747"/>
      <c r="K24" s="206"/>
      <c r="L24" s="32"/>
    </row>
    <row r="25" spans="1:12" ht="17" customHeight="1" thickBot="1">
      <c r="A25" s="872"/>
      <c r="B25" s="20" t="s">
        <v>1048</v>
      </c>
      <c r="C25" s="21" t="s">
        <v>55</v>
      </c>
      <c r="D25" s="21" t="s">
        <v>56</v>
      </c>
      <c r="E25" s="22">
        <v>6</v>
      </c>
      <c r="F25" s="887"/>
      <c r="G25" s="24">
        <f t="shared" si="1"/>
        <v>0</v>
      </c>
      <c r="H25" s="730">
        <f t="shared" si="0"/>
        <v>0</v>
      </c>
      <c r="I25" s="738"/>
      <c r="J25" s="206"/>
      <c r="K25" s="206"/>
      <c r="L25" s="32"/>
    </row>
    <row r="26" spans="1:12" ht="26" customHeight="1" thickBot="1">
      <c r="A26" s="872"/>
      <c r="B26" s="20" t="s">
        <v>1049</v>
      </c>
      <c r="C26" s="21" t="s">
        <v>1034</v>
      </c>
      <c r="D26" s="21" t="s">
        <v>57</v>
      </c>
      <c r="E26" s="22">
        <v>2</v>
      </c>
      <c r="F26" s="887"/>
      <c r="G26" s="24">
        <f t="shared" si="1"/>
        <v>0</v>
      </c>
      <c r="H26" s="730">
        <f>G26/6.35</f>
        <v>0</v>
      </c>
      <c r="I26" s="748"/>
      <c r="J26" s="206"/>
      <c r="K26" s="206"/>
      <c r="L26" s="32"/>
    </row>
    <row r="27" spans="1:12" ht="41.5" customHeight="1" thickBot="1">
      <c r="A27" s="872"/>
      <c r="B27" s="20" t="s">
        <v>1050</v>
      </c>
      <c r="C27" s="21" t="s">
        <v>58</v>
      </c>
      <c r="D27" s="21" t="s">
        <v>59</v>
      </c>
      <c r="E27" s="22">
        <v>6</v>
      </c>
      <c r="F27" s="887"/>
      <c r="G27" s="35">
        <f t="shared" si="1"/>
        <v>0</v>
      </c>
      <c r="H27" s="734">
        <f t="shared" si="0"/>
        <v>0</v>
      </c>
      <c r="I27" s="749"/>
      <c r="J27" s="206"/>
      <c r="K27" s="206"/>
      <c r="L27" s="32"/>
    </row>
    <row r="28" spans="1:12" ht="23.5" customHeight="1" thickBot="1">
      <c r="A28" s="872"/>
      <c r="B28" s="20" t="s">
        <v>1051</v>
      </c>
      <c r="C28" s="21" t="s">
        <v>60</v>
      </c>
      <c r="D28" s="21" t="s">
        <v>45</v>
      </c>
      <c r="E28" s="22">
        <v>0.05</v>
      </c>
      <c r="F28" s="888"/>
      <c r="G28" s="35">
        <f>E28*F22</f>
        <v>0</v>
      </c>
      <c r="H28" s="734">
        <f t="shared" si="0"/>
        <v>0</v>
      </c>
      <c r="I28" s="748"/>
      <c r="J28" s="206"/>
      <c r="K28" s="206"/>
      <c r="L28" s="32"/>
    </row>
    <row r="29" spans="1:12" ht="83.5" customHeight="1" thickBot="1">
      <c r="A29" s="872"/>
      <c r="B29" s="20" t="s">
        <v>1052</v>
      </c>
      <c r="C29" s="21" t="s">
        <v>61</v>
      </c>
      <c r="D29" s="21" t="s">
        <v>62</v>
      </c>
      <c r="E29" s="22">
        <v>1</v>
      </c>
      <c r="F29" s="640">
        <f>6*6.35*(1+10%)</f>
        <v>41.91</v>
      </c>
      <c r="G29" s="35">
        <f t="shared" si="1"/>
        <v>41.91</v>
      </c>
      <c r="H29" s="734">
        <f>G29/6.35</f>
        <v>6.6</v>
      </c>
      <c r="I29" s="206" t="s">
        <v>63</v>
      </c>
      <c r="J29" s="740" t="s">
        <v>1567</v>
      </c>
      <c r="K29" s="740" t="s">
        <v>1534</v>
      </c>
      <c r="L29" s="32"/>
    </row>
    <row r="30" spans="1:12" ht="12.75" customHeight="1" thickBot="1">
      <c r="A30" s="872"/>
      <c r="B30" s="20" t="s">
        <v>64</v>
      </c>
      <c r="C30" s="21" t="s">
        <v>65</v>
      </c>
      <c r="D30" s="21" t="s">
        <v>66</v>
      </c>
      <c r="E30" s="22">
        <v>9</v>
      </c>
      <c r="F30" s="640">
        <f>0.023*6.35*(1+5%)</f>
        <v>0.1533525</v>
      </c>
      <c r="G30" s="24">
        <f>F30*E30</f>
        <v>1.3801725</v>
      </c>
      <c r="H30" s="735">
        <f>G30/6.35</f>
        <v>0.21735000000000002</v>
      </c>
      <c r="I30" s="206" t="s">
        <v>63</v>
      </c>
      <c r="J30" s="206" t="s">
        <v>1055</v>
      </c>
      <c r="K30" s="206"/>
      <c r="L30" s="32"/>
    </row>
    <row r="31" spans="1:12" ht="12.75" customHeight="1" thickBot="1">
      <c r="A31" s="872"/>
      <c r="B31" s="20" t="s">
        <v>67</v>
      </c>
      <c r="C31" s="21" t="s">
        <v>68</v>
      </c>
      <c r="D31" s="21" t="s">
        <v>45</v>
      </c>
      <c r="E31" s="22">
        <v>1</v>
      </c>
      <c r="F31" s="640">
        <f>0.013*6.35</f>
        <v>8.2549999999999998E-2</v>
      </c>
      <c r="G31" s="24">
        <f>F31*E31</f>
        <v>8.2549999999999998E-2</v>
      </c>
      <c r="H31" s="735">
        <f>G31/6.35</f>
        <v>1.3000000000000001E-2</v>
      </c>
      <c r="I31" s="206" t="s">
        <v>63</v>
      </c>
      <c r="J31" s="206"/>
      <c r="K31" s="206"/>
      <c r="L31" s="32"/>
    </row>
    <row r="32" spans="1:12" ht="12.75" customHeight="1" thickBot="1">
      <c r="A32" s="872"/>
      <c r="B32" s="20"/>
      <c r="C32" s="36"/>
      <c r="D32" s="21"/>
      <c r="E32" s="22"/>
      <c r="F32" s="37"/>
      <c r="G32" s="24">
        <f t="shared" ref="G32:G37" si="2">E32*F32</f>
        <v>0</v>
      </c>
      <c r="H32" s="735">
        <f>G32/Exchange</f>
        <v>0</v>
      </c>
      <c r="I32" s="738"/>
      <c r="J32" s="206"/>
      <c r="K32" s="206"/>
      <c r="L32" s="32"/>
    </row>
    <row r="33" spans="1:16" ht="12.75" customHeight="1" thickBot="1">
      <c r="A33" s="872"/>
      <c r="B33" s="38"/>
      <c r="C33" s="36"/>
      <c r="D33" s="21"/>
      <c r="E33" s="39"/>
      <c r="F33" s="37"/>
      <c r="G33" s="24">
        <f t="shared" si="2"/>
        <v>0</v>
      </c>
      <c r="H33" s="735">
        <f>G33/Exchange</f>
        <v>0</v>
      </c>
      <c r="I33" s="738"/>
      <c r="J33" s="206"/>
      <c r="K33" s="206"/>
      <c r="L33" s="32"/>
    </row>
    <row r="34" spans="1:16" ht="12.75" customHeight="1" thickBot="1">
      <c r="A34" s="872"/>
      <c r="B34" s="38"/>
      <c r="C34" s="36"/>
      <c r="D34" s="21"/>
      <c r="E34" s="39"/>
      <c r="F34" s="37"/>
      <c r="G34" s="24">
        <f t="shared" si="2"/>
        <v>0</v>
      </c>
      <c r="H34" s="735">
        <f t="shared" si="0"/>
        <v>0</v>
      </c>
      <c r="I34" s="738"/>
      <c r="J34" s="206"/>
      <c r="K34" s="206"/>
      <c r="L34" s="32"/>
    </row>
    <row r="35" spans="1:16" ht="12.75" customHeight="1" thickBot="1">
      <c r="A35" s="872"/>
      <c r="B35" s="38"/>
      <c r="C35" s="36"/>
      <c r="D35" s="21"/>
      <c r="E35" s="39"/>
      <c r="F35" s="37"/>
      <c r="G35" s="24">
        <f t="shared" si="2"/>
        <v>0</v>
      </c>
      <c r="H35" s="735">
        <f t="shared" si="0"/>
        <v>0</v>
      </c>
      <c r="I35" s="738"/>
      <c r="J35" s="206"/>
      <c r="K35" s="206"/>
      <c r="L35" s="32"/>
    </row>
    <row r="36" spans="1:16" ht="12.75" customHeight="1" thickBot="1">
      <c r="A36" s="872"/>
      <c r="B36" s="38"/>
      <c r="C36" s="36"/>
      <c r="D36" s="21"/>
      <c r="E36" s="39"/>
      <c r="F36" s="37"/>
      <c r="G36" s="24">
        <f t="shared" si="2"/>
        <v>0</v>
      </c>
      <c r="H36" s="735">
        <f t="shared" si="0"/>
        <v>0</v>
      </c>
      <c r="I36" s="738"/>
      <c r="J36" s="206"/>
      <c r="K36" s="206"/>
      <c r="L36" s="32"/>
    </row>
    <row r="37" spans="1:16" ht="12.75" customHeight="1" thickBot="1">
      <c r="A37" s="873"/>
      <c r="B37" s="40"/>
      <c r="C37" s="41"/>
      <c r="D37" s="42"/>
      <c r="E37" s="43"/>
      <c r="F37" s="44"/>
      <c r="G37" s="24">
        <f t="shared" si="2"/>
        <v>0</v>
      </c>
      <c r="H37" s="736">
        <f t="shared" si="0"/>
        <v>0</v>
      </c>
      <c r="I37" s="738"/>
      <c r="J37" s="206"/>
      <c r="K37" s="206"/>
      <c r="L37" s="32"/>
    </row>
    <row r="38" spans="1:16" ht="13">
      <c r="A38" s="45"/>
      <c r="B38" s="46"/>
      <c r="C38" s="47"/>
      <c r="D38" s="48"/>
      <c r="E38" s="49"/>
      <c r="F38" s="50"/>
      <c r="G38" s="50"/>
      <c r="H38" s="51"/>
      <c r="I38" s="1"/>
      <c r="L38" s="52"/>
      <c r="M38" s="53"/>
      <c r="N38" s="53"/>
      <c r="O38" s="53"/>
      <c r="P38" s="53"/>
    </row>
    <row r="39" spans="1:16" ht="13.5" thickBot="1">
      <c r="A39" s="54"/>
      <c r="B39" s="55"/>
      <c r="C39" s="1"/>
      <c r="D39" s="874" t="s">
        <v>69</v>
      </c>
      <c r="E39" s="874"/>
      <c r="F39" s="874"/>
      <c r="G39" s="56">
        <f>SUM(G9:G37)</f>
        <v>254.09530695949996</v>
      </c>
      <c r="H39" s="57">
        <f>G39/Exchange</f>
        <v>40.015008969999997</v>
      </c>
      <c r="I39" s="1"/>
      <c r="L39" s="58"/>
      <c r="M39" s="59"/>
      <c r="N39" s="60"/>
    </row>
    <row r="40" spans="1:16" ht="13" thickTop="1">
      <c r="A40" s="54"/>
      <c r="B40" s="55"/>
      <c r="C40" s="1"/>
      <c r="D40" s="1"/>
      <c r="E40" s="1"/>
      <c r="F40" s="1"/>
      <c r="G40" s="61"/>
      <c r="H40" s="62"/>
      <c r="I40" s="1"/>
      <c r="K40" s="1"/>
      <c r="L40" s="32"/>
    </row>
    <row r="41" spans="1:16" ht="13.5" thickBot="1">
      <c r="A41" s="54"/>
      <c r="B41" s="55"/>
      <c r="C41" s="1"/>
      <c r="D41" s="874" t="s">
        <v>70</v>
      </c>
      <c r="E41" s="874"/>
      <c r="F41" s="874"/>
      <c r="G41" s="63">
        <f>H41*6.35</f>
        <v>7.4816405583734884</v>
      </c>
      <c r="H41" s="64">
        <f>[4]Packing!G8</f>
        <v>1.1782111115548801</v>
      </c>
      <c r="I41" s="65"/>
      <c r="K41" s="1"/>
      <c r="L41" s="32"/>
    </row>
    <row r="42" spans="1:16" ht="13.5" thickTop="1" thickBot="1">
      <c r="A42" s="54"/>
      <c r="B42" s="55"/>
      <c r="C42" s="1"/>
      <c r="D42" s="1"/>
      <c r="E42" s="1"/>
      <c r="F42" s="1"/>
      <c r="G42" s="61"/>
      <c r="H42" s="62"/>
      <c r="I42" s="1"/>
      <c r="K42" s="1"/>
      <c r="L42" s="32"/>
    </row>
    <row r="43" spans="1:16" ht="13.5" thickBot="1">
      <c r="A43" s="54"/>
      <c r="B43" s="875" t="s">
        <v>71</v>
      </c>
      <c r="C43" s="874"/>
      <c r="D43" s="874"/>
      <c r="E43" s="874"/>
      <c r="F43" s="874"/>
      <c r="G43" s="66">
        <f>SUM(G39:G41)</f>
        <v>261.57694751787346</v>
      </c>
      <c r="H43" s="67">
        <f>G43/Exchange</f>
        <v>41.193220081554877</v>
      </c>
      <c r="I43" s="68"/>
      <c r="K43" s="68"/>
      <c r="L43" s="69"/>
      <c r="M43" s="68"/>
    </row>
    <row r="44" spans="1:16" ht="13">
      <c r="A44" s="54"/>
      <c r="B44" s="70"/>
      <c r="C44" s="71"/>
      <c r="D44" s="71"/>
      <c r="E44" s="71"/>
      <c r="F44" s="71"/>
      <c r="G44" s="72"/>
      <c r="H44" s="2"/>
      <c r="I44" s="68"/>
      <c r="K44" s="68"/>
      <c r="L44" s="69"/>
      <c r="M44" s="68"/>
    </row>
    <row r="45" spans="1:16" ht="15" customHeight="1" thickBot="1">
      <c r="A45" s="54"/>
      <c r="B45" s="70"/>
      <c r="C45" s="71"/>
      <c r="D45" s="71"/>
      <c r="E45" s="71"/>
      <c r="F45" s="71"/>
      <c r="G45" s="72"/>
      <c r="H45" s="2"/>
      <c r="I45" s="68"/>
      <c r="K45" s="68"/>
      <c r="L45" s="69"/>
      <c r="M45" s="68"/>
    </row>
    <row r="46" spans="1:16" ht="13">
      <c r="A46" s="876"/>
      <c r="B46" s="877" t="s">
        <v>72</v>
      </c>
      <c r="C46" s="880" t="s">
        <v>73</v>
      </c>
      <c r="D46" s="880" t="s">
        <v>13</v>
      </c>
      <c r="E46" s="880" t="s">
        <v>14</v>
      </c>
      <c r="F46" s="883" t="s">
        <v>15</v>
      </c>
      <c r="G46" s="73"/>
      <c r="H46" s="1"/>
      <c r="I46" s="47"/>
      <c r="K46" s="47"/>
      <c r="L46" s="74"/>
    </row>
    <row r="47" spans="1:16" ht="13.5" thickBot="1">
      <c r="A47" s="876"/>
      <c r="B47" s="878"/>
      <c r="C47" s="881"/>
      <c r="D47" s="881"/>
      <c r="E47" s="881"/>
      <c r="F47" s="884"/>
      <c r="G47" s="73"/>
      <c r="H47" s="1"/>
      <c r="I47" s="47"/>
      <c r="J47" s="47"/>
      <c r="K47" s="47"/>
      <c r="L47" s="74"/>
    </row>
    <row r="48" spans="1:16" ht="13.5" thickBot="1">
      <c r="A48" s="876"/>
      <c r="B48" s="879"/>
      <c r="C48" s="882"/>
      <c r="D48" s="882"/>
      <c r="E48" s="882"/>
      <c r="F48" s="885"/>
      <c r="G48" s="75" t="s">
        <v>19</v>
      </c>
      <c r="H48" s="76" t="s">
        <v>20</v>
      </c>
      <c r="I48" s="47"/>
      <c r="J48" s="77"/>
      <c r="K48" s="47"/>
      <c r="L48" s="74"/>
    </row>
    <row r="49" spans="1:17" ht="13">
      <c r="A49" s="889" t="s">
        <v>74</v>
      </c>
      <c r="B49" s="78"/>
      <c r="C49" s="79"/>
      <c r="D49" s="80"/>
      <c r="E49" s="81">
        <v>0</v>
      </c>
      <c r="F49" s="82">
        <v>0</v>
      </c>
      <c r="G49" s="83">
        <f t="shared" ref="G49:G54" si="3">E49*F49*1.05</f>
        <v>0</v>
      </c>
      <c r="H49" s="84">
        <f t="shared" ref="H49:H54" si="4">G49/Exchange</f>
        <v>0</v>
      </c>
      <c r="I49" s="47"/>
      <c r="J49" s="47"/>
      <c r="K49" s="47"/>
      <c r="L49" s="74"/>
    </row>
    <row r="50" spans="1:17" ht="13">
      <c r="A50" s="890"/>
      <c r="B50" s="38"/>
      <c r="C50" s="85"/>
      <c r="D50" s="21"/>
      <c r="E50" s="39">
        <v>0</v>
      </c>
      <c r="F50" s="37">
        <v>0</v>
      </c>
      <c r="G50" s="86">
        <f t="shared" si="3"/>
        <v>0</v>
      </c>
      <c r="H50" s="87">
        <f t="shared" si="4"/>
        <v>0</v>
      </c>
      <c r="I50" s="47"/>
      <c r="J50" s="47"/>
      <c r="K50" s="47"/>
      <c r="L50" s="74"/>
    </row>
    <row r="51" spans="1:17" ht="13">
      <c r="A51" s="890"/>
      <c r="B51" s="38"/>
      <c r="C51" s="85"/>
      <c r="D51" s="21"/>
      <c r="E51" s="39">
        <v>0</v>
      </c>
      <c r="F51" s="37">
        <v>0</v>
      </c>
      <c r="G51" s="86">
        <f t="shared" si="3"/>
        <v>0</v>
      </c>
      <c r="H51" s="87">
        <f t="shared" si="4"/>
        <v>0</v>
      </c>
      <c r="I51" s="47"/>
      <c r="J51" s="88"/>
      <c r="K51" s="88"/>
      <c r="L51" s="74"/>
    </row>
    <row r="52" spans="1:17" ht="13">
      <c r="A52" s="890"/>
      <c r="B52" s="38"/>
      <c r="C52" s="85"/>
      <c r="D52" s="21"/>
      <c r="E52" s="39">
        <v>0</v>
      </c>
      <c r="F52" s="37">
        <v>0</v>
      </c>
      <c r="G52" s="86">
        <f t="shared" si="3"/>
        <v>0</v>
      </c>
      <c r="H52" s="87">
        <f t="shared" si="4"/>
        <v>0</v>
      </c>
      <c r="I52" s="47"/>
      <c r="J52" s="88"/>
      <c r="K52" s="88"/>
      <c r="L52" s="74"/>
    </row>
    <row r="53" spans="1:17" ht="13">
      <c r="A53" s="890"/>
      <c r="B53" s="38"/>
      <c r="C53" s="85"/>
      <c r="D53" s="21"/>
      <c r="E53" s="39">
        <v>0</v>
      </c>
      <c r="F53" s="37">
        <v>0</v>
      </c>
      <c r="G53" s="86">
        <f t="shared" si="3"/>
        <v>0</v>
      </c>
      <c r="H53" s="87">
        <f t="shared" si="4"/>
        <v>0</v>
      </c>
      <c r="I53" s="47"/>
      <c r="J53" s="47"/>
      <c r="K53" s="89"/>
      <c r="L53" s="74"/>
    </row>
    <row r="54" spans="1:17" ht="13.5" thickBot="1">
      <c r="A54" s="891"/>
      <c r="B54" s="90"/>
      <c r="C54" s="91"/>
      <c r="D54" s="42"/>
      <c r="E54" s="43">
        <v>0</v>
      </c>
      <c r="F54" s="44">
        <v>0</v>
      </c>
      <c r="G54" s="92">
        <f t="shared" si="3"/>
        <v>0</v>
      </c>
      <c r="H54" s="93">
        <f t="shared" si="4"/>
        <v>0</v>
      </c>
      <c r="I54" s="47"/>
      <c r="J54" s="77"/>
      <c r="K54" s="47"/>
      <c r="L54" s="74"/>
    </row>
    <row r="55" spans="1:17" ht="13">
      <c r="A55" s="55"/>
      <c r="B55" s="94"/>
      <c r="C55" s="874" t="s">
        <v>75</v>
      </c>
      <c r="D55" s="874"/>
      <c r="E55" s="874"/>
      <c r="F55" s="95"/>
      <c r="G55" s="96">
        <f>SUM(G49:G54)</f>
        <v>0</v>
      </c>
      <c r="H55" s="97">
        <f>G55/Exchange</f>
        <v>0</v>
      </c>
      <c r="I55" s="47"/>
      <c r="J55" s="47"/>
      <c r="K55" s="47"/>
      <c r="L55" s="74"/>
    </row>
    <row r="56" spans="1:17" ht="13">
      <c r="A56" s="55"/>
      <c r="B56" s="94"/>
      <c r="C56" s="874" t="s">
        <v>76</v>
      </c>
      <c r="D56" s="874"/>
      <c r="E56" s="874"/>
      <c r="F56" s="98">
        <v>0.05</v>
      </c>
      <c r="G56" s="99">
        <f>G55*F56</f>
        <v>0</v>
      </c>
      <c r="H56" s="100">
        <f>G56/Exchange</f>
        <v>0</v>
      </c>
      <c r="I56" s="47"/>
      <c r="J56" s="47"/>
      <c r="K56" s="47"/>
      <c r="L56" s="74"/>
    </row>
    <row r="57" spans="1:17" ht="13.5" thickBot="1">
      <c r="A57" s="55"/>
      <c r="B57" s="94"/>
      <c r="C57" s="874" t="s">
        <v>77</v>
      </c>
      <c r="D57" s="874"/>
      <c r="E57" s="874"/>
      <c r="F57" s="101"/>
      <c r="G57" s="102">
        <f>SUM(G55:G56)</f>
        <v>0</v>
      </c>
      <c r="H57" s="103">
        <f>G57/Exchange</f>
        <v>0</v>
      </c>
      <c r="I57" s="47"/>
      <c r="J57" s="47"/>
      <c r="K57" s="47"/>
      <c r="L57" s="74"/>
    </row>
    <row r="58" spans="1:17" ht="15" customHeight="1">
      <c r="A58" s="104"/>
      <c r="B58" s="105"/>
      <c r="C58" s="71"/>
      <c r="D58" s="71"/>
      <c r="E58" s="71"/>
      <c r="F58" s="71"/>
      <c r="G58" s="106"/>
      <c r="H58" s="107"/>
      <c r="I58" s="68"/>
      <c r="J58" s="68"/>
      <c r="K58" s="68"/>
      <c r="L58" s="69"/>
      <c r="M58" s="68"/>
    </row>
    <row r="59" spans="1:17" ht="13.5" thickBot="1">
      <c r="A59" s="104"/>
      <c r="B59" s="108"/>
      <c r="C59" s="109"/>
      <c r="D59" s="110"/>
      <c r="E59" s="110"/>
      <c r="F59" s="110"/>
      <c r="G59" s="110"/>
      <c r="H59" s="111"/>
      <c r="I59" s="109"/>
      <c r="J59" s="109"/>
      <c r="K59" s="109"/>
      <c r="L59" s="112"/>
      <c r="M59" s="68"/>
    </row>
    <row r="60" spans="1:17" ht="13.5" thickBot="1">
      <c r="A60" s="54"/>
      <c r="B60" s="113" t="s">
        <v>78</v>
      </c>
      <c r="C60" s="114" t="s">
        <v>1</v>
      </c>
      <c r="D60" s="892" t="s">
        <v>79</v>
      </c>
      <c r="E60" s="893"/>
      <c r="F60" s="894"/>
      <c r="G60" s="892" t="s">
        <v>80</v>
      </c>
      <c r="H60" s="894"/>
      <c r="I60" s="892" t="s">
        <v>81</v>
      </c>
      <c r="J60" s="893"/>
      <c r="K60" s="893"/>
      <c r="L60" s="894"/>
    </row>
    <row r="61" spans="1:17" ht="13.5" thickBot="1">
      <c r="A61" s="54"/>
      <c r="B61" s="115" t="s">
        <v>1</v>
      </c>
      <c r="C61" s="116"/>
      <c r="D61" s="895" t="s">
        <v>82</v>
      </c>
      <c r="E61" s="896"/>
      <c r="F61" s="896"/>
      <c r="G61" s="896"/>
      <c r="H61" s="896"/>
      <c r="I61" s="896"/>
      <c r="J61" s="896"/>
      <c r="K61" s="896"/>
      <c r="L61" s="897"/>
    </row>
    <row r="62" spans="1:17" ht="13">
      <c r="A62" s="54"/>
      <c r="B62" s="898" t="s">
        <v>83</v>
      </c>
      <c r="C62" s="117" t="s">
        <v>84</v>
      </c>
      <c r="D62" s="118" t="s">
        <v>85</v>
      </c>
      <c r="E62" s="118" t="s">
        <v>29</v>
      </c>
      <c r="F62" s="118" t="s">
        <v>86</v>
      </c>
      <c r="G62" s="118" t="s">
        <v>87</v>
      </c>
      <c r="H62" s="118" t="s">
        <v>88</v>
      </c>
      <c r="I62" s="118" t="s">
        <v>89</v>
      </c>
      <c r="J62" s="118" t="s">
        <v>90</v>
      </c>
      <c r="K62" s="118" t="s">
        <v>91</v>
      </c>
      <c r="L62" s="118" t="s">
        <v>92</v>
      </c>
      <c r="M62" s="900"/>
      <c r="N62" s="901"/>
      <c r="O62" s="901"/>
      <c r="P62" s="901"/>
      <c r="Q62" s="901"/>
    </row>
    <row r="63" spans="1:17" ht="13.5" thickBot="1">
      <c r="A63" s="54"/>
      <c r="B63" s="899"/>
      <c r="C63" s="821"/>
      <c r="D63" s="119" t="s">
        <v>93</v>
      </c>
      <c r="E63" s="119" t="s">
        <v>94</v>
      </c>
      <c r="F63" s="119" t="s">
        <v>95</v>
      </c>
      <c r="G63" s="119" t="s">
        <v>96</v>
      </c>
      <c r="H63" s="119" t="s">
        <v>96</v>
      </c>
      <c r="I63" s="119" t="s">
        <v>94</v>
      </c>
      <c r="J63" s="119" t="s">
        <v>94</v>
      </c>
      <c r="K63" s="119" t="s">
        <v>97</v>
      </c>
      <c r="L63" s="119" t="s">
        <v>98</v>
      </c>
      <c r="M63" s="527" t="s">
        <v>99</v>
      </c>
      <c r="N63" s="528" t="s">
        <v>100</v>
      </c>
    </row>
    <row r="64" spans="1:17" ht="12.5" customHeight="1">
      <c r="A64" s="908" t="s">
        <v>10</v>
      </c>
      <c r="B64" s="830" t="s">
        <v>101</v>
      </c>
      <c r="C64" s="831">
        <f t="shared" ref="C64:C73" si="5">$M$10</f>
        <v>60.973000000000006</v>
      </c>
      <c r="D64" s="832">
        <f t="shared" ref="D64:D69" si="6">((G64/3600)/H64)*F64</f>
        <v>6.2500000000000003E-3</v>
      </c>
      <c r="E64" s="833">
        <f>+D64*C64</f>
        <v>0.38108125000000004</v>
      </c>
      <c r="F64" s="834">
        <v>1</v>
      </c>
      <c r="G64" s="835">
        <f>'P035 RFQ_ (B面) '!E15</f>
        <v>22.5</v>
      </c>
      <c r="H64" s="836">
        <v>1</v>
      </c>
      <c r="I64" s="837">
        <f t="shared" ref="I64:I73" si="7">(D64*$M$7)</f>
        <v>0</v>
      </c>
      <c r="J64" s="838">
        <f>($N$8*D64)</f>
        <v>1.3954187500000002</v>
      </c>
      <c r="K64" s="838"/>
      <c r="L64" s="839">
        <f t="shared" ref="L64:L69" si="8">SUM(I64:K64)</f>
        <v>1.3954187500000002</v>
      </c>
      <c r="M64" s="818">
        <f>'P035 RFQ_ (B面) '!Q12</f>
        <v>4.62</v>
      </c>
      <c r="N64" s="130" t="s">
        <v>102</v>
      </c>
      <c r="O64" s="131"/>
    </row>
    <row r="65" spans="1:102" ht="12.75" customHeight="1">
      <c r="A65" s="909"/>
      <c r="B65" s="120" t="s">
        <v>103</v>
      </c>
      <c r="C65" s="117">
        <f t="shared" si="5"/>
        <v>60.973000000000006</v>
      </c>
      <c r="D65" s="121">
        <f t="shared" si="6"/>
        <v>1.2708333333333334E-2</v>
      </c>
      <c r="E65" s="122">
        <f t="shared" ref="E65:E69" si="9">+D65*C65</f>
        <v>0.77486520833333339</v>
      </c>
      <c r="F65" s="123">
        <v>1</v>
      </c>
      <c r="G65" s="133">
        <f>'P035  RFQ（T面）'!E15</f>
        <v>45.75</v>
      </c>
      <c r="H65" s="125">
        <v>1</v>
      </c>
      <c r="I65" s="126">
        <f t="shared" si="7"/>
        <v>0</v>
      </c>
      <c r="J65" s="127">
        <f>($N$8*D65)</f>
        <v>2.8373514583333339</v>
      </c>
      <c r="K65" s="127"/>
      <c r="L65" s="128">
        <f t="shared" si="8"/>
        <v>2.8373514583333339</v>
      </c>
      <c r="M65" s="818">
        <f>'P035  RFQ（T面）'!Q12</f>
        <v>17.329999999999998</v>
      </c>
      <c r="N65" s="130" t="s">
        <v>104</v>
      </c>
      <c r="O65" s="131"/>
    </row>
    <row r="66" spans="1:102" ht="12.75" customHeight="1">
      <c r="A66" s="909"/>
      <c r="B66" s="120" t="s">
        <v>105</v>
      </c>
      <c r="C66" s="117">
        <f t="shared" si="5"/>
        <v>60.973000000000006</v>
      </c>
      <c r="D66" s="121">
        <f t="shared" si="6"/>
        <v>2.7777777777777779E-3</v>
      </c>
      <c r="E66" s="122">
        <f>+D66*C66</f>
        <v>0.16936944444444446</v>
      </c>
      <c r="F66" s="123">
        <v>1</v>
      </c>
      <c r="G66" s="133">
        <f>'P035 RFQ AXI'!E9</f>
        <v>10</v>
      </c>
      <c r="H66" s="125">
        <v>1</v>
      </c>
      <c r="I66" s="126">
        <f t="shared" si="7"/>
        <v>0</v>
      </c>
      <c r="J66" s="127">
        <f>($N$8*D66)</f>
        <v>0.62018611111111122</v>
      </c>
      <c r="K66" s="127"/>
      <c r="L66" s="128">
        <f t="shared" si="8"/>
        <v>0.62018611111111122</v>
      </c>
      <c r="M66" s="818"/>
      <c r="N66" s="130"/>
      <c r="O66" s="131"/>
    </row>
    <row r="67" spans="1:102" ht="12.5" customHeight="1">
      <c r="A67" s="909"/>
      <c r="B67" s="120" t="s">
        <v>106</v>
      </c>
      <c r="C67" s="117">
        <f t="shared" si="5"/>
        <v>60.973000000000006</v>
      </c>
      <c r="D67" s="121">
        <f t="shared" si="6"/>
        <v>6.9444444444444441E-3</v>
      </c>
      <c r="E67" s="122">
        <f t="shared" si="9"/>
        <v>0.42342361111111115</v>
      </c>
      <c r="F67" s="123">
        <v>1</v>
      </c>
      <c r="G67" s="133">
        <f>'P035  RFQ（ICT）'!E9</f>
        <v>25</v>
      </c>
      <c r="H67" s="125">
        <v>1</v>
      </c>
      <c r="I67" s="126">
        <f t="shared" si="7"/>
        <v>0</v>
      </c>
      <c r="J67" s="127">
        <f>($N$8*D67)</f>
        <v>1.5504652777777779</v>
      </c>
      <c r="K67" s="127"/>
      <c r="L67" s="128">
        <f t="shared" si="8"/>
        <v>1.5504652777777779</v>
      </c>
      <c r="M67" s="846"/>
      <c r="N67" s="525"/>
      <c r="O67" s="131"/>
    </row>
    <row r="68" spans="1:102" s="132" customFormat="1" ht="13">
      <c r="A68" s="909"/>
      <c r="B68" s="120" t="s">
        <v>107</v>
      </c>
      <c r="C68" s="117">
        <f t="shared" si="5"/>
        <v>60.973000000000006</v>
      </c>
      <c r="D68" s="121">
        <f t="shared" si="6"/>
        <v>3.7037037037037038E-3</v>
      </c>
      <c r="E68" s="122">
        <f t="shared" si="9"/>
        <v>0.22582592592592596</v>
      </c>
      <c r="F68" s="123">
        <v>1</v>
      </c>
      <c r="G68" s="133">
        <f>'P035  RFQ（Depanel) '!E9</f>
        <v>13.333333333333334</v>
      </c>
      <c r="H68" s="125">
        <v>1</v>
      </c>
      <c r="I68" s="126">
        <f t="shared" si="7"/>
        <v>0</v>
      </c>
      <c r="J68" s="127">
        <f>($N$8*D68)</f>
        <v>0.82691481481481499</v>
      </c>
      <c r="K68" s="127"/>
      <c r="L68" s="128">
        <f t="shared" si="8"/>
        <v>0.82691481481481499</v>
      </c>
      <c r="M68" s="818">
        <v>25</v>
      </c>
      <c r="N68" s="526"/>
    </row>
    <row r="69" spans="1:102" s="132" customFormat="1" ht="13.5" thickBot="1">
      <c r="A69" s="910"/>
      <c r="B69" s="840" t="s">
        <v>108</v>
      </c>
      <c r="C69" s="841">
        <f t="shared" si="5"/>
        <v>60.973000000000006</v>
      </c>
      <c r="D69" s="136">
        <f t="shared" si="6"/>
        <v>2.0833333333333332E-2</v>
      </c>
      <c r="E69" s="137">
        <f t="shared" si="9"/>
        <v>1.2702708333333335</v>
      </c>
      <c r="F69" s="842">
        <v>1</v>
      </c>
      <c r="G69" s="847">
        <f>'P035  RFQ（FVT)'!E9</f>
        <v>75</v>
      </c>
      <c r="H69" s="138">
        <v>1</v>
      </c>
      <c r="I69" s="139">
        <f t="shared" si="7"/>
        <v>0</v>
      </c>
      <c r="J69" s="140">
        <f>($M$8*D69)</f>
        <v>2.4898958333333332</v>
      </c>
      <c r="K69" s="140"/>
      <c r="L69" s="141">
        <f t="shared" si="8"/>
        <v>2.4898958333333332</v>
      </c>
      <c r="M69" s="819"/>
      <c r="N69" s="526" t="s">
        <v>956</v>
      </c>
    </row>
    <row r="70" spans="1:102" ht="16" customHeight="1">
      <c r="A70" s="908" t="s">
        <v>1568</v>
      </c>
      <c r="B70" s="830" t="str">
        <f>'P035 0131version'!B12</f>
        <v>Paste label on the bracket and assemble the PCBA and camera fan with bracket and fixed by screws</v>
      </c>
      <c r="C70" s="831">
        <f t="shared" si="5"/>
        <v>60.973000000000006</v>
      </c>
      <c r="D70" s="832">
        <f t="shared" ref="D70:D72" si="10">((G70/3600)/H70)*F70</f>
        <v>1.6666666666666666E-2</v>
      </c>
      <c r="E70" s="833">
        <f t="shared" ref="E70:E72" si="11">+D70*C70</f>
        <v>1.0162166666666668</v>
      </c>
      <c r="F70" s="834">
        <v>1</v>
      </c>
      <c r="G70" s="835">
        <v>60</v>
      </c>
      <c r="H70" s="836">
        <v>1</v>
      </c>
      <c r="I70" s="837">
        <f t="shared" si="7"/>
        <v>0</v>
      </c>
      <c r="J70" s="838">
        <f>($M$8*D70)</f>
        <v>1.9919166666666666</v>
      </c>
      <c r="K70" s="838"/>
      <c r="L70" s="839">
        <f t="shared" ref="L70:L77" si="12">SUM(I70:K70)</f>
        <v>1.9919166666666666</v>
      </c>
      <c r="M70" s="902">
        <v>66</v>
      </c>
      <c r="N70" s="905" t="s">
        <v>1057</v>
      </c>
    </row>
    <row r="71" spans="1:102" s="134" customFormat="1" ht="13">
      <c r="A71" s="909"/>
      <c r="B71" s="120" t="str">
        <f>'P035 0131version'!B13</f>
        <v>EOL</v>
      </c>
      <c r="C71" s="117">
        <f t="shared" si="5"/>
        <v>60.973000000000006</v>
      </c>
      <c r="D71" s="121">
        <f t="shared" si="10"/>
        <v>8.3333333333333332E-3</v>
      </c>
      <c r="E71" s="122">
        <f t="shared" si="11"/>
        <v>0.50810833333333338</v>
      </c>
      <c r="F71" s="123">
        <v>0.5</v>
      </c>
      <c r="G71" s="133">
        <v>60</v>
      </c>
      <c r="H71" s="125">
        <v>1</v>
      </c>
      <c r="I71" s="126">
        <f t="shared" si="7"/>
        <v>0</v>
      </c>
      <c r="J71" s="127">
        <f>($M$8*D71)</f>
        <v>0.99595833333333328</v>
      </c>
      <c r="K71" s="127"/>
      <c r="L71" s="128">
        <f t="shared" si="12"/>
        <v>0.99595833333333328</v>
      </c>
      <c r="M71" s="903"/>
      <c r="N71" s="906"/>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row>
    <row r="72" spans="1:102" s="134" customFormat="1" ht="13">
      <c r="A72" s="909"/>
      <c r="B72" s="120" t="s">
        <v>1422</v>
      </c>
      <c r="C72" s="117">
        <f t="shared" si="5"/>
        <v>60.973000000000006</v>
      </c>
      <c r="D72" s="121">
        <f t="shared" si="10"/>
        <v>8.3333333333333332E-3</v>
      </c>
      <c r="E72" s="122">
        <f t="shared" si="11"/>
        <v>0.50810833333333338</v>
      </c>
      <c r="F72" s="123">
        <v>0.5</v>
      </c>
      <c r="G72" s="133">
        <v>60</v>
      </c>
      <c r="H72" s="125">
        <v>1</v>
      </c>
      <c r="I72" s="126">
        <f t="shared" si="7"/>
        <v>0</v>
      </c>
      <c r="J72" s="127">
        <f>($M$8*D72)</f>
        <v>0.99595833333333328</v>
      </c>
      <c r="K72" s="127"/>
      <c r="L72" s="128">
        <f t="shared" si="12"/>
        <v>0.99595833333333328</v>
      </c>
      <c r="M72" s="904"/>
      <c r="N72" s="907"/>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row>
    <row r="73" spans="1:102" s="132" customFormat="1" ht="13.5" thickBot="1">
      <c r="A73" s="910"/>
      <c r="B73" s="840" t="s">
        <v>1423</v>
      </c>
      <c r="C73" s="841">
        <f t="shared" si="5"/>
        <v>60.973000000000006</v>
      </c>
      <c r="D73" s="136">
        <f>((G73/3600)/H73)*F73</f>
        <v>5.5555555555555558E-3</v>
      </c>
      <c r="E73" s="137">
        <f>+D73*C73</f>
        <v>0.33873888888888892</v>
      </c>
      <c r="F73" s="842">
        <v>1</v>
      </c>
      <c r="G73" s="843">
        <v>20</v>
      </c>
      <c r="H73" s="138">
        <v>1</v>
      </c>
      <c r="I73" s="139">
        <f t="shared" si="7"/>
        <v>0</v>
      </c>
      <c r="J73" s="140">
        <f>($M$8*D73)</f>
        <v>0.6639722222222223</v>
      </c>
      <c r="K73" s="140"/>
      <c r="L73" s="141">
        <f>SUM(I73:K73)</f>
        <v>0.6639722222222223</v>
      </c>
      <c r="M73" s="820">
        <v>20</v>
      </c>
      <c r="N73" s="641"/>
    </row>
    <row r="74" spans="1:102" s="135" customFormat="1" ht="12.75" customHeight="1">
      <c r="A74" s="844"/>
      <c r="B74" s="822"/>
      <c r="C74" s="823"/>
      <c r="D74" s="824"/>
      <c r="E74" s="825"/>
      <c r="F74" s="123"/>
      <c r="G74" s="124"/>
      <c r="H74" s="826"/>
      <c r="I74" s="827"/>
      <c r="J74" s="828"/>
      <c r="K74" s="828"/>
      <c r="L74" s="829">
        <f t="shared" si="12"/>
        <v>0</v>
      </c>
      <c r="N74" s="526"/>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c r="BO74" s="132"/>
      <c r="BP74" s="132"/>
      <c r="BQ74" s="132"/>
      <c r="BR74" s="132"/>
      <c r="BS74" s="132"/>
      <c r="BT74" s="132"/>
      <c r="BU74" s="132"/>
      <c r="BV74" s="132"/>
      <c r="BW74" s="132"/>
      <c r="BX74" s="132"/>
      <c r="BY74" s="132"/>
      <c r="BZ74" s="132"/>
      <c r="CA74" s="132"/>
      <c r="CB74" s="132"/>
      <c r="CC74" s="132"/>
      <c r="CD74" s="132"/>
      <c r="CE74" s="132"/>
      <c r="CF74" s="132"/>
      <c r="CG74" s="132"/>
      <c r="CH74" s="132"/>
      <c r="CI74" s="132"/>
      <c r="CJ74" s="132"/>
      <c r="CK74" s="132"/>
      <c r="CL74" s="132"/>
      <c r="CM74" s="132"/>
      <c r="CN74" s="132"/>
      <c r="CO74" s="132"/>
      <c r="CP74" s="132"/>
      <c r="CQ74" s="132"/>
      <c r="CR74" s="132"/>
      <c r="CS74" s="132"/>
      <c r="CT74" s="132"/>
      <c r="CU74" s="132"/>
      <c r="CV74" s="132"/>
      <c r="CW74" s="132"/>
      <c r="CX74" s="132"/>
    </row>
    <row r="75" spans="1:102" s="135" customFormat="1" ht="13">
      <c r="A75" s="844"/>
      <c r="B75" s="120"/>
      <c r="C75" s="117"/>
      <c r="D75" s="121"/>
      <c r="E75" s="122"/>
      <c r="F75" s="123"/>
      <c r="G75" s="125"/>
      <c r="H75" s="125"/>
      <c r="I75" s="126"/>
      <c r="J75" s="127"/>
      <c r="K75" s="127"/>
      <c r="L75" s="128">
        <f t="shared" si="12"/>
        <v>0</v>
      </c>
      <c r="M75" s="129"/>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c r="BW75" s="132"/>
      <c r="BX75" s="132"/>
      <c r="BY75" s="132"/>
      <c r="BZ75" s="132"/>
      <c r="CA75" s="132"/>
      <c r="CB75" s="132"/>
      <c r="CC75" s="132"/>
      <c r="CD75" s="132"/>
      <c r="CE75" s="132"/>
      <c r="CF75" s="132"/>
      <c r="CG75" s="132"/>
      <c r="CH75" s="132"/>
      <c r="CI75" s="132"/>
      <c r="CJ75" s="132"/>
      <c r="CK75" s="132"/>
      <c r="CL75" s="132"/>
      <c r="CM75" s="132"/>
      <c r="CN75" s="132"/>
      <c r="CO75" s="132"/>
      <c r="CP75" s="132"/>
      <c r="CQ75" s="132"/>
      <c r="CR75" s="132"/>
      <c r="CS75" s="132"/>
      <c r="CT75" s="132"/>
      <c r="CU75" s="132"/>
      <c r="CV75" s="132"/>
      <c r="CW75" s="132"/>
      <c r="CX75" s="132"/>
    </row>
    <row r="76" spans="1:102" s="135" customFormat="1" ht="13">
      <c r="A76" s="844"/>
      <c r="B76" s="120"/>
      <c r="C76" s="117"/>
      <c r="D76" s="121"/>
      <c r="E76" s="122"/>
      <c r="F76" s="125"/>
      <c r="G76" s="125"/>
      <c r="H76" s="125"/>
      <c r="I76" s="126"/>
      <c r="J76" s="127"/>
      <c r="K76" s="127"/>
      <c r="L76" s="128">
        <f t="shared" si="12"/>
        <v>0</v>
      </c>
      <c r="M76" s="129"/>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row>
    <row r="77" spans="1:102" s="135" customFormat="1" ht="13.5" thickBot="1">
      <c r="A77" s="845"/>
      <c r="B77" s="120"/>
      <c r="C77" s="117"/>
      <c r="D77" s="136"/>
      <c r="E77" s="137"/>
      <c r="F77" s="138"/>
      <c r="G77" s="138"/>
      <c r="H77" s="138"/>
      <c r="I77" s="139"/>
      <c r="J77" s="140"/>
      <c r="K77" s="140"/>
      <c r="L77" s="141">
        <f t="shared" si="12"/>
        <v>0</v>
      </c>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c r="CL77" s="132"/>
      <c r="CM77" s="132"/>
      <c r="CN77" s="132"/>
      <c r="CO77" s="132"/>
      <c r="CP77" s="132"/>
      <c r="CQ77" s="132"/>
      <c r="CR77" s="132"/>
      <c r="CS77" s="132"/>
      <c r="CT77" s="132"/>
      <c r="CU77" s="132"/>
      <c r="CV77" s="132"/>
      <c r="CW77" s="132"/>
      <c r="CX77" s="132"/>
    </row>
    <row r="78" spans="1:102" ht="13.5" thickBot="1">
      <c r="A78" s="55"/>
      <c r="B78" s="1"/>
      <c r="C78" s="47" t="s">
        <v>1</v>
      </c>
      <c r="D78" s="142">
        <f>SUM(D64:D77)</f>
        <v>9.210648148148147E-2</v>
      </c>
      <c r="E78" s="47"/>
      <c r="F78" s="47"/>
      <c r="G78" s="47"/>
      <c r="H78" s="47"/>
      <c r="I78" s="47"/>
      <c r="J78" s="47"/>
      <c r="K78" s="47"/>
      <c r="L78" s="143"/>
    </row>
    <row r="79" spans="1:102" ht="13.5" thickBot="1">
      <c r="A79" s="55"/>
      <c r="B79" s="47"/>
      <c r="C79" s="47"/>
      <c r="D79" s="144" t="s">
        <v>109</v>
      </c>
      <c r="E79" s="145">
        <f>SUM(E64:E77)</f>
        <v>5.6160084953703713</v>
      </c>
      <c r="F79" s="146">
        <f>E79/Exchange</f>
        <v>0.8844107866724995</v>
      </c>
      <c r="G79" s="47"/>
      <c r="H79" s="47"/>
      <c r="I79" s="47"/>
      <c r="J79" s="144" t="s">
        <v>110</v>
      </c>
      <c r="K79" s="147">
        <f>L79/Exchange</f>
        <v>2.2626831182560516</v>
      </c>
      <c r="L79" s="148">
        <f>SUM(L64:L77)</f>
        <v>14.368037800925928</v>
      </c>
      <c r="M79" s="147">
        <f>K79+F79</f>
        <v>3.1470939049285511</v>
      </c>
      <c r="N79" s="147">
        <f>M79*1.2</f>
        <v>3.7765126859142613</v>
      </c>
    </row>
    <row r="80" spans="1:102" ht="13">
      <c r="A80" s="55"/>
      <c r="B80" s="47"/>
      <c r="C80" s="47"/>
      <c r="D80" s="68"/>
      <c r="E80" s="149"/>
      <c r="F80" s="150"/>
      <c r="G80" s="47"/>
      <c r="H80" s="47"/>
      <c r="I80" s="47"/>
      <c r="J80" s="68"/>
      <c r="K80" s="150"/>
      <c r="L80" s="151"/>
    </row>
    <row r="81" spans="1:16" ht="15" customHeight="1" thickBot="1">
      <c r="A81" s="55"/>
      <c r="D81" s="47"/>
      <c r="E81" s="47"/>
      <c r="F81" s="47"/>
      <c r="G81" s="47"/>
      <c r="H81" s="47"/>
      <c r="I81" s="47"/>
      <c r="J81" s="47"/>
      <c r="K81" s="47"/>
      <c r="L81" s="152"/>
    </row>
    <row r="82" spans="1:16" ht="13.5" thickBot="1">
      <c r="A82" s="55"/>
      <c r="D82" s="47"/>
      <c r="E82" s="47"/>
      <c r="F82" s="47"/>
      <c r="G82" s="47"/>
      <c r="H82" s="47"/>
      <c r="I82" s="47"/>
      <c r="J82" s="113" t="s">
        <v>111</v>
      </c>
      <c r="K82" s="47"/>
      <c r="L82" s="113" t="s">
        <v>112</v>
      </c>
    </row>
    <row r="83" spans="1:16" ht="13.5" thickBot="1">
      <c r="A83" s="55"/>
      <c r="C83" s="47"/>
      <c r="D83" s="47"/>
      <c r="E83" s="47"/>
      <c r="G83" s="592" t="s">
        <v>113</v>
      </c>
      <c r="H83" s="593"/>
      <c r="I83" s="594">
        <f t="shared" ref="I83:I87" si="13">J83/Exchange</f>
        <v>43.16210287492855</v>
      </c>
      <c r="J83" s="154">
        <f>G39+G57++E79+L79</f>
        <v>274.07935325579626</v>
      </c>
      <c r="K83" s="155"/>
      <c r="L83" s="156">
        <f>G39+E79+L79</f>
        <v>274.07935325579626</v>
      </c>
      <c r="M83" s="157">
        <f t="shared" ref="M83:M88" si="14">L83/Exchange</f>
        <v>43.16210287492855</v>
      </c>
    </row>
    <row r="84" spans="1:16" ht="13.5" thickBot="1">
      <c r="A84" s="55"/>
      <c r="B84" s="158" t="s">
        <v>114</v>
      </c>
      <c r="C84" s="159"/>
      <c r="D84" s="160">
        <f>'P035 0131version'!N20</f>
        <v>0.01</v>
      </c>
      <c r="E84" s="161"/>
      <c r="G84" s="68" t="s">
        <v>115</v>
      </c>
      <c r="I84" s="153">
        <f t="shared" si="13"/>
        <v>0.43162102874928548</v>
      </c>
      <c r="J84" s="162">
        <f>J83*D84</f>
        <v>2.7407935325579627</v>
      </c>
      <c r="K84" s="155"/>
      <c r="L84" s="162">
        <f>L83*D84</f>
        <v>2.7407935325579627</v>
      </c>
      <c r="M84" s="157">
        <f t="shared" si="14"/>
        <v>0.43162102874928548</v>
      </c>
      <c r="N84" t="s">
        <v>94</v>
      </c>
      <c r="O84" s="163">
        <f>(O85-N85)/O85</f>
        <v>-2.31889807377559</v>
      </c>
      <c r="P84" s="163">
        <v>0.25</v>
      </c>
    </row>
    <row r="85" spans="1:16" ht="13.5" thickBot="1">
      <c r="A85" s="55"/>
      <c r="B85" s="104"/>
      <c r="C85" s="47"/>
      <c r="D85" s="27">
        <f>I83*0.091</f>
        <v>3.927751361618498</v>
      </c>
      <c r="E85" s="164"/>
      <c r="G85" s="68" t="s">
        <v>116</v>
      </c>
      <c r="I85" s="607">
        <f t="shared" si="13"/>
        <v>43.593723903677834</v>
      </c>
      <c r="J85" s="165">
        <f>J83+J84</f>
        <v>276.82014678835424</v>
      </c>
      <c r="K85" s="155"/>
      <c r="L85" s="165">
        <f>L83+L84</f>
        <v>276.82014678835424</v>
      </c>
      <c r="M85" s="157">
        <f t="shared" si="14"/>
        <v>43.593723903677834</v>
      </c>
      <c r="N85" s="157">
        <f>M85+H41</f>
        <v>44.771935015232714</v>
      </c>
      <c r="O85" s="157">
        <v>13.49</v>
      </c>
      <c r="P85" s="157">
        <f>N85/0.75</f>
        <v>59.695913353643618</v>
      </c>
    </row>
    <row r="86" spans="1:16" ht="13">
      <c r="A86" s="55"/>
      <c r="B86" s="166" t="s">
        <v>117</v>
      </c>
      <c r="C86" s="167"/>
      <c r="D86" s="168">
        <f>I83*0.091</f>
        <v>3.927751361618498</v>
      </c>
      <c r="E86" s="169">
        <v>11</v>
      </c>
      <c r="G86" s="68" t="s">
        <v>118</v>
      </c>
      <c r="I86" s="153">
        <f>D86</f>
        <v>3.927751361618498</v>
      </c>
      <c r="J86" s="162">
        <f>I86*6.35</f>
        <v>24.94122114627746</v>
      </c>
      <c r="K86" s="155"/>
      <c r="L86" s="162">
        <f>M86*6.35</f>
        <v>24.94122114627746</v>
      </c>
      <c r="M86" s="157">
        <f>D86</f>
        <v>3.927751361618498</v>
      </c>
    </row>
    <row r="87" spans="1:16" ht="13">
      <c r="A87" s="55"/>
      <c r="B87" s="115" t="s">
        <v>119</v>
      </c>
      <c r="C87" s="47"/>
      <c r="D87" s="170">
        <v>0.3</v>
      </c>
      <c r="E87" s="143"/>
      <c r="G87" s="68" t="s">
        <v>119</v>
      </c>
      <c r="I87" s="153">
        <f t="shared" si="13"/>
        <v>14.256442579588901</v>
      </c>
      <c r="J87" s="162">
        <f>(J85+J86)*D87</f>
        <v>90.528410380389516</v>
      </c>
      <c r="K87" s="155"/>
      <c r="L87" s="162">
        <f>(L85+L86)*D87</f>
        <v>90.528410380389516</v>
      </c>
      <c r="M87" s="157">
        <f t="shared" si="14"/>
        <v>14.256442579588901</v>
      </c>
    </row>
    <row r="88" spans="1:16" ht="13">
      <c r="A88" s="55"/>
      <c r="B88" s="115" t="s">
        <v>120</v>
      </c>
      <c r="C88" s="47"/>
      <c r="D88" s="171">
        <f>IF(G43/(G55+G43)&lt;20%,L87/L91-D91,J87/L91-D91)</f>
        <v>0.2264504316879625</v>
      </c>
      <c r="E88" s="172"/>
      <c r="G88" s="68" t="s">
        <v>121</v>
      </c>
      <c r="I88" s="153">
        <f>J88/Exchange</f>
        <v>62.956128956440118</v>
      </c>
      <c r="J88" s="162">
        <f>J85+J86+J87+G41</f>
        <v>399.77141887339474</v>
      </c>
      <c r="K88" s="173"/>
      <c r="L88" s="162">
        <f>L85+L86+L87+G41*1.05+G57</f>
        <v>400.14550090131343</v>
      </c>
      <c r="M88" s="157">
        <f t="shared" si="14"/>
        <v>63.015039512017864</v>
      </c>
    </row>
    <row r="89" spans="1:16" ht="13.5" thickBot="1">
      <c r="A89" s="55"/>
      <c r="B89" s="174" t="s">
        <v>122</v>
      </c>
      <c r="C89" s="110"/>
      <c r="D89" s="175">
        <f>IF(G43/(G55+G43)&lt;20%,L87/(L91-G57)-D91,J87/L91-D91)</f>
        <v>0.2264504316879625</v>
      </c>
      <c r="E89" s="176"/>
      <c r="G89" s="68"/>
      <c r="J89" s="177"/>
      <c r="K89" s="47"/>
      <c r="L89" s="178"/>
    </row>
    <row r="90" spans="1:16" ht="13.5" thickBot="1">
      <c r="A90" s="55"/>
      <c r="E90" s="47"/>
      <c r="I90" s="47"/>
      <c r="J90" s="179" t="s">
        <v>123</v>
      </c>
      <c r="K90" s="180"/>
      <c r="L90" s="181" t="s">
        <v>124</v>
      </c>
      <c r="M90" s="182" t="s">
        <v>20</v>
      </c>
      <c r="P90" s="183"/>
    </row>
    <row r="91" spans="1:16" ht="13.5" thickBot="1">
      <c r="A91" s="55"/>
      <c r="B91" s="184" t="s">
        <v>125</v>
      </c>
      <c r="C91" s="185"/>
      <c r="D91" s="186">
        <v>0</v>
      </c>
      <c r="I91" s="911" t="s">
        <v>126</v>
      </c>
      <c r="J91" s="187" t="s">
        <v>127</v>
      </c>
      <c r="K91" s="188"/>
      <c r="L91" s="189">
        <f>IF(G43/(G55+G43)&lt;20%,L88,J88)</f>
        <v>399.77141887339474</v>
      </c>
      <c r="M91" s="190">
        <f>L91/Exchange</f>
        <v>62.956128956440118</v>
      </c>
    </row>
    <row r="92" spans="1:16" ht="13">
      <c r="A92" s="55"/>
      <c r="B92" s="47"/>
      <c r="C92" s="47"/>
      <c r="D92" s="47"/>
      <c r="E92" s="47"/>
      <c r="F92" s="47"/>
      <c r="H92" s="47"/>
      <c r="I92" s="912"/>
      <c r="J92" s="191" t="s">
        <v>128</v>
      </c>
      <c r="K92" s="188"/>
      <c r="L92" s="192">
        <v>0</v>
      </c>
      <c r="M92" s="190">
        <f>L92/Exchange</f>
        <v>0</v>
      </c>
    </row>
    <row r="93" spans="1:16" ht="13.5" thickBot="1">
      <c r="A93" s="55"/>
      <c r="B93" s="47"/>
      <c r="C93" s="47"/>
      <c r="D93" s="47"/>
      <c r="E93" s="47"/>
      <c r="F93" s="47"/>
      <c r="H93" s="47"/>
      <c r="I93" s="912"/>
      <c r="J93" s="193" t="s">
        <v>129</v>
      </c>
      <c r="K93" s="188"/>
      <c r="L93" s="194">
        <f>'[4]tooling cost analysis'!K22</f>
        <v>3.3</v>
      </c>
      <c r="M93" s="190">
        <f>L93/Exchange</f>
        <v>0.51968503937007871</v>
      </c>
    </row>
    <row r="94" spans="1:16" ht="13.5" thickBot="1">
      <c r="A94" s="55"/>
      <c r="B94" s="195" t="s">
        <v>130</v>
      </c>
      <c r="C94" s="196" t="s">
        <v>131</v>
      </c>
      <c r="D94" s="115"/>
      <c r="E94" s="47"/>
      <c r="F94" s="47"/>
      <c r="H94" s="47"/>
      <c r="I94" s="913"/>
      <c r="J94" s="197" t="s">
        <v>132</v>
      </c>
      <c r="K94" s="198"/>
      <c r="L94" s="199">
        <f>L91+L92+L93</f>
        <v>403.07141887339475</v>
      </c>
      <c r="M94" s="190">
        <f>L94/Exchange</f>
        <v>63.475813995810199</v>
      </c>
    </row>
    <row r="95" spans="1:16" ht="13.5" thickBot="1">
      <c r="A95" s="55"/>
      <c r="B95" s="200" t="s">
        <v>133</v>
      </c>
      <c r="C95" s="201">
        <f>IF(G43/(G43+G55)&lt;20%,(L86+L87)/(L91-G57),(J86+J87)/L91)</f>
        <v>0.28883913675488526</v>
      </c>
      <c r="D95" s="202"/>
      <c r="J95" s="914" t="s">
        <v>134</v>
      </c>
      <c r="K95" s="915"/>
      <c r="L95" s="203" t="s">
        <v>20</v>
      </c>
      <c r="M95" s="204"/>
    </row>
    <row r="96" spans="1:16" ht="13">
      <c r="A96" s="55"/>
      <c r="B96" s="200" t="s">
        <v>135</v>
      </c>
      <c r="C96" s="201">
        <v>0.4</v>
      </c>
      <c r="D96" s="104"/>
      <c r="I96" s="911" t="s">
        <v>126</v>
      </c>
      <c r="J96" s="205" t="s">
        <v>136</v>
      </c>
      <c r="K96" s="206"/>
      <c r="L96" s="207">
        <v>0</v>
      </c>
      <c r="M96" s="208"/>
    </row>
    <row r="97" spans="1:13" ht="13">
      <c r="A97" s="55"/>
      <c r="B97" s="916" t="s">
        <v>137</v>
      </c>
      <c r="C97" s="918" t="str">
        <f>IF(C95&lt;C96, "YES", "NO")</f>
        <v>YES</v>
      </c>
      <c r="I97" s="912"/>
      <c r="J97" s="187" t="s">
        <v>138</v>
      </c>
      <c r="K97" s="206"/>
      <c r="L97" s="207">
        <v>0</v>
      </c>
      <c r="M97" s="208"/>
    </row>
    <row r="98" spans="1:13" ht="13.5" thickBot="1">
      <c r="A98" s="55"/>
      <c r="B98" s="916"/>
      <c r="C98" s="918"/>
      <c r="I98" s="913"/>
      <c r="J98" s="187" t="s">
        <v>139</v>
      </c>
      <c r="K98" s="206"/>
      <c r="L98" s="207">
        <v>0</v>
      </c>
      <c r="M98" s="208"/>
    </row>
    <row r="99" spans="1:13" ht="14" thickBot="1">
      <c r="A99" s="209"/>
      <c r="B99" s="917"/>
      <c r="C99" s="919"/>
      <c r="D99" s="9"/>
      <c r="E99" s="9"/>
      <c r="F99" s="9"/>
      <c r="G99" s="9"/>
      <c r="H99" s="9"/>
      <c r="I99" s="9"/>
      <c r="J99" s="920" t="s">
        <v>140</v>
      </c>
      <c r="K99" s="921"/>
      <c r="L99" s="210">
        <f>M94+L96+L97+L98</f>
        <v>63.475813995810199</v>
      </c>
      <c r="M99" s="208"/>
    </row>
    <row r="100" spans="1:13">
      <c r="K100" t="s">
        <v>141</v>
      </c>
    </row>
  </sheetData>
  <sheetProtection selectLockedCells="1" selectUnlockedCells="1"/>
  <protectedRanges>
    <protectedRange password="C8A4" sqref="G39 L83:L88 D87:D89 J83 G49:G55 G10:G37" name="Range1"/>
  </protectedRanges>
  <mergeCells count="41">
    <mergeCell ref="J95:K95"/>
    <mergeCell ref="I96:I98"/>
    <mergeCell ref="B97:B99"/>
    <mergeCell ref="C97:C99"/>
    <mergeCell ref="J99:K99"/>
    <mergeCell ref="M70:M72"/>
    <mergeCell ref="N70:N72"/>
    <mergeCell ref="A70:A73"/>
    <mergeCell ref="A64:A69"/>
    <mergeCell ref="I91:I94"/>
    <mergeCell ref="I60:L60"/>
    <mergeCell ref="D61:L61"/>
    <mergeCell ref="B62:B63"/>
    <mergeCell ref="M62:Q62"/>
    <mergeCell ref="G60:H60"/>
    <mergeCell ref="A49:A54"/>
    <mergeCell ref="C55:E55"/>
    <mergeCell ref="C56:E56"/>
    <mergeCell ref="C57:E57"/>
    <mergeCell ref="D60:F60"/>
    <mergeCell ref="A9:A37"/>
    <mergeCell ref="D39:F39"/>
    <mergeCell ref="D41:F41"/>
    <mergeCell ref="B43:F43"/>
    <mergeCell ref="A46:A48"/>
    <mergeCell ref="B46:B48"/>
    <mergeCell ref="C46:C48"/>
    <mergeCell ref="D46:D48"/>
    <mergeCell ref="E46:E48"/>
    <mergeCell ref="F46:F48"/>
    <mergeCell ref="F22:F28"/>
    <mergeCell ref="A1:A4"/>
    <mergeCell ref="B1:L1"/>
    <mergeCell ref="D3:E3"/>
    <mergeCell ref="H3:I3"/>
    <mergeCell ref="A5:A8"/>
    <mergeCell ref="B6:B8"/>
    <mergeCell ref="C6:C8"/>
    <mergeCell ref="D6:D8"/>
    <mergeCell ref="E6:E8"/>
    <mergeCell ref="F6:F8"/>
  </mergeCells>
  <phoneticPr fontId="3" type="noConversion"/>
  <conditionalFormatting sqref="C97:C99">
    <cfRule type="cellIs" dxfId="76" priority="1" stopIfTrue="1" operator="equal">
      <formula>"YES"</formula>
    </cfRule>
  </conditionalFormatting>
  <printOptions horizontalCentered="1" verticalCentered="1"/>
  <pageMargins left="0.34" right="0.5" top="0.28999999999999998" bottom="0.28999999999999998" header="0.25" footer="0.3"/>
  <pageSetup paperSize="9" scale="28" orientation="landscape" r:id="rId1"/>
  <headerFooter alignWithMargins="0">
    <oddFooter>&amp;L&amp;BSAA Confidential&amp;B&amp;C&amp;D&amp;RPage &amp;P</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F6A1F-C88B-4858-AD97-57385EDC0694}">
  <dimension ref="A1:L6"/>
  <sheetViews>
    <sheetView topLeftCell="E1" zoomScale="85" zoomScaleNormal="85" workbookViewId="0">
      <selection activeCell="I10" sqref="I10"/>
    </sheetView>
  </sheetViews>
  <sheetFormatPr defaultRowHeight="14"/>
  <cols>
    <col min="1" max="1" width="14.7265625" style="699" customWidth="1"/>
    <col min="2" max="2" width="20.54296875" style="297" customWidth="1"/>
    <col min="3" max="3" width="18.453125" style="699" customWidth="1"/>
    <col min="4" max="4" width="19.453125" style="699" customWidth="1"/>
    <col min="5" max="5" width="19.08984375" style="699" customWidth="1"/>
    <col min="6" max="6" width="21" style="699" customWidth="1"/>
    <col min="7" max="7" width="26.54296875" style="699" customWidth="1"/>
    <col min="8" max="8" width="15" style="699" customWidth="1"/>
    <col min="9" max="9" width="28.81640625" style="699" customWidth="1"/>
    <col min="10" max="10" width="22.36328125" style="699" customWidth="1"/>
    <col min="11" max="11" width="38.26953125" style="699" customWidth="1"/>
    <col min="12" max="12" width="30" style="699" customWidth="1"/>
    <col min="13" max="16384" width="8.7265625" style="699"/>
  </cols>
  <sheetData>
    <row r="1" spans="1:12" ht="28">
      <c r="A1" s="699" t="s">
        <v>1490</v>
      </c>
      <c r="B1" s="297" t="s">
        <v>1491</v>
      </c>
      <c r="C1" s="699" t="s">
        <v>1492</v>
      </c>
      <c r="D1" s="699" t="s">
        <v>1493</v>
      </c>
      <c r="E1" s="699" t="s">
        <v>1494</v>
      </c>
      <c r="F1" s="699" t="s">
        <v>1495</v>
      </c>
      <c r="G1" s="699" t="s">
        <v>1496</v>
      </c>
      <c r="H1" s="699" t="s">
        <v>1497</v>
      </c>
      <c r="I1" s="700" t="s">
        <v>1498</v>
      </c>
      <c r="J1" s="699" t="s">
        <v>1499</v>
      </c>
      <c r="K1" s="699" t="s">
        <v>231</v>
      </c>
    </row>
    <row r="2" spans="1:12" s="283" customFormat="1" ht="28" hidden="1">
      <c r="A2" s="283" t="s">
        <v>1500</v>
      </c>
      <c r="B2" s="701" t="s">
        <v>1501</v>
      </c>
      <c r="C2" s="297">
        <v>532.62599999999998</v>
      </c>
      <c r="D2" s="297">
        <v>0.1</v>
      </c>
      <c r="E2" s="297">
        <f>C2*D2</f>
        <v>53.262599999999999</v>
      </c>
      <c r="F2" s="297">
        <v>7.37</v>
      </c>
      <c r="G2" s="297">
        <f>F2*E2/1000</f>
        <v>0.39254536200000001</v>
      </c>
      <c r="H2" s="297">
        <f>G2*0.3</f>
        <v>0.1177636086</v>
      </c>
      <c r="I2" s="297">
        <f>G2+H2</f>
        <v>0.51030897060000002</v>
      </c>
      <c r="J2" s="297">
        <v>0.51</v>
      </c>
      <c r="K2" s="702" t="s">
        <v>1502</v>
      </c>
    </row>
    <row r="3" spans="1:12" ht="96.4" customHeight="1">
      <c r="A3" s="283" t="s">
        <v>1500</v>
      </c>
      <c r="B3" s="701" t="s">
        <v>1503</v>
      </c>
      <c r="C3" s="297">
        <f>(0.935+0.235)*645.2</f>
        <v>754.88400000000001</v>
      </c>
      <c r="D3" s="297">
        <v>0.2</v>
      </c>
      <c r="E3" s="297">
        <f>C3*D3</f>
        <v>150.9768</v>
      </c>
      <c r="F3" s="297">
        <v>7.37</v>
      </c>
      <c r="G3" s="297">
        <f>F3*E3/1000</f>
        <v>1.1126990160000001</v>
      </c>
      <c r="H3" s="297">
        <f>G3*0.3</f>
        <v>0.3338097048</v>
      </c>
      <c r="I3" s="297">
        <f>G3+H3</f>
        <v>1.4465087208</v>
      </c>
      <c r="J3" s="297">
        <v>1.5</v>
      </c>
      <c r="L3" s="703" t="s">
        <v>1504</v>
      </c>
    </row>
    <row r="4" spans="1:12">
      <c r="A4" s="283"/>
      <c r="B4" s="701"/>
      <c r="C4" s="297"/>
      <c r="E4" s="297"/>
      <c r="F4" s="297"/>
      <c r="G4" s="297"/>
      <c r="H4" s="297"/>
      <c r="I4" s="297"/>
    </row>
    <row r="5" spans="1:12">
      <c r="A5" s="283"/>
      <c r="B5" s="701"/>
      <c r="C5" s="297"/>
      <c r="E5" s="297"/>
      <c r="F5" s="297"/>
      <c r="G5" s="297"/>
      <c r="H5" s="297"/>
      <c r="I5" s="297"/>
    </row>
    <row r="6" spans="1:12">
      <c r="G6" s="297"/>
    </row>
  </sheetData>
  <phoneticPr fontId="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B8E79-406B-4F97-AD8B-1A0783A5FE0A}">
  <sheetPr>
    <pageSetUpPr fitToPage="1"/>
  </sheetPr>
  <dimension ref="A1:V23"/>
  <sheetViews>
    <sheetView zoomScale="50" zoomScaleNormal="50" zoomScaleSheetLayoutView="85" workbookViewId="0">
      <pane ySplit="1" topLeftCell="A4" activePane="bottomLeft" state="frozen"/>
      <selection activeCell="I14" sqref="I14"/>
      <selection pane="bottomLeft" activeCell="I15" sqref="I15"/>
    </sheetView>
  </sheetViews>
  <sheetFormatPr defaultColWidth="10.26953125" defaultRowHeight="12.5"/>
  <cols>
    <col min="1" max="1" width="14.90625" style="211" customWidth="1"/>
    <col min="2" max="2" width="43.26953125" style="211" customWidth="1"/>
    <col min="3" max="6" width="16.7265625" style="211" customWidth="1"/>
    <col min="7" max="7" width="14.7265625" style="211" customWidth="1"/>
    <col min="8" max="8" width="17.7265625" style="211" customWidth="1"/>
    <col min="9" max="9" width="26.36328125" style="211" customWidth="1"/>
    <col min="10" max="10" width="10.7265625" style="211" customWidth="1"/>
    <col min="11" max="11" width="14.90625" style="211" customWidth="1"/>
    <col min="12" max="12" width="12.90625" style="211" customWidth="1"/>
    <col min="13" max="13" width="15" style="211" customWidth="1"/>
    <col min="14" max="14" width="14" style="267" customWidth="1"/>
    <col min="15" max="15" width="17.7265625" style="211" bestFit="1" customWidth="1"/>
    <col min="16" max="16" width="13.7265625" style="211" customWidth="1"/>
    <col min="17" max="17" width="21.54296875" style="211" customWidth="1"/>
    <col min="18" max="18" width="12" style="211" customWidth="1"/>
    <col min="19" max="19" width="19.08984375" style="211" customWidth="1"/>
    <col min="20" max="20" width="17.90625" style="211" customWidth="1"/>
    <col min="21" max="21" width="20.36328125" style="211" customWidth="1"/>
    <col min="22" max="22" width="19" style="211" customWidth="1"/>
    <col min="23" max="23" width="19.1796875" style="211" customWidth="1"/>
    <col min="24" max="24" width="16.54296875" style="211" customWidth="1"/>
    <col min="25" max="16384" width="10.26953125" style="211"/>
  </cols>
  <sheetData>
    <row r="1" spans="1:22" ht="48" customHeight="1">
      <c r="A1" s="924" t="s">
        <v>142</v>
      </c>
      <c r="B1" s="925"/>
      <c r="C1" s="925"/>
      <c r="D1" s="925"/>
      <c r="E1" s="925"/>
      <c r="F1" s="925"/>
      <c r="G1" s="925"/>
      <c r="H1" s="925"/>
      <c r="I1" s="925"/>
      <c r="J1" s="925"/>
      <c r="K1" s="925"/>
      <c r="L1" s="925"/>
      <c r="M1" s="925"/>
      <c r="N1" s="925"/>
      <c r="O1" s="925"/>
      <c r="P1" s="925"/>
    </row>
    <row r="2" spans="1:22" ht="48" customHeight="1" thickBot="1">
      <c r="A2" s="926" t="s">
        <v>143</v>
      </c>
      <c r="B2" s="927"/>
      <c r="C2" s="927"/>
      <c r="D2" s="927"/>
      <c r="E2" s="927"/>
      <c r="F2" s="927"/>
      <c r="G2" s="927"/>
      <c r="H2" s="927"/>
      <c r="I2" s="927"/>
      <c r="J2" s="927"/>
      <c r="K2" s="927"/>
      <c r="L2" s="927"/>
      <c r="M2" s="927"/>
      <c r="N2" s="927"/>
      <c r="O2" s="927"/>
      <c r="P2" s="927"/>
    </row>
    <row r="3" spans="1:22" ht="82.5" customHeight="1" thickBot="1">
      <c r="A3" s="928" t="s">
        <v>144</v>
      </c>
      <c r="B3" s="929"/>
      <c r="C3" s="929"/>
      <c r="D3" s="930"/>
      <c r="E3" s="212" t="s">
        <v>145</v>
      </c>
      <c r="G3" s="213" t="s">
        <v>146</v>
      </c>
      <c r="H3" s="214" t="s">
        <v>147</v>
      </c>
      <c r="I3" s="215"/>
      <c r="J3" s="215"/>
      <c r="K3" s="215"/>
      <c r="L3" s="215"/>
      <c r="M3" s="215"/>
      <c r="N3" s="215"/>
      <c r="O3" s="215"/>
      <c r="P3" s="215"/>
    </row>
    <row r="4" spans="1:22" ht="312" customHeight="1">
      <c r="A4" s="216" t="s">
        <v>148</v>
      </c>
      <c r="B4" s="217"/>
      <c r="C4" s="217"/>
      <c r="D4" s="217"/>
      <c r="E4" s="217"/>
      <c r="F4" s="217"/>
      <c r="G4" s="217"/>
      <c r="H4" s="217" t="s">
        <v>149</v>
      </c>
      <c r="I4" s="931" t="s">
        <v>1389</v>
      </c>
      <c r="J4" s="931"/>
      <c r="K4" s="931"/>
      <c r="L4" s="217"/>
      <c r="M4" s="217"/>
      <c r="N4" s="932" t="s">
        <v>1</v>
      </c>
      <c r="O4" s="932"/>
      <c r="P4" s="932"/>
    </row>
    <row r="5" spans="1:22" ht="37.5" customHeight="1">
      <c r="A5" s="922" t="s">
        <v>151</v>
      </c>
      <c r="B5" s="923"/>
      <c r="C5" s="923"/>
      <c r="D5" s="923"/>
      <c r="E5" s="923"/>
      <c r="F5" s="923"/>
      <c r="G5" s="923"/>
      <c r="H5" s="923"/>
      <c r="I5" s="923"/>
      <c r="J5" s="923"/>
      <c r="K5" s="923"/>
      <c r="L5" s="923"/>
      <c r="M5" s="923"/>
      <c r="N5" s="923"/>
      <c r="O5" s="923"/>
      <c r="P5" s="923"/>
    </row>
    <row r="6" spans="1:22" s="218" customFormat="1" ht="27.75" customHeight="1">
      <c r="A6" s="936" t="s">
        <v>152</v>
      </c>
      <c r="B6" s="937" t="s">
        <v>153</v>
      </c>
      <c r="C6" s="579" t="s">
        <v>154</v>
      </c>
      <c r="D6" s="938" t="s">
        <v>155</v>
      </c>
      <c r="E6" s="938"/>
      <c r="F6" s="938"/>
      <c r="G6" s="938" t="s">
        <v>156</v>
      </c>
      <c r="H6" s="938"/>
      <c r="I6" s="579" t="s">
        <v>157</v>
      </c>
      <c r="J6" s="939" t="s">
        <v>158</v>
      </c>
      <c r="K6" s="940"/>
      <c r="L6" s="941"/>
      <c r="M6" s="938" t="s">
        <v>159</v>
      </c>
      <c r="N6" s="938"/>
      <c r="O6" s="580" t="s">
        <v>160</v>
      </c>
      <c r="P6" s="579" t="s">
        <v>161</v>
      </c>
    </row>
    <row r="7" spans="1:22" s="218" customFormat="1" ht="50.25" customHeight="1">
      <c r="A7" s="936"/>
      <c r="B7" s="937"/>
      <c r="C7" s="578" t="s">
        <v>162</v>
      </c>
      <c r="D7" s="578" t="s">
        <v>163</v>
      </c>
      <c r="E7" s="578" t="s">
        <v>164</v>
      </c>
      <c r="F7" s="578" t="s">
        <v>165</v>
      </c>
      <c r="G7" s="578" t="s">
        <v>166</v>
      </c>
      <c r="H7" s="578" t="s">
        <v>167</v>
      </c>
      <c r="I7" s="578" t="s">
        <v>168</v>
      </c>
      <c r="J7" s="578" t="s">
        <v>169</v>
      </c>
      <c r="K7" s="578" t="s">
        <v>170</v>
      </c>
      <c r="L7" s="578" t="s">
        <v>171</v>
      </c>
      <c r="M7" s="578" t="s">
        <v>170</v>
      </c>
      <c r="N7" s="578" t="s">
        <v>172</v>
      </c>
      <c r="O7" s="578" t="s">
        <v>170</v>
      </c>
      <c r="P7" s="578" t="s">
        <v>173</v>
      </c>
      <c r="Q7" s="219" t="s">
        <v>174</v>
      </c>
      <c r="R7" s="218">
        <v>6</v>
      </c>
      <c r="S7" s="218">
        <v>3</v>
      </c>
    </row>
    <row r="8" spans="1:22" s="233" customFormat="1" ht="27" customHeight="1">
      <c r="A8" s="220">
        <v>1</v>
      </c>
      <c r="B8" s="221" t="s">
        <v>175</v>
      </c>
      <c r="C8" s="222">
        <v>0</v>
      </c>
      <c r="D8" s="223">
        <v>3</v>
      </c>
      <c r="E8" s="224">
        <f>+D8/R7</f>
        <v>0.5</v>
      </c>
      <c r="F8" s="225">
        <f>11*3600/E8</f>
        <v>79200</v>
      </c>
      <c r="G8" s="226">
        <v>0</v>
      </c>
      <c r="H8" s="227">
        <f>1-G8</f>
        <v>1</v>
      </c>
      <c r="I8" s="220" t="s">
        <v>176</v>
      </c>
      <c r="J8" s="220">
        <v>0</v>
      </c>
      <c r="K8" s="228">
        <v>1000</v>
      </c>
      <c r="L8" s="229">
        <f>J8*K8</f>
        <v>0</v>
      </c>
      <c r="M8" s="228"/>
      <c r="N8" s="230"/>
      <c r="O8" s="231"/>
      <c r="P8" s="231"/>
      <c r="Q8" s="232"/>
    </row>
    <row r="9" spans="1:22" s="233" customFormat="1" ht="27" customHeight="1">
      <c r="A9" s="220">
        <v>2</v>
      </c>
      <c r="B9" s="221" t="s">
        <v>177</v>
      </c>
      <c r="C9" s="223">
        <v>0</v>
      </c>
      <c r="D9" s="223">
        <v>24</v>
      </c>
      <c r="E9" s="224">
        <f>D9/R7</f>
        <v>4</v>
      </c>
      <c r="F9" s="225">
        <f>11*3600/E9</f>
        <v>9900</v>
      </c>
      <c r="G9" s="226">
        <v>5.0000000000000001E-4</v>
      </c>
      <c r="H9" s="227">
        <f>1-G9</f>
        <v>0.99950000000000006</v>
      </c>
      <c r="I9" s="220" t="s">
        <v>178</v>
      </c>
      <c r="J9" s="220">
        <v>0</v>
      </c>
      <c r="K9" s="228">
        <v>0</v>
      </c>
      <c r="L9" s="234">
        <f>J9*K9</f>
        <v>0</v>
      </c>
      <c r="M9" s="228"/>
      <c r="N9" s="230"/>
      <c r="O9" s="231"/>
      <c r="P9" s="231"/>
      <c r="Q9" s="235">
        <v>4</v>
      </c>
    </row>
    <row r="10" spans="1:22" s="237" customFormat="1" ht="32.25" customHeight="1">
      <c r="A10" s="220">
        <v>3</v>
      </c>
      <c r="B10" s="236" t="s">
        <v>179</v>
      </c>
      <c r="C10" s="223">
        <v>0.5</v>
      </c>
      <c r="D10" s="223">
        <v>30</v>
      </c>
      <c r="E10" s="224">
        <f>D10/R$7</f>
        <v>5</v>
      </c>
      <c r="F10" s="225">
        <f t="shared" ref="F10:F12" si="0">11*3600/E10</f>
        <v>7920</v>
      </c>
      <c r="G10" s="226">
        <v>5.0000000000000001E-4</v>
      </c>
      <c r="H10" s="227">
        <f>1-G10</f>
        <v>0.99950000000000006</v>
      </c>
      <c r="I10" s="226" t="s">
        <v>180</v>
      </c>
      <c r="J10" s="223">
        <v>2</v>
      </c>
      <c r="K10" s="228">
        <v>1000</v>
      </c>
      <c r="L10" s="234">
        <f t="shared" ref="L10:L14" si="1">J10*K10</f>
        <v>2000</v>
      </c>
      <c r="M10" s="228"/>
      <c r="N10" s="230"/>
      <c r="O10" s="231">
        <v>2</v>
      </c>
      <c r="P10" s="231">
        <v>1</v>
      </c>
      <c r="Q10" s="232"/>
    </row>
    <row r="11" spans="1:22" s="237" customFormat="1" ht="32.25" customHeight="1">
      <c r="A11" s="220">
        <v>4</v>
      </c>
      <c r="B11" s="236" t="s">
        <v>181</v>
      </c>
      <c r="C11" s="223">
        <v>0</v>
      </c>
      <c r="D11" s="223">
        <v>30</v>
      </c>
      <c r="E11" s="224">
        <f>D11/R$7</f>
        <v>5</v>
      </c>
      <c r="F11" s="225">
        <f t="shared" si="0"/>
        <v>7920</v>
      </c>
      <c r="G11" s="226">
        <v>0</v>
      </c>
      <c r="H11" s="227">
        <f t="shared" ref="H11:H14" si="2">1-G11</f>
        <v>1</v>
      </c>
      <c r="I11" s="226" t="s">
        <v>182</v>
      </c>
      <c r="J11" s="223">
        <v>0</v>
      </c>
      <c r="K11" s="228">
        <v>0</v>
      </c>
      <c r="L11" s="234">
        <f t="shared" si="1"/>
        <v>0</v>
      </c>
      <c r="M11" s="228"/>
      <c r="N11" s="230"/>
      <c r="O11" s="231"/>
      <c r="P11" s="231"/>
      <c r="Q11" s="232"/>
    </row>
    <row r="12" spans="1:22" s="237" customFormat="1" ht="31.5" customHeight="1">
      <c r="A12" s="220">
        <v>5</v>
      </c>
      <c r="B12" s="238" t="s">
        <v>102</v>
      </c>
      <c r="C12" s="222">
        <v>3</v>
      </c>
      <c r="D12" s="223">
        <v>18</v>
      </c>
      <c r="E12" s="224">
        <f>D12/R$7</f>
        <v>3</v>
      </c>
      <c r="F12" s="225">
        <f t="shared" si="0"/>
        <v>13200</v>
      </c>
      <c r="G12" s="239">
        <v>5.0000000000000001E-4</v>
      </c>
      <c r="H12" s="227">
        <f t="shared" si="2"/>
        <v>0.99950000000000006</v>
      </c>
      <c r="I12" s="226" t="s">
        <v>183</v>
      </c>
      <c r="J12" s="223">
        <v>2</v>
      </c>
      <c r="K12" s="228">
        <v>2500</v>
      </c>
      <c r="L12" s="234">
        <f t="shared" si="1"/>
        <v>5000</v>
      </c>
      <c r="M12" s="228" t="s">
        <v>184</v>
      </c>
      <c r="N12" s="230"/>
      <c r="O12" s="231"/>
      <c r="P12" s="231"/>
      <c r="Q12" s="235">
        <v>4.62</v>
      </c>
      <c r="R12" s="233" t="s">
        <v>1</v>
      </c>
      <c r="S12" s="240" t="s">
        <v>1390</v>
      </c>
      <c r="T12" s="240" t="s">
        <v>1391</v>
      </c>
      <c r="U12" s="240" t="s">
        <v>1392</v>
      </c>
      <c r="V12" s="240" t="s">
        <v>185</v>
      </c>
    </row>
    <row r="13" spans="1:22" s="237" customFormat="1" ht="32.25" customHeight="1">
      <c r="A13" s="220">
        <v>6</v>
      </c>
      <c r="B13" s="241" t="s">
        <v>186</v>
      </c>
      <c r="C13" s="222">
        <v>0</v>
      </c>
      <c r="D13" s="223">
        <v>40</v>
      </c>
      <c r="E13" s="224">
        <f>D13/R$7/2</f>
        <v>3.3333333333333335</v>
      </c>
      <c r="F13" s="225">
        <f>11*3600/E13</f>
        <v>11880</v>
      </c>
      <c r="G13" s="239">
        <v>5.0000000000000001E-4</v>
      </c>
      <c r="H13" s="227">
        <f t="shared" si="2"/>
        <v>0.99950000000000006</v>
      </c>
      <c r="I13" s="226" t="s">
        <v>187</v>
      </c>
      <c r="J13" s="223">
        <v>0</v>
      </c>
      <c r="K13" s="228">
        <v>0</v>
      </c>
      <c r="L13" s="234">
        <f t="shared" si="1"/>
        <v>0</v>
      </c>
      <c r="M13" s="228"/>
      <c r="N13" s="230"/>
      <c r="O13" s="231"/>
      <c r="P13" s="231"/>
      <c r="Q13" s="235">
        <v>4</v>
      </c>
      <c r="R13" s="242" t="s">
        <v>188</v>
      </c>
    </row>
    <row r="14" spans="1:22" s="237" customFormat="1" ht="32.25" customHeight="1">
      <c r="A14" s="220">
        <v>7</v>
      </c>
      <c r="B14" s="243" t="s">
        <v>189</v>
      </c>
      <c r="C14" s="223">
        <v>1</v>
      </c>
      <c r="D14" s="223">
        <v>30</v>
      </c>
      <c r="E14" s="224">
        <f>D14/R$7</f>
        <v>5</v>
      </c>
      <c r="F14" s="225">
        <f t="shared" ref="F14" si="3">11*3600/E14</f>
        <v>7920</v>
      </c>
      <c r="G14" s="239">
        <v>0</v>
      </c>
      <c r="H14" s="227">
        <f t="shared" si="2"/>
        <v>1</v>
      </c>
      <c r="I14" s="226" t="s">
        <v>190</v>
      </c>
      <c r="J14" s="223">
        <v>0</v>
      </c>
      <c r="K14" s="228">
        <v>0</v>
      </c>
      <c r="L14" s="234">
        <f t="shared" si="1"/>
        <v>0</v>
      </c>
      <c r="M14" s="228"/>
      <c r="N14" s="230"/>
      <c r="O14" s="231"/>
      <c r="P14" s="231"/>
      <c r="Q14" s="232">
        <v>4</v>
      </c>
    </row>
    <row r="15" spans="1:22" s="218" customFormat="1" ht="32.25" customHeight="1">
      <c r="A15" s="244" t="s">
        <v>191</v>
      </c>
      <c r="B15" s="245"/>
      <c r="C15" s="246">
        <f>SUM(C8:C14)</f>
        <v>4.5</v>
      </c>
      <c r="D15" s="246">
        <f>SUM(D8:D14)</f>
        <v>175</v>
      </c>
      <c r="E15" s="247">
        <f>MAX(E8:E14)*SUM(C8:C14)</f>
        <v>22.5</v>
      </c>
      <c r="F15" s="248">
        <f>MIN(F8:F14)</f>
        <v>7920</v>
      </c>
      <c r="G15" s="249">
        <f>SUM(G8:G14)</f>
        <v>2E-3</v>
      </c>
      <c r="H15" s="250">
        <f>1-G15</f>
        <v>0.998</v>
      </c>
      <c r="I15" s="250"/>
      <c r="J15" s="245"/>
      <c r="K15" s="251"/>
      <c r="L15" s="251">
        <f>SUM(L8:L14)</f>
        <v>7000</v>
      </c>
      <c r="M15" s="251"/>
      <c r="N15" s="251">
        <f>SUM(N8:N14)</f>
        <v>0</v>
      </c>
      <c r="O15" s="252">
        <f>SUM(O8:O14)</f>
        <v>2</v>
      </c>
      <c r="P15" s="252">
        <f>SUM(P8:P14)</f>
        <v>1</v>
      </c>
      <c r="Q15" s="253"/>
      <c r="T15" s="254"/>
    </row>
    <row r="16" spans="1:22" s="218" customFormat="1" ht="27" customHeight="1">
      <c r="A16" s="255" t="s">
        <v>192</v>
      </c>
      <c r="B16" s="256"/>
      <c r="C16" s="257" t="s">
        <v>193</v>
      </c>
      <c r="D16" s="258"/>
      <c r="E16" s="259"/>
      <c r="F16" s="259"/>
      <c r="G16" s="260"/>
      <c r="H16" s="259"/>
      <c r="I16" s="259"/>
      <c r="J16" s="261"/>
      <c r="K16" s="262" t="s">
        <v>194</v>
      </c>
      <c r="L16" s="262">
        <v>0</v>
      </c>
      <c r="M16" s="262" t="s">
        <v>195</v>
      </c>
      <c r="N16" s="263">
        <f>IFERROR(SUM(#REF!)/MIN(#REF!),0)+IFERROR(SUM(#REF!)/MIN(#REF!),0)+IFERROR(N9/F9,0)</f>
        <v>0</v>
      </c>
      <c r="O16" s="264" t="s">
        <v>196</v>
      </c>
      <c r="P16" s="265">
        <f>O15+P15</f>
        <v>3</v>
      </c>
      <c r="T16" s="254"/>
    </row>
    <row r="17" spans="1:16" ht="81" customHeight="1">
      <c r="A17" s="933" t="s">
        <v>197</v>
      </c>
      <c r="B17" s="934"/>
      <c r="C17" s="934"/>
      <c r="D17" s="934"/>
      <c r="E17" s="934"/>
      <c r="F17" s="934"/>
      <c r="G17" s="934"/>
      <c r="H17" s="934"/>
      <c r="I17" s="934"/>
      <c r="J17" s="934"/>
      <c r="K17" s="934"/>
      <c r="L17" s="934"/>
      <c r="M17" s="934"/>
      <c r="N17" s="934"/>
      <c r="O17" s="934"/>
      <c r="P17" s="935"/>
    </row>
    <row r="23" spans="1:16" ht="15.5">
      <c r="F23" s="266"/>
    </row>
  </sheetData>
  <mergeCells count="13">
    <mergeCell ref="A17:P17"/>
    <mergeCell ref="A6:A7"/>
    <mergeCell ref="B6:B7"/>
    <mergeCell ref="D6:F6"/>
    <mergeCell ref="G6:H6"/>
    <mergeCell ref="J6:L6"/>
    <mergeCell ref="M6:N6"/>
    <mergeCell ref="A5:P5"/>
    <mergeCell ref="A1:P1"/>
    <mergeCell ref="A2:P2"/>
    <mergeCell ref="A3:D3"/>
    <mergeCell ref="I4:K4"/>
    <mergeCell ref="N4:P4"/>
  </mergeCells>
  <phoneticPr fontId="3" type="noConversion"/>
  <conditionalFormatting sqref="T15:T16">
    <cfRule type="cellIs" dxfId="75" priority="1" operator="greaterThan">
      <formula>$M$6</formula>
    </cfRule>
  </conditionalFormatting>
  <printOptions horizontalCentered="1"/>
  <pageMargins left="0" right="0" top="0.43307086614173229" bottom="0.31496062992125984" header="0.35433070866141736" footer="0.23622047244094491"/>
  <pageSetup paperSize="9" scale="4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5F6EF-E8E4-442B-A56B-837C813BD3C7}">
  <sheetPr>
    <pageSetUpPr fitToPage="1"/>
  </sheetPr>
  <dimension ref="A1:W23"/>
  <sheetViews>
    <sheetView zoomScale="40" zoomScaleNormal="40" zoomScaleSheetLayoutView="85" workbookViewId="0">
      <pane ySplit="1" topLeftCell="A5" activePane="bottomLeft" state="frozen"/>
      <selection activeCell="I14" sqref="I14"/>
      <selection pane="bottomLeft" activeCell="C15" sqref="C15"/>
    </sheetView>
  </sheetViews>
  <sheetFormatPr defaultColWidth="10.26953125" defaultRowHeight="12.5"/>
  <cols>
    <col min="1" max="1" width="14.90625" style="211" customWidth="1"/>
    <col min="2" max="2" width="39.36328125" style="211" customWidth="1"/>
    <col min="3" max="6" width="16.7265625" style="211" customWidth="1"/>
    <col min="7" max="7" width="14.7265625" style="211" customWidth="1"/>
    <col min="8" max="8" width="17.7265625" style="211" customWidth="1"/>
    <col min="9" max="9" width="26.36328125" style="211" customWidth="1"/>
    <col min="10" max="10" width="10.7265625" style="211" customWidth="1"/>
    <col min="11" max="11" width="14.90625" style="211" customWidth="1"/>
    <col min="12" max="12" width="18.36328125" style="211" customWidth="1"/>
    <col min="13" max="13" width="15" style="211" customWidth="1"/>
    <col min="14" max="14" width="14" style="267" customWidth="1"/>
    <col min="15" max="15" width="20.36328125" style="211" customWidth="1"/>
    <col min="16" max="16" width="18.36328125" style="211" customWidth="1"/>
    <col min="17" max="17" width="21.54296875" style="211" customWidth="1"/>
    <col min="18" max="18" width="20.453125" style="211" customWidth="1"/>
    <col min="19" max="19" width="20" style="211" customWidth="1"/>
    <col min="20" max="20" width="22" style="211" customWidth="1"/>
    <col min="21" max="21" width="19.36328125" style="211" bestFit="1" customWidth="1"/>
    <col min="22" max="22" width="22.7265625" style="211" customWidth="1"/>
    <col min="23" max="23" width="16" style="211" customWidth="1"/>
    <col min="24" max="16384" width="10.26953125" style="211"/>
  </cols>
  <sheetData>
    <row r="1" spans="1:23" ht="48" customHeight="1">
      <c r="A1" s="924" t="s">
        <v>142</v>
      </c>
      <c r="B1" s="925"/>
      <c r="C1" s="925"/>
      <c r="D1" s="925"/>
      <c r="E1" s="925"/>
      <c r="F1" s="925"/>
      <c r="G1" s="925"/>
      <c r="H1" s="925"/>
      <c r="I1" s="925"/>
      <c r="J1" s="925"/>
      <c r="K1" s="925"/>
      <c r="L1" s="925"/>
      <c r="M1" s="925"/>
      <c r="N1" s="925"/>
      <c r="O1" s="925"/>
      <c r="P1" s="925"/>
    </row>
    <row r="2" spans="1:23" ht="48" customHeight="1" thickBot="1">
      <c r="A2" s="926" t="s">
        <v>143</v>
      </c>
      <c r="B2" s="927"/>
      <c r="C2" s="927"/>
      <c r="D2" s="927"/>
      <c r="E2" s="927"/>
      <c r="F2" s="927"/>
      <c r="G2" s="927"/>
      <c r="H2" s="927"/>
      <c r="I2" s="927"/>
      <c r="J2" s="927"/>
      <c r="K2" s="927"/>
      <c r="L2" s="927"/>
      <c r="M2" s="927"/>
      <c r="N2" s="927"/>
      <c r="O2" s="927"/>
      <c r="P2" s="927"/>
    </row>
    <row r="3" spans="1:23" ht="82.5" customHeight="1" thickBot="1">
      <c r="A3" s="928" t="s">
        <v>198</v>
      </c>
      <c r="B3" s="929"/>
      <c r="C3" s="929"/>
      <c r="D3" s="930"/>
      <c r="E3" s="212" t="s">
        <v>145</v>
      </c>
      <c r="G3" s="213" t="s">
        <v>146</v>
      </c>
      <c r="H3" s="214" t="s">
        <v>147</v>
      </c>
      <c r="I3" s="215"/>
      <c r="J3" s="215"/>
      <c r="K3" s="215"/>
      <c r="L3" s="215"/>
      <c r="M3" s="215"/>
      <c r="N3" s="215"/>
      <c r="O3" s="215"/>
      <c r="P3" s="215"/>
    </row>
    <row r="4" spans="1:23" ht="312" customHeight="1">
      <c r="A4" s="216" t="s">
        <v>148</v>
      </c>
      <c r="B4" s="217"/>
      <c r="C4" s="217"/>
      <c r="D4" s="217"/>
      <c r="E4" s="217"/>
      <c r="F4" s="217"/>
      <c r="G4" s="217"/>
      <c r="H4" s="217"/>
      <c r="I4" s="268" t="s">
        <v>199</v>
      </c>
      <c r="J4" s="931" t="s">
        <v>150</v>
      </c>
      <c r="K4" s="931"/>
      <c r="L4" s="931"/>
      <c r="M4" s="217"/>
      <c r="N4" s="932" t="s">
        <v>1</v>
      </c>
      <c r="O4" s="932"/>
      <c r="P4" s="932"/>
    </row>
    <row r="5" spans="1:23" ht="37.5" customHeight="1">
      <c r="A5" s="922" t="s">
        <v>151</v>
      </c>
      <c r="B5" s="923"/>
      <c r="C5" s="923"/>
      <c r="D5" s="923"/>
      <c r="E5" s="923"/>
      <c r="F5" s="923"/>
      <c r="G5" s="923"/>
      <c r="H5" s="923"/>
      <c r="I5" s="923"/>
      <c r="J5" s="923"/>
      <c r="K5" s="923"/>
      <c r="L5" s="923"/>
      <c r="M5" s="923"/>
      <c r="N5" s="923"/>
      <c r="O5" s="923"/>
      <c r="P5" s="923"/>
    </row>
    <row r="6" spans="1:23" s="218" customFormat="1" ht="27.75" customHeight="1">
      <c r="A6" s="936" t="s">
        <v>152</v>
      </c>
      <c r="B6" s="937" t="s">
        <v>153</v>
      </c>
      <c r="C6" s="579" t="s">
        <v>154</v>
      </c>
      <c r="D6" s="938" t="s">
        <v>155</v>
      </c>
      <c r="E6" s="938"/>
      <c r="F6" s="938"/>
      <c r="G6" s="938" t="s">
        <v>156</v>
      </c>
      <c r="H6" s="938"/>
      <c r="I6" s="579" t="s">
        <v>157</v>
      </c>
      <c r="J6" s="939" t="s">
        <v>158</v>
      </c>
      <c r="K6" s="940"/>
      <c r="L6" s="941"/>
      <c r="M6" s="938" t="s">
        <v>159</v>
      </c>
      <c r="N6" s="938"/>
      <c r="O6" s="580" t="s">
        <v>160</v>
      </c>
      <c r="P6" s="579" t="s">
        <v>161</v>
      </c>
    </row>
    <row r="7" spans="1:23" s="218" customFormat="1" ht="50.25" customHeight="1">
      <c r="A7" s="936"/>
      <c r="B7" s="937"/>
      <c r="C7" s="578" t="s">
        <v>162</v>
      </c>
      <c r="D7" s="578" t="s">
        <v>163</v>
      </c>
      <c r="E7" s="578" t="s">
        <v>164</v>
      </c>
      <c r="F7" s="578" t="s">
        <v>165</v>
      </c>
      <c r="G7" s="578" t="s">
        <v>166</v>
      </c>
      <c r="H7" s="578" t="s">
        <v>167</v>
      </c>
      <c r="I7" s="578" t="s">
        <v>168</v>
      </c>
      <c r="J7" s="578" t="s">
        <v>169</v>
      </c>
      <c r="K7" s="578" t="s">
        <v>170</v>
      </c>
      <c r="L7" s="578" t="s">
        <v>171</v>
      </c>
      <c r="M7" s="578" t="s">
        <v>170</v>
      </c>
      <c r="N7" s="578" t="s">
        <v>172</v>
      </c>
      <c r="O7" s="578" t="s">
        <v>170</v>
      </c>
      <c r="P7" s="578" t="s">
        <v>173</v>
      </c>
      <c r="Q7" s="219" t="s">
        <v>174</v>
      </c>
      <c r="R7" s="218">
        <v>6</v>
      </c>
      <c r="S7" s="218">
        <f>+R7*3</f>
        <v>18</v>
      </c>
    </row>
    <row r="8" spans="1:23" s="233" customFormat="1" ht="27" customHeight="1">
      <c r="A8" s="220">
        <v>1</v>
      </c>
      <c r="B8" s="221" t="s">
        <v>200</v>
      </c>
      <c r="C8" s="223">
        <v>0</v>
      </c>
      <c r="D8" s="223">
        <v>3</v>
      </c>
      <c r="E8" s="224">
        <f>D8/R7</f>
        <v>0.5</v>
      </c>
      <c r="F8" s="225">
        <f t="shared" ref="F8" si="0">11*3600/E8</f>
        <v>79200</v>
      </c>
      <c r="G8" s="226">
        <v>0</v>
      </c>
      <c r="H8" s="227">
        <f>1-G8</f>
        <v>1</v>
      </c>
      <c r="I8" s="220" t="s">
        <v>176</v>
      </c>
      <c r="J8" s="220">
        <v>0</v>
      </c>
      <c r="K8" s="228">
        <v>1000</v>
      </c>
      <c r="L8" s="229">
        <f t="shared" ref="L8" si="1">J8*K8</f>
        <v>0</v>
      </c>
      <c r="M8" s="228"/>
      <c r="N8" s="229"/>
      <c r="O8" s="220"/>
      <c r="P8" s="220"/>
      <c r="Q8" s="232"/>
    </row>
    <row r="9" spans="1:23" s="233" customFormat="1" ht="27" customHeight="1">
      <c r="A9" s="220">
        <v>2</v>
      </c>
      <c r="B9" s="221" t="s">
        <v>177</v>
      </c>
      <c r="C9" s="223">
        <v>0</v>
      </c>
      <c r="D9" s="223">
        <v>24</v>
      </c>
      <c r="E9" s="224">
        <f>D9/R7</f>
        <v>4</v>
      </c>
      <c r="F9" s="225">
        <f>11*3600/E9</f>
        <v>9900</v>
      </c>
      <c r="G9" s="226">
        <v>5.0000000000000001E-4</v>
      </c>
      <c r="H9" s="227">
        <f>1-G9</f>
        <v>0.99950000000000006</v>
      </c>
      <c r="I9" s="220" t="s">
        <v>178</v>
      </c>
      <c r="J9" s="220">
        <v>0</v>
      </c>
      <c r="K9" s="228">
        <v>0</v>
      </c>
      <c r="L9" s="234">
        <f>J9*K9</f>
        <v>0</v>
      </c>
      <c r="M9" s="228"/>
      <c r="N9" s="229"/>
      <c r="O9" s="220"/>
      <c r="P9" s="220"/>
      <c r="Q9" s="232" t="s">
        <v>201</v>
      </c>
    </row>
    <row r="10" spans="1:23" s="237" customFormat="1" ht="32.25" customHeight="1">
      <c r="A10" s="220">
        <v>3</v>
      </c>
      <c r="B10" s="236" t="s">
        <v>202</v>
      </c>
      <c r="C10" s="223">
        <v>0.5</v>
      </c>
      <c r="D10" s="223">
        <v>30</v>
      </c>
      <c r="E10" s="224">
        <f t="shared" ref="E10:E11" si="2">D10/R$7</f>
        <v>5</v>
      </c>
      <c r="F10" s="225">
        <f t="shared" ref="F10:F13" si="3">11*3600/E10</f>
        <v>7920</v>
      </c>
      <c r="G10" s="226">
        <v>5.0000000000000001E-4</v>
      </c>
      <c r="H10" s="227">
        <f>1-G10</f>
        <v>0.99950000000000006</v>
      </c>
      <c r="I10" s="226" t="s">
        <v>180</v>
      </c>
      <c r="J10" s="223">
        <v>1</v>
      </c>
      <c r="K10" s="228">
        <v>1000</v>
      </c>
      <c r="L10" s="234">
        <f t="shared" ref="L10:L13" si="4">J10*K10</f>
        <v>1000</v>
      </c>
      <c r="M10" s="228" t="s">
        <v>1</v>
      </c>
      <c r="N10" s="229"/>
      <c r="O10" s="231">
        <v>2</v>
      </c>
      <c r="P10" s="231"/>
      <c r="Q10" s="232"/>
    </row>
    <row r="11" spans="1:23" s="237" customFormat="1" ht="32.25" customHeight="1">
      <c r="A11" s="220">
        <v>5</v>
      </c>
      <c r="B11" s="236" t="s">
        <v>203</v>
      </c>
      <c r="C11" s="223">
        <v>0</v>
      </c>
      <c r="D11" s="223">
        <v>30</v>
      </c>
      <c r="E11" s="224">
        <f t="shared" si="2"/>
        <v>5</v>
      </c>
      <c r="F11" s="225">
        <f t="shared" si="3"/>
        <v>7920</v>
      </c>
      <c r="G11" s="226">
        <v>0</v>
      </c>
      <c r="H11" s="227">
        <f t="shared" ref="H11:H13" si="5">1-G11</f>
        <v>1</v>
      </c>
      <c r="I11" s="226" t="s">
        <v>182</v>
      </c>
      <c r="J11" s="223">
        <v>0</v>
      </c>
      <c r="K11" s="228">
        <v>0</v>
      </c>
      <c r="L11" s="234">
        <f t="shared" si="4"/>
        <v>0</v>
      </c>
      <c r="M11" s="228"/>
      <c r="N11" s="229"/>
      <c r="O11" s="231"/>
      <c r="P11" s="231"/>
      <c r="Q11" s="232"/>
    </row>
    <row r="12" spans="1:23" s="237" customFormat="1" ht="31.5" customHeight="1">
      <c r="A12" s="220">
        <v>6</v>
      </c>
      <c r="B12" s="236" t="s">
        <v>204</v>
      </c>
      <c r="C12" s="223">
        <v>3</v>
      </c>
      <c r="D12" s="223">
        <v>61</v>
      </c>
      <c r="E12" s="224">
        <f>+D12/R7</f>
        <v>10.166666666666666</v>
      </c>
      <c r="F12" s="225">
        <f t="shared" si="3"/>
        <v>3895.0819672131151</v>
      </c>
      <c r="G12" s="239">
        <v>5.0000000000000001E-4</v>
      </c>
      <c r="H12" s="227">
        <f t="shared" si="5"/>
        <v>0.99950000000000006</v>
      </c>
      <c r="I12" s="226" t="s">
        <v>205</v>
      </c>
      <c r="J12" s="223">
        <v>8</v>
      </c>
      <c r="K12" s="228">
        <v>2500</v>
      </c>
      <c r="L12" s="234">
        <f t="shared" si="4"/>
        <v>20000</v>
      </c>
      <c r="M12" s="228" t="s">
        <v>184</v>
      </c>
      <c r="N12" s="229"/>
      <c r="O12" s="231"/>
      <c r="P12" s="231"/>
      <c r="Q12" s="235">
        <v>17.329999999999998</v>
      </c>
      <c r="R12" s="235" t="s">
        <v>1393</v>
      </c>
      <c r="S12" s="235" t="s">
        <v>1394</v>
      </c>
      <c r="T12" s="235" t="s">
        <v>1395</v>
      </c>
      <c r="U12" s="235" t="s">
        <v>1396</v>
      </c>
      <c r="W12" s="233"/>
    </row>
    <row r="13" spans="1:23" s="237" customFormat="1" ht="32.25" customHeight="1">
      <c r="A13" s="220">
        <v>7</v>
      </c>
      <c r="B13" s="236" t="s">
        <v>206</v>
      </c>
      <c r="C13" s="223">
        <v>0</v>
      </c>
      <c r="D13" s="223">
        <v>65</v>
      </c>
      <c r="E13" s="224">
        <f>D13/R$7/2</f>
        <v>5.416666666666667</v>
      </c>
      <c r="F13" s="225">
        <f t="shared" si="3"/>
        <v>7310.7692307692305</v>
      </c>
      <c r="G13" s="239">
        <v>5.0000000000000001E-4</v>
      </c>
      <c r="H13" s="227">
        <f t="shared" si="5"/>
        <v>0.99950000000000006</v>
      </c>
      <c r="I13" s="226" t="s">
        <v>207</v>
      </c>
      <c r="J13" s="223">
        <v>0</v>
      </c>
      <c r="K13" s="228">
        <v>0</v>
      </c>
      <c r="L13" s="234">
        <f t="shared" si="4"/>
        <v>0</v>
      </c>
      <c r="M13" s="228"/>
      <c r="N13" s="229"/>
      <c r="O13" s="231"/>
      <c r="P13" s="231"/>
      <c r="Q13" s="235">
        <v>6</v>
      </c>
      <c r="R13" s="269"/>
      <c r="S13" s="269"/>
      <c r="T13" s="269"/>
      <c r="U13" s="269"/>
      <c r="V13" s="269"/>
    </row>
    <row r="14" spans="1:23" s="237" customFormat="1" ht="32.25" customHeight="1">
      <c r="A14" s="220">
        <v>8</v>
      </c>
      <c r="B14" s="243" t="s">
        <v>208</v>
      </c>
      <c r="C14" s="223">
        <v>1</v>
      </c>
      <c r="D14" s="223">
        <v>30</v>
      </c>
      <c r="E14" s="224">
        <f>D14/R$7</f>
        <v>5</v>
      </c>
      <c r="F14" s="225">
        <f>11*3600/E14</f>
        <v>7920</v>
      </c>
      <c r="G14" s="239">
        <v>0</v>
      </c>
      <c r="H14" s="227">
        <f>1-G14</f>
        <v>1</v>
      </c>
      <c r="I14" s="226" t="s">
        <v>190</v>
      </c>
      <c r="J14" s="223">
        <v>0</v>
      </c>
      <c r="K14" s="228">
        <v>0</v>
      </c>
      <c r="L14" s="234">
        <f>J14*K14</f>
        <v>0</v>
      </c>
      <c r="M14" s="228"/>
      <c r="N14" s="229"/>
      <c r="O14" s="220"/>
      <c r="P14" s="220"/>
      <c r="Q14" s="232"/>
      <c r="R14" s="269"/>
      <c r="S14" s="269"/>
      <c r="T14" s="269"/>
      <c r="U14" s="269"/>
      <c r="V14" s="269"/>
    </row>
    <row r="15" spans="1:23" s="218" customFormat="1" ht="32.25" customHeight="1">
      <c r="A15" s="244" t="s">
        <v>191</v>
      </c>
      <c r="B15" s="245"/>
      <c r="C15" s="246">
        <f>SUM(C8:C14)</f>
        <v>4.5</v>
      </c>
      <c r="D15" s="246">
        <f>SUM(D8:D14)</f>
        <v>243</v>
      </c>
      <c r="E15" s="247">
        <f>MAX(E8:E14)*SUM(C8:C14)</f>
        <v>45.75</v>
      </c>
      <c r="F15" s="248">
        <f>MIN(F8:F14)</f>
        <v>3895.0819672131151</v>
      </c>
      <c r="G15" s="249">
        <f>SUM(G8:G14)</f>
        <v>2E-3</v>
      </c>
      <c r="H15" s="250">
        <f>1-G15</f>
        <v>0.998</v>
      </c>
      <c r="I15" s="250"/>
      <c r="J15" s="245"/>
      <c r="K15" s="251"/>
      <c r="L15" s="251">
        <f>SUM(L8:L14)</f>
        <v>21000</v>
      </c>
      <c r="M15" s="251"/>
      <c r="N15" s="251">
        <f>SUM(N8:N14)</f>
        <v>0</v>
      </c>
      <c r="O15" s="252">
        <f>SUM(O8:O14)</f>
        <v>2</v>
      </c>
      <c r="P15" s="252">
        <f>SUM(P8:P14)</f>
        <v>0</v>
      </c>
      <c r="Q15" s="253"/>
      <c r="R15" s="269"/>
      <c r="S15" s="269"/>
      <c r="T15" s="269"/>
      <c r="U15" s="269"/>
      <c r="V15" s="269"/>
    </row>
    <row r="16" spans="1:23" s="218" customFormat="1" ht="27" customHeight="1">
      <c r="A16" s="255" t="s">
        <v>192</v>
      </c>
      <c r="B16" s="256"/>
      <c r="C16" s="257" t="s">
        <v>193</v>
      </c>
      <c r="D16" s="258"/>
      <c r="E16" s="259"/>
      <c r="F16" s="259"/>
      <c r="G16" s="260"/>
      <c r="H16" s="259"/>
      <c r="I16" s="259"/>
      <c r="J16" s="261"/>
      <c r="K16" s="262" t="s">
        <v>194</v>
      </c>
      <c r="L16" s="262">
        <v>0</v>
      </c>
      <c r="M16" s="262" t="s">
        <v>195</v>
      </c>
      <c r="N16" s="263">
        <f>IFERROR(SUM(N8:N14)/MIN(F8:F14),0)+IFERROR(SUM(#REF!)/MIN(#REF!),0)+IFERROR(#REF!/#REF!,0)</f>
        <v>0</v>
      </c>
      <c r="O16" s="264" t="s">
        <v>196</v>
      </c>
      <c r="P16" s="265">
        <f>O15+P15</f>
        <v>2</v>
      </c>
      <c r="R16" s="269"/>
      <c r="S16" s="269"/>
      <c r="T16" s="269"/>
      <c r="U16" s="269"/>
      <c r="V16" s="269"/>
    </row>
    <row r="17" spans="1:22" ht="81" customHeight="1">
      <c r="A17" s="933" t="s">
        <v>197</v>
      </c>
      <c r="B17" s="934"/>
      <c r="C17" s="934"/>
      <c r="D17" s="934"/>
      <c r="E17" s="934"/>
      <c r="F17" s="934"/>
      <c r="G17" s="934"/>
      <c r="H17" s="934"/>
      <c r="I17" s="934"/>
      <c r="J17" s="934"/>
      <c r="K17" s="934"/>
      <c r="L17" s="934"/>
      <c r="M17" s="934"/>
      <c r="N17" s="934"/>
      <c r="O17" s="934"/>
      <c r="P17" s="935"/>
      <c r="R17" s="269"/>
      <c r="S17" s="269"/>
      <c r="T17" s="269"/>
      <c r="U17" s="269"/>
      <c r="V17" s="269"/>
    </row>
    <row r="18" spans="1:22" ht="12.5" customHeight="1">
      <c r="R18" s="269"/>
      <c r="S18" s="269"/>
      <c r="T18" s="269"/>
      <c r="U18" s="269"/>
      <c r="V18" s="269"/>
    </row>
    <row r="19" spans="1:22" ht="12.5" customHeight="1">
      <c r="R19" s="269"/>
      <c r="S19" s="269"/>
      <c r="T19" s="269"/>
      <c r="U19" s="269"/>
      <c r="V19" s="269"/>
    </row>
    <row r="20" spans="1:22" ht="12.5" customHeight="1">
      <c r="R20" s="269"/>
      <c r="S20" s="269"/>
      <c r="T20" s="269"/>
      <c r="U20" s="269"/>
      <c r="V20" s="269"/>
    </row>
    <row r="23" spans="1:22" ht="15.5">
      <c r="F23" s="266"/>
    </row>
  </sheetData>
  <mergeCells count="13">
    <mergeCell ref="A17:P17"/>
    <mergeCell ref="A6:A7"/>
    <mergeCell ref="B6:B7"/>
    <mergeCell ref="D6:F6"/>
    <mergeCell ref="G6:H6"/>
    <mergeCell ref="J6:L6"/>
    <mergeCell ref="M6:N6"/>
    <mergeCell ref="A5:P5"/>
    <mergeCell ref="A1:P1"/>
    <mergeCell ref="A2:P2"/>
    <mergeCell ref="A3:D3"/>
    <mergeCell ref="J4:L4"/>
    <mergeCell ref="N4:P4"/>
  </mergeCells>
  <phoneticPr fontId="3" type="noConversion"/>
  <printOptions horizontalCentered="1"/>
  <pageMargins left="0" right="0" top="0.43307086614173229" bottom="0.31496062992125984" header="0.35433070866141736" footer="0.23622047244094491"/>
  <pageSetup paperSize="9" scale="4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C1E99-5A0C-4845-B734-893DC8747FC5}">
  <sheetPr>
    <pageSetUpPr fitToPage="1"/>
  </sheetPr>
  <dimension ref="A1:S17"/>
  <sheetViews>
    <sheetView topLeftCell="C1" zoomScale="55" zoomScaleNormal="55" zoomScaleSheetLayoutView="85" workbookViewId="0">
      <pane ySplit="1" topLeftCell="A2" activePane="bottomLeft" state="frozen"/>
      <selection activeCell="I14" sqref="I14"/>
      <selection pane="bottomLeft" activeCell="P24" sqref="P24"/>
    </sheetView>
  </sheetViews>
  <sheetFormatPr defaultColWidth="10.1796875" defaultRowHeight="12.5"/>
  <cols>
    <col min="1" max="1" width="14.90625" style="211" customWidth="1"/>
    <col min="2" max="2" width="39.36328125" style="211" customWidth="1"/>
    <col min="3" max="6" width="16.81640625" style="211" customWidth="1"/>
    <col min="7" max="7" width="14.81640625" style="211" customWidth="1"/>
    <col min="8" max="8" width="17.81640625" style="211" customWidth="1"/>
    <col min="9" max="9" width="26.36328125" style="211" customWidth="1"/>
    <col min="10" max="10" width="10.81640625" style="211" customWidth="1"/>
    <col min="11" max="11" width="14.90625" style="211" customWidth="1"/>
    <col min="12" max="12" width="18.36328125" style="211" customWidth="1"/>
    <col min="13" max="13" width="18.54296875" style="211" customWidth="1"/>
    <col min="14" max="14" width="23.81640625" style="267" customWidth="1"/>
    <col min="15" max="15" width="17.81640625" style="211" bestFit="1" customWidth="1"/>
    <col min="16" max="16" width="13.81640625" style="211" customWidth="1"/>
    <col min="17" max="17" width="21.54296875" style="211" customWidth="1"/>
    <col min="18" max="18" width="22.90625" style="211" customWidth="1"/>
    <col min="19" max="19" width="22" style="211" customWidth="1"/>
    <col min="20" max="16384" width="10.1796875" style="211"/>
  </cols>
  <sheetData>
    <row r="1" spans="1:19" ht="48" customHeight="1">
      <c r="A1" s="924" t="s">
        <v>142</v>
      </c>
      <c r="B1" s="925"/>
      <c r="C1" s="925"/>
      <c r="D1" s="925"/>
      <c r="E1" s="925"/>
      <c r="F1" s="925"/>
      <c r="G1" s="925"/>
      <c r="H1" s="925"/>
      <c r="I1" s="925"/>
      <c r="J1" s="925"/>
      <c r="K1" s="925"/>
      <c r="L1" s="925"/>
      <c r="M1" s="925"/>
      <c r="N1" s="925"/>
      <c r="O1" s="925"/>
      <c r="P1" s="925"/>
    </row>
    <row r="2" spans="1:19" ht="48" customHeight="1" thickBot="1">
      <c r="A2" s="926" t="s">
        <v>143</v>
      </c>
      <c r="B2" s="927"/>
      <c r="C2" s="927"/>
      <c r="D2" s="927"/>
      <c r="E2" s="927"/>
      <c r="F2" s="927"/>
      <c r="G2" s="927"/>
      <c r="H2" s="927"/>
      <c r="I2" s="927"/>
      <c r="J2" s="927"/>
      <c r="K2" s="927"/>
      <c r="L2" s="927"/>
      <c r="M2" s="927"/>
      <c r="N2" s="927"/>
      <c r="O2" s="927"/>
      <c r="P2" s="927"/>
    </row>
    <row r="3" spans="1:19" ht="82.5" customHeight="1" thickBot="1">
      <c r="A3" s="928" t="s">
        <v>209</v>
      </c>
      <c r="B3" s="929"/>
      <c r="C3" s="929"/>
      <c r="D3" s="930"/>
      <c r="E3" s="212" t="s">
        <v>145</v>
      </c>
      <c r="G3" s="213" t="s">
        <v>146</v>
      </c>
      <c r="H3" s="214" t="s">
        <v>147</v>
      </c>
      <c r="I3" s="215"/>
      <c r="J3" s="215"/>
      <c r="K3" s="215"/>
      <c r="L3" s="215"/>
      <c r="M3" s="215"/>
      <c r="N3" s="215"/>
      <c r="O3" s="215"/>
      <c r="P3" s="215"/>
    </row>
    <row r="4" spans="1:19" ht="312" customHeight="1">
      <c r="A4" s="216" t="s">
        <v>148</v>
      </c>
      <c r="B4" s="217"/>
      <c r="C4" s="217"/>
      <c r="D4" s="217"/>
      <c r="E4" s="217"/>
      <c r="F4" s="217"/>
      <c r="G4" s="217"/>
      <c r="H4" s="217" t="s">
        <v>149</v>
      </c>
      <c r="I4" s="931" t="s">
        <v>210</v>
      </c>
      <c r="J4" s="931"/>
      <c r="K4" s="931"/>
      <c r="L4" s="217"/>
      <c r="M4" s="217"/>
      <c r="N4" s="932" t="s">
        <v>1</v>
      </c>
      <c r="O4" s="932"/>
      <c r="P4" s="932"/>
    </row>
    <row r="5" spans="1:19" ht="37.5" customHeight="1">
      <c r="A5" s="922" t="s">
        <v>151</v>
      </c>
      <c r="B5" s="923"/>
      <c r="C5" s="923"/>
      <c r="D5" s="923"/>
      <c r="E5" s="923"/>
      <c r="F5" s="923"/>
      <c r="G5" s="923"/>
      <c r="H5" s="923"/>
      <c r="I5" s="923"/>
      <c r="J5" s="923"/>
      <c r="K5" s="923"/>
      <c r="L5" s="923"/>
      <c r="M5" s="923"/>
      <c r="N5" s="923"/>
      <c r="O5" s="923"/>
      <c r="P5" s="923"/>
    </row>
    <row r="6" spans="1:19" s="218" customFormat="1" ht="27.75" customHeight="1">
      <c r="A6" s="936" t="s">
        <v>152</v>
      </c>
      <c r="B6" s="937" t="s">
        <v>153</v>
      </c>
      <c r="C6" s="579" t="s">
        <v>154</v>
      </c>
      <c r="D6" s="938" t="s">
        <v>155</v>
      </c>
      <c r="E6" s="938"/>
      <c r="F6" s="938"/>
      <c r="G6" s="938" t="s">
        <v>156</v>
      </c>
      <c r="H6" s="938"/>
      <c r="I6" s="579" t="s">
        <v>157</v>
      </c>
      <c r="J6" s="939" t="s">
        <v>158</v>
      </c>
      <c r="K6" s="940"/>
      <c r="L6" s="941"/>
      <c r="M6" s="938" t="s">
        <v>159</v>
      </c>
      <c r="N6" s="938"/>
      <c r="O6" s="580" t="s">
        <v>160</v>
      </c>
      <c r="P6" s="579" t="s">
        <v>161</v>
      </c>
    </row>
    <row r="7" spans="1:19" s="218" customFormat="1" ht="50.25" customHeight="1">
      <c r="A7" s="936"/>
      <c r="B7" s="937"/>
      <c r="C7" s="578" t="s">
        <v>162</v>
      </c>
      <c r="D7" s="578" t="s">
        <v>163</v>
      </c>
      <c r="E7" s="578" t="s">
        <v>164</v>
      </c>
      <c r="F7" s="578" t="s">
        <v>165</v>
      </c>
      <c r="G7" s="578" t="s">
        <v>166</v>
      </c>
      <c r="H7" s="578" t="s">
        <v>167</v>
      </c>
      <c r="I7" s="578" t="s">
        <v>168</v>
      </c>
      <c r="J7" s="578" t="s">
        <v>169</v>
      </c>
      <c r="K7" s="578" t="s">
        <v>170</v>
      </c>
      <c r="L7" s="578" t="s">
        <v>171</v>
      </c>
      <c r="M7" s="578" t="s">
        <v>170</v>
      </c>
      <c r="N7" s="578" t="s">
        <v>172</v>
      </c>
      <c r="O7" s="578" t="s">
        <v>170</v>
      </c>
      <c r="P7" s="578" t="s">
        <v>173</v>
      </c>
      <c r="Q7" s="219" t="s">
        <v>174</v>
      </c>
      <c r="R7" s="218">
        <v>6</v>
      </c>
      <c r="S7" s="218">
        <f>+R7*3</f>
        <v>18</v>
      </c>
    </row>
    <row r="8" spans="1:19" s="233" customFormat="1" ht="27" customHeight="1">
      <c r="A8" s="220">
        <v>1</v>
      </c>
      <c r="B8" s="221" t="s">
        <v>211</v>
      </c>
      <c r="C8" s="223">
        <v>1</v>
      </c>
      <c r="D8" s="270">
        <v>60</v>
      </c>
      <c r="E8" s="224">
        <f>+D8/R7</f>
        <v>10</v>
      </c>
      <c r="F8" s="225">
        <f t="shared" ref="F8" si="0">11*3600/E8</f>
        <v>3960</v>
      </c>
      <c r="G8" s="226">
        <v>0</v>
      </c>
      <c r="H8" s="227">
        <f>1-G8</f>
        <v>1</v>
      </c>
      <c r="I8" s="221" t="s">
        <v>1</v>
      </c>
      <c r="J8" s="223">
        <v>1</v>
      </c>
      <c r="K8" s="271" t="s">
        <v>1</v>
      </c>
      <c r="L8" s="234" t="s">
        <v>1</v>
      </c>
      <c r="M8" s="228">
        <f>460787*7.25</f>
        <v>3340705.75</v>
      </c>
      <c r="N8" s="272">
        <f>J8*M8</f>
        <v>3340705.75</v>
      </c>
      <c r="O8" s="220"/>
      <c r="P8" s="220"/>
      <c r="Q8" s="235"/>
      <c r="R8" s="235"/>
      <c r="S8" s="235"/>
    </row>
    <row r="9" spans="1:19" s="218" customFormat="1" ht="32.25" customHeight="1">
      <c r="A9" s="244" t="s">
        <v>191</v>
      </c>
      <c r="B9" s="245"/>
      <c r="C9" s="246">
        <f>SUM(C8:C8)</f>
        <v>1</v>
      </c>
      <c r="D9" s="246">
        <f>SUM(D8:D8)</f>
        <v>60</v>
      </c>
      <c r="E9" s="247">
        <f>MAX(E8:E8)*SUM(C8:C8)</f>
        <v>10</v>
      </c>
      <c r="F9" s="248">
        <f>MIN(F8:F8)</f>
        <v>3960</v>
      </c>
      <c r="G9" s="249">
        <f>SUM(G8:G8)</f>
        <v>0</v>
      </c>
      <c r="H9" s="250">
        <f>1-G9</f>
        <v>1</v>
      </c>
      <c r="I9" s="250"/>
      <c r="J9" s="245"/>
      <c r="K9" s="251"/>
      <c r="L9" s="251">
        <f>SUM(L8:L8)</f>
        <v>0</v>
      </c>
      <c r="M9" s="251"/>
      <c r="N9" s="251">
        <f>SUM(N8:N8)</f>
        <v>3340705.75</v>
      </c>
      <c r="O9" s="252">
        <f>SUM(O8:O8)</f>
        <v>0</v>
      </c>
      <c r="P9" s="252">
        <f>SUM(P8:P8)</f>
        <v>0</v>
      </c>
    </row>
    <row r="10" spans="1:19" s="218" customFormat="1" ht="27" customHeight="1">
      <c r="A10" s="255" t="s">
        <v>192</v>
      </c>
      <c r="B10" s="256"/>
      <c r="C10" s="257" t="s">
        <v>193</v>
      </c>
      <c r="D10" s="258"/>
      <c r="E10" s="259"/>
      <c r="F10" s="259"/>
      <c r="G10" s="260"/>
      <c r="H10" s="259"/>
      <c r="I10" s="259"/>
      <c r="J10" s="261"/>
      <c r="K10" s="262" t="s">
        <v>194</v>
      </c>
      <c r="L10" s="262">
        <v>0</v>
      </c>
      <c r="M10" s="262" t="s">
        <v>195</v>
      </c>
      <c r="N10" s="263">
        <f>IFERROR(SUM(N8:N8)/MIN(F8:F8),0)+IFERROR(SUM(#REF!)/MIN(#REF!),0)+IFERROR(#REF!/#REF!,0)</f>
        <v>843.6125631313131</v>
      </c>
      <c r="O10" s="264" t="s">
        <v>196</v>
      </c>
      <c r="P10" s="265">
        <f>O9+P9</f>
        <v>0</v>
      </c>
    </row>
    <row r="11" spans="1:19" ht="81" customHeight="1">
      <c r="A11" s="933" t="s">
        <v>197</v>
      </c>
      <c r="B11" s="934"/>
      <c r="C11" s="934"/>
      <c r="D11" s="934"/>
      <c r="E11" s="934"/>
      <c r="F11" s="934"/>
      <c r="G11" s="934"/>
      <c r="H11" s="934"/>
      <c r="I11" s="934"/>
      <c r="J11" s="934"/>
      <c r="K11" s="934"/>
      <c r="L11" s="934"/>
      <c r="M11" s="934"/>
      <c r="N11" s="934"/>
      <c r="O11" s="934"/>
      <c r="P11" s="935"/>
    </row>
    <row r="17" spans="6:12" ht="15.5">
      <c r="F17" s="266"/>
      <c r="L17" s="273" t="s">
        <v>1</v>
      </c>
    </row>
  </sheetData>
  <mergeCells count="13">
    <mergeCell ref="A11:P11"/>
    <mergeCell ref="A6:A7"/>
    <mergeCell ref="B6:B7"/>
    <mergeCell ref="D6:F6"/>
    <mergeCell ref="G6:H6"/>
    <mergeCell ref="J6:L6"/>
    <mergeCell ref="M6:N6"/>
    <mergeCell ref="A5:P5"/>
    <mergeCell ref="A1:P1"/>
    <mergeCell ref="A2:P2"/>
    <mergeCell ref="A3:D3"/>
    <mergeCell ref="I4:K4"/>
    <mergeCell ref="N4:P4"/>
  </mergeCells>
  <phoneticPr fontId="3" type="noConversion"/>
  <printOptions horizontalCentered="1"/>
  <pageMargins left="0" right="0" top="0.43307086614173229" bottom="0.31496062992125984" header="0.35433070866141736" footer="0.23622047244094491"/>
  <pageSetup paperSize="9" scale="3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37010-1C78-4032-9890-C84952E1BA3B}">
  <sheetPr>
    <pageSetUpPr fitToPage="1"/>
  </sheetPr>
  <dimension ref="A1:S17"/>
  <sheetViews>
    <sheetView zoomScale="40" zoomScaleNormal="40" zoomScaleSheetLayoutView="85" workbookViewId="0">
      <pane ySplit="1" topLeftCell="A2" activePane="bottomLeft" state="frozen"/>
      <selection activeCell="I14" sqref="I14"/>
      <selection pane="bottomLeft" activeCell="M28" sqref="M28"/>
    </sheetView>
  </sheetViews>
  <sheetFormatPr defaultColWidth="10.26953125" defaultRowHeight="12.5"/>
  <cols>
    <col min="1" max="1" width="14.90625" style="211" customWidth="1"/>
    <col min="2" max="2" width="39.36328125" style="211" customWidth="1"/>
    <col min="3" max="6" width="16.7265625" style="211" customWidth="1"/>
    <col min="7" max="7" width="14.7265625" style="211" customWidth="1"/>
    <col min="8" max="8" width="17.7265625" style="211" customWidth="1"/>
    <col min="9" max="9" width="26.36328125" style="211" customWidth="1"/>
    <col min="10" max="10" width="10.7265625" style="211" customWidth="1"/>
    <col min="11" max="11" width="14.90625" style="211" customWidth="1"/>
    <col min="12" max="12" width="18.36328125" style="211" customWidth="1"/>
    <col min="13" max="13" width="18.54296875" style="211" customWidth="1"/>
    <col min="14" max="14" width="17.6328125" style="267" customWidth="1"/>
    <col min="15" max="15" width="17.7265625" style="211" bestFit="1" customWidth="1"/>
    <col min="16" max="16" width="13.7265625" style="211" customWidth="1"/>
    <col min="17" max="17" width="30.26953125" style="211" customWidth="1"/>
    <col min="18" max="18" width="27.54296875" style="211" customWidth="1"/>
    <col min="19" max="19" width="22" style="211" customWidth="1"/>
    <col min="20" max="16384" width="10.26953125" style="211"/>
  </cols>
  <sheetData>
    <row r="1" spans="1:19" ht="48" customHeight="1">
      <c r="A1" s="924" t="s">
        <v>142</v>
      </c>
      <c r="B1" s="925"/>
      <c r="C1" s="925"/>
      <c r="D1" s="925"/>
      <c r="E1" s="925"/>
      <c r="F1" s="925"/>
      <c r="G1" s="925"/>
      <c r="H1" s="925"/>
      <c r="I1" s="925"/>
      <c r="J1" s="925"/>
      <c r="K1" s="925"/>
      <c r="L1" s="925"/>
      <c r="M1" s="925"/>
      <c r="N1" s="925"/>
      <c r="O1" s="925"/>
      <c r="P1" s="925"/>
    </row>
    <row r="2" spans="1:19" ht="48" customHeight="1" thickBot="1">
      <c r="A2" s="926" t="s">
        <v>143</v>
      </c>
      <c r="B2" s="927"/>
      <c r="C2" s="927"/>
      <c r="D2" s="927"/>
      <c r="E2" s="927"/>
      <c r="F2" s="927"/>
      <c r="G2" s="927"/>
      <c r="H2" s="927"/>
      <c r="I2" s="927"/>
      <c r="J2" s="927"/>
      <c r="K2" s="927"/>
      <c r="L2" s="927"/>
      <c r="M2" s="927"/>
      <c r="N2" s="927"/>
      <c r="O2" s="927"/>
      <c r="P2" s="927"/>
    </row>
    <row r="3" spans="1:19" ht="82.5" customHeight="1" thickBot="1">
      <c r="A3" s="928" t="s">
        <v>209</v>
      </c>
      <c r="B3" s="929"/>
      <c r="C3" s="929"/>
      <c r="D3" s="930"/>
      <c r="E3" s="212" t="s">
        <v>145</v>
      </c>
      <c r="G3" s="213" t="s">
        <v>146</v>
      </c>
      <c r="H3" s="214" t="s">
        <v>147</v>
      </c>
      <c r="I3" s="215"/>
      <c r="J3" s="215"/>
      <c r="K3" s="215"/>
      <c r="L3" s="215"/>
      <c r="M3" s="215"/>
      <c r="N3" s="215"/>
      <c r="O3" s="215"/>
      <c r="P3" s="215"/>
    </row>
    <row r="4" spans="1:19" ht="312" customHeight="1">
      <c r="A4" s="216" t="s">
        <v>148</v>
      </c>
      <c r="B4" s="217"/>
      <c r="C4" s="217"/>
      <c r="D4" s="217"/>
      <c r="E4" s="217"/>
      <c r="F4" s="217"/>
      <c r="G4" s="217"/>
      <c r="H4" s="217" t="s">
        <v>149</v>
      </c>
      <c r="I4" s="931" t="s">
        <v>150</v>
      </c>
      <c r="J4" s="931"/>
      <c r="K4" s="931"/>
      <c r="L4" s="217"/>
      <c r="M4" s="217"/>
      <c r="N4" s="932" t="s">
        <v>1</v>
      </c>
      <c r="O4" s="932"/>
      <c r="P4" s="932"/>
    </row>
    <row r="5" spans="1:19" ht="37.5" customHeight="1">
      <c r="A5" s="922" t="s">
        <v>151</v>
      </c>
      <c r="B5" s="923"/>
      <c r="C5" s="923"/>
      <c r="D5" s="923"/>
      <c r="E5" s="923"/>
      <c r="F5" s="923"/>
      <c r="G5" s="923"/>
      <c r="H5" s="923"/>
      <c r="I5" s="923"/>
      <c r="J5" s="923"/>
      <c r="K5" s="923"/>
      <c r="L5" s="923"/>
      <c r="M5" s="923"/>
      <c r="N5" s="923"/>
      <c r="O5" s="923"/>
      <c r="P5" s="923"/>
    </row>
    <row r="6" spans="1:19" s="218" customFormat="1" ht="27.75" customHeight="1">
      <c r="A6" s="936" t="s">
        <v>152</v>
      </c>
      <c r="B6" s="937" t="s">
        <v>153</v>
      </c>
      <c r="C6" s="579" t="s">
        <v>154</v>
      </c>
      <c r="D6" s="938" t="s">
        <v>155</v>
      </c>
      <c r="E6" s="938"/>
      <c r="F6" s="938"/>
      <c r="G6" s="938" t="s">
        <v>156</v>
      </c>
      <c r="H6" s="938"/>
      <c r="I6" s="579" t="s">
        <v>157</v>
      </c>
      <c r="J6" s="939" t="s">
        <v>158</v>
      </c>
      <c r="K6" s="940"/>
      <c r="L6" s="941"/>
      <c r="M6" s="938" t="s">
        <v>159</v>
      </c>
      <c r="N6" s="938"/>
      <c r="O6" s="580" t="s">
        <v>160</v>
      </c>
      <c r="P6" s="579" t="s">
        <v>161</v>
      </c>
    </row>
    <row r="7" spans="1:19" s="218" customFormat="1" ht="50.25" customHeight="1">
      <c r="A7" s="936"/>
      <c r="B7" s="937"/>
      <c r="C7" s="578" t="s">
        <v>162</v>
      </c>
      <c r="D7" s="578" t="s">
        <v>163</v>
      </c>
      <c r="E7" s="578" t="s">
        <v>164</v>
      </c>
      <c r="F7" s="578" t="s">
        <v>165</v>
      </c>
      <c r="G7" s="578" t="s">
        <v>166</v>
      </c>
      <c r="H7" s="578" t="s">
        <v>167</v>
      </c>
      <c r="I7" s="578" t="s">
        <v>168</v>
      </c>
      <c r="J7" s="578" t="s">
        <v>169</v>
      </c>
      <c r="K7" s="578" t="s">
        <v>170</v>
      </c>
      <c r="L7" s="578" t="s">
        <v>171</v>
      </c>
      <c r="M7" s="578" t="s">
        <v>170</v>
      </c>
      <c r="N7" s="578" t="s">
        <v>172</v>
      </c>
      <c r="O7" s="578" t="s">
        <v>170</v>
      </c>
      <c r="P7" s="578" t="s">
        <v>173</v>
      </c>
      <c r="Q7" s="219" t="s">
        <v>174</v>
      </c>
      <c r="R7" s="218">
        <v>6</v>
      </c>
      <c r="S7" s="218">
        <f>+R7*3</f>
        <v>18</v>
      </c>
    </row>
    <row r="8" spans="1:19" s="233" customFormat="1" ht="27" customHeight="1">
      <c r="A8" s="220">
        <v>1</v>
      </c>
      <c r="B8" s="221" t="s">
        <v>212</v>
      </c>
      <c r="C8" s="223">
        <v>1</v>
      </c>
      <c r="D8" s="223">
        <v>150</v>
      </c>
      <c r="E8" s="274">
        <f>D8/R7</f>
        <v>25</v>
      </c>
      <c r="F8" s="225">
        <f t="shared" ref="F8" si="0">11*3600/E8</f>
        <v>1584</v>
      </c>
      <c r="G8" s="226">
        <v>5.0000000000000001E-4</v>
      </c>
      <c r="H8" s="227">
        <f>1-G8</f>
        <v>0.99950000000000006</v>
      </c>
      <c r="I8" s="221" t="s">
        <v>106</v>
      </c>
      <c r="J8" s="223">
        <v>1</v>
      </c>
      <c r="K8" s="271">
        <v>80000</v>
      </c>
      <c r="L8" s="234">
        <f>+K8*J8</f>
        <v>80000</v>
      </c>
      <c r="M8" s="271">
        <f>584787*7.25</f>
        <v>4239705.75</v>
      </c>
      <c r="N8" s="271">
        <f>M8*1</f>
        <v>4239705.75</v>
      </c>
      <c r="O8" s="220"/>
      <c r="P8" s="220"/>
      <c r="Q8" s="275"/>
      <c r="R8" s="276"/>
      <c r="S8" s="276"/>
    </row>
    <row r="9" spans="1:19" s="218" customFormat="1" ht="32.25" customHeight="1">
      <c r="A9" s="244" t="s">
        <v>191</v>
      </c>
      <c r="B9" s="245"/>
      <c r="C9" s="246">
        <f>SUM(C8:C8)</f>
        <v>1</v>
      </c>
      <c r="D9" s="246">
        <f>SUM(D8:D8)</f>
        <v>150</v>
      </c>
      <c r="E9" s="247">
        <f>(E8*C8)</f>
        <v>25</v>
      </c>
      <c r="F9" s="248">
        <f>MIN(F8:F8)</f>
        <v>1584</v>
      </c>
      <c r="G9" s="249">
        <f>SUM(G8:G8)</f>
        <v>5.0000000000000001E-4</v>
      </c>
      <c r="H9" s="250">
        <f>1-G9</f>
        <v>0.99950000000000006</v>
      </c>
      <c r="I9" s="250"/>
      <c r="J9" s="245"/>
      <c r="K9" s="251"/>
      <c r="L9" s="251">
        <f>SUM(L8:L8)</f>
        <v>80000</v>
      </c>
      <c r="M9" s="251"/>
      <c r="N9" s="251">
        <f>SUM(N8:N8)</f>
        <v>4239705.75</v>
      </c>
      <c r="O9" s="252">
        <f>SUM(O8:O8)</f>
        <v>0</v>
      </c>
      <c r="P9" s="252">
        <f>SUM(P8:P8)</f>
        <v>0</v>
      </c>
    </row>
    <row r="10" spans="1:19" s="218" customFormat="1" ht="27" customHeight="1">
      <c r="A10" s="255" t="s">
        <v>192</v>
      </c>
      <c r="B10" s="256"/>
      <c r="C10" s="257" t="s">
        <v>193</v>
      </c>
      <c r="D10" s="258"/>
      <c r="E10" s="259"/>
      <c r="F10" s="259"/>
      <c r="G10" s="260"/>
      <c r="H10" s="259"/>
      <c r="I10" s="259"/>
      <c r="J10" s="261"/>
      <c r="K10" s="262" t="s">
        <v>194</v>
      </c>
      <c r="L10" s="262">
        <v>0</v>
      </c>
      <c r="M10" s="262" t="s">
        <v>195</v>
      </c>
      <c r="N10" s="263">
        <f>IFERROR(SUM(N8:N8)/MIN(F8:F8),0)+IFERROR(SUM(#REF!)/MIN(#REF!),0)+IFERROR(#REF!/#REF!,0)</f>
        <v>2676.581912878788</v>
      </c>
      <c r="O10" s="264" t="s">
        <v>196</v>
      </c>
      <c r="P10" s="265">
        <f>O9+P9</f>
        <v>0</v>
      </c>
    </row>
    <row r="11" spans="1:19" ht="81" customHeight="1">
      <c r="A11" s="933" t="s">
        <v>197</v>
      </c>
      <c r="B11" s="934"/>
      <c r="C11" s="934"/>
      <c r="D11" s="934"/>
      <c r="E11" s="934"/>
      <c r="F11" s="934"/>
      <c r="G11" s="934"/>
      <c r="H11" s="934"/>
      <c r="I11" s="934"/>
      <c r="J11" s="934"/>
      <c r="K11" s="934"/>
      <c r="L11" s="934"/>
      <c r="M11" s="934"/>
      <c r="N11" s="934"/>
      <c r="O11" s="934"/>
      <c r="P11" s="935"/>
    </row>
    <row r="17" spans="6:12" ht="15.5">
      <c r="F17" s="266"/>
      <c r="L17" s="273" t="s">
        <v>1</v>
      </c>
    </row>
  </sheetData>
  <mergeCells count="13">
    <mergeCell ref="A11:P11"/>
    <mergeCell ref="A6:A7"/>
    <mergeCell ref="B6:B7"/>
    <mergeCell ref="D6:F6"/>
    <mergeCell ref="G6:H6"/>
    <mergeCell ref="J6:L6"/>
    <mergeCell ref="M6:N6"/>
    <mergeCell ref="A5:P5"/>
    <mergeCell ref="A1:P1"/>
    <mergeCell ref="A2:P2"/>
    <mergeCell ref="A3:D3"/>
    <mergeCell ref="I4:K4"/>
    <mergeCell ref="N4:P4"/>
  </mergeCells>
  <phoneticPr fontId="3" type="noConversion"/>
  <printOptions horizontalCentered="1"/>
  <pageMargins left="0" right="0" top="0.43307086614173229" bottom="0.31496062992125984" header="0.35433070866141736" footer="0.23622047244094491"/>
  <pageSetup paperSize="9" scale="3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EDE33-7F73-4E2D-B81E-AF73C6333865}">
  <sheetPr>
    <pageSetUpPr fitToPage="1"/>
  </sheetPr>
  <dimension ref="A1:S17"/>
  <sheetViews>
    <sheetView zoomScale="50" zoomScaleNormal="50" zoomScaleSheetLayoutView="85" workbookViewId="0">
      <pane ySplit="1" topLeftCell="A5" activePane="bottomLeft" state="frozen"/>
      <selection activeCell="I14" sqref="I14"/>
      <selection pane="bottomLeft" activeCell="I33" sqref="I33"/>
    </sheetView>
  </sheetViews>
  <sheetFormatPr defaultColWidth="10.26953125" defaultRowHeight="12.5"/>
  <cols>
    <col min="1" max="1" width="14.90625" style="211" customWidth="1"/>
    <col min="2" max="2" width="39.36328125" style="211" customWidth="1"/>
    <col min="3" max="6" width="16.7265625" style="211" customWidth="1"/>
    <col min="7" max="7" width="14.7265625" style="211" customWidth="1"/>
    <col min="8" max="8" width="17.7265625" style="211" customWidth="1"/>
    <col min="9" max="9" width="26.36328125" style="211" customWidth="1"/>
    <col min="10" max="12" width="16.36328125" style="211" customWidth="1"/>
    <col min="13" max="13" width="18.7265625" style="211" customWidth="1"/>
    <col min="14" max="14" width="21.08984375" style="267" customWidth="1"/>
    <col min="15" max="16" width="16.36328125" style="211" customWidth="1"/>
    <col min="17" max="17" width="30.26953125" style="211" customWidth="1"/>
    <col min="18" max="18" width="22.90625" style="211" customWidth="1"/>
    <col min="19" max="19" width="22" style="211" customWidth="1"/>
    <col min="20" max="16384" width="10.26953125" style="211"/>
  </cols>
  <sheetData>
    <row r="1" spans="1:19" ht="48" customHeight="1">
      <c r="A1" s="924" t="s">
        <v>142</v>
      </c>
      <c r="B1" s="925"/>
      <c r="C1" s="925"/>
      <c r="D1" s="925"/>
      <c r="E1" s="925"/>
      <c r="F1" s="925"/>
      <c r="G1" s="925"/>
      <c r="H1" s="925"/>
      <c r="I1" s="925"/>
      <c r="J1" s="925"/>
      <c r="K1" s="925"/>
      <c r="L1" s="925"/>
      <c r="M1" s="925"/>
      <c r="N1" s="925"/>
      <c r="O1" s="925"/>
      <c r="P1" s="925"/>
    </row>
    <row r="2" spans="1:19" ht="48" customHeight="1" thickBot="1">
      <c r="A2" s="926" t="s">
        <v>143</v>
      </c>
      <c r="B2" s="927"/>
      <c r="C2" s="927"/>
      <c r="D2" s="927"/>
      <c r="E2" s="927"/>
      <c r="F2" s="927"/>
      <c r="G2" s="927"/>
      <c r="H2" s="927"/>
      <c r="I2" s="927"/>
      <c r="J2" s="927"/>
      <c r="K2" s="927"/>
      <c r="L2" s="927"/>
      <c r="M2" s="927"/>
      <c r="N2" s="927"/>
      <c r="O2" s="927"/>
      <c r="P2" s="927"/>
    </row>
    <row r="3" spans="1:19" ht="82.5" customHeight="1" thickBot="1">
      <c r="A3" s="928" t="s">
        <v>213</v>
      </c>
      <c r="B3" s="929"/>
      <c r="C3" s="929"/>
      <c r="D3" s="930"/>
      <c r="E3" s="212" t="s">
        <v>145</v>
      </c>
      <c r="G3" s="213" t="s">
        <v>146</v>
      </c>
      <c r="H3" s="214" t="s">
        <v>147</v>
      </c>
      <c r="I3" s="215"/>
      <c r="J3" s="215"/>
      <c r="K3" s="215"/>
      <c r="L3" s="215"/>
      <c r="M3" s="215"/>
      <c r="N3" s="215"/>
      <c r="O3" s="215"/>
      <c r="P3" s="215"/>
    </row>
    <row r="4" spans="1:19" ht="312" customHeight="1">
      <c r="A4" s="216" t="s">
        <v>148</v>
      </c>
      <c r="B4" s="217"/>
      <c r="C4" s="217"/>
      <c r="D4" s="217"/>
      <c r="E4" s="217"/>
      <c r="F4" s="217"/>
      <c r="G4" s="217"/>
      <c r="H4" s="217" t="s">
        <v>149</v>
      </c>
      <c r="I4" s="931" t="s">
        <v>1389</v>
      </c>
      <c r="J4" s="931"/>
      <c r="K4" s="931"/>
      <c r="L4" s="217"/>
      <c r="M4" s="217"/>
      <c r="N4" s="932" t="s">
        <v>1</v>
      </c>
      <c r="O4" s="932"/>
      <c r="P4" s="932"/>
    </row>
    <row r="5" spans="1:19" ht="37.5" customHeight="1">
      <c r="A5" s="922" t="s">
        <v>151</v>
      </c>
      <c r="B5" s="923"/>
      <c r="C5" s="923"/>
      <c r="D5" s="923"/>
      <c r="E5" s="923"/>
      <c r="F5" s="923"/>
      <c r="G5" s="923"/>
      <c r="H5" s="923"/>
      <c r="I5" s="923"/>
      <c r="J5" s="923"/>
      <c r="K5" s="923"/>
      <c r="L5" s="923"/>
      <c r="M5" s="923"/>
      <c r="N5" s="923"/>
      <c r="O5" s="923"/>
      <c r="P5" s="923"/>
    </row>
    <row r="6" spans="1:19" s="218" customFormat="1" ht="27.75" customHeight="1">
      <c r="A6" s="936" t="s">
        <v>152</v>
      </c>
      <c r="B6" s="937" t="s">
        <v>153</v>
      </c>
      <c r="C6" s="579" t="s">
        <v>154</v>
      </c>
      <c r="D6" s="938" t="s">
        <v>155</v>
      </c>
      <c r="E6" s="938"/>
      <c r="F6" s="938"/>
      <c r="G6" s="938" t="s">
        <v>156</v>
      </c>
      <c r="H6" s="938"/>
      <c r="I6" s="579" t="s">
        <v>157</v>
      </c>
      <c r="J6" s="939" t="s">
        <v>158</v>
      </c>
      <c r="K6" s="940"/>
      <c r="L6" s="941"/>
      <c r="M6" s="938" t="s">
        <v>159</v>
      </c>
      <c r="N6" s="938"/>
      <c r="O6" s="580" t="s">
        <v>160</v>
      </c>
      <c r="P6" s="579" t="s">
        <v>161</v>
      </c>
    </row>
    <row r="7" spans="1:19" s="218" customFormat="1" ht="50.25" customHeight="1">
      <c r="A7" s="936"/>
      <c r="B7" s="937"/>
      <c r="C7" s="578" t="s">
        <v>162</v>
      </c>
      <c r="D7" s="578" t="s">
        <v>163</v>
      </c>
      <c r="E7" s="578" t="s">
        <v>164</v>
      </c>
      <c r="F7" s="578" t="s">
        <v>165</v>
      </c>
      <c r="G7" s="578" t="s">
        <v>166</v>
      </c>
      <c r="H7" s="578" t="s">
        <v>167</v>
      </c>
      <c r="I7" s="578" t="s">
        <v>168</v>
      </c>
      <c r="J7" s="578" t="s">
        <v>169</v>
      </c>
      <c r="K7" s="578" t="s">
        <v>170</v>
      </c>
      <c r="L7" s="578" t="s">
        <v>171</v>
      </c>
      <c r="M7" s="578" t="s">
        <v>170</v>
      </c>
      <c r="N7" s="578" t="s">
        <v>172</v>
      </c>
      <c r="O7" s="578" t="s">
        <v>170</v>
      </c>
      <c r="P7" s="578" t="s">
        <v>173</v>
      </c>
      <c r="Q7" s="219" t="s">
        <v>174</v>
      </c>
      <c r="R7" s="218">
        <v>6</v>
      </c>
      <c r="S7" s="218">
        <f>+R7*3</f>
        <v>18</v>
      </c>
    </row>
    <row r="8" spans="1:19" s="237" customFormat="1" ht="32.25" customHeight="1">
      <c r="A8" s="220">
        <v>1</v>
      </c>
      <c r="B8" s="236" t="s">
        <v>214</v>
      </c>
      <c r="C8" s="223">
        <v>1</v>
      </c>
      <c r="D8" s="223">
        <v>80</v>
      </c>
      <c r="E8" s="224">
        <f>D8/R7</f>
        <v>13.333333333333334</v>
      </c>
      <c r="F8" s="225">
        <f t="shared" ref="F8" si="0">11*3600/E8</f>
        <v>2970</v>
      </c>
      <c r="G8" s="226">
        <v>5.0000000000000001E-4</v>
      </c>
      <c r="H8" s="227">
        <f>1-G8</f>
        <v>0.99950000000000006</v>
      </c>
      <c r="I8" s="236" t="s">
        <v>107</v>
      </c>
      <c r="J8" s="223">
        <v>1</v>
      </c>
      <c r="K8" s="271">
        <v>3000</v>
      </c>
      <c r="L8" s="234">
        <f>3000*J8</f>
        <v>3000</v>
      </c>
      <c r="M8" s="271">
        <f>138582*7.25</f>
        <v>1004719.5</v>
      </c>
      <c r="N8" s="277">
        <f>M8*J8</f>
        <v>1004719.5</v>
      </c>
      <c r="O8" s="220" t="s">
        <v>1</v>
      </c>
      <c r="P8" s="220"/>
      <c r="Q8" s="232">
        <v>25</v>
      </c>
      <c r="R8" s="278"/>
      <c r="S8" s="279"/>
    </row>
    <row r="9" spans="1:19" s="218" customFormat="1" ht="32.25" customHeight="1">
      <c r="A9" s="244" t="s">
        <v>191</v>
      </c>
      <c r="B9" s="245"/>
      <c r="C9" s="246">
        <f>SUM(C8:C8)</f>
        <v>1</v>
      </c>
      <c r="D9" s="246">
        <f>SUM(D8:D8)</f>
        <v>80</v>
      </c>
      <c r="E9" s="247">
        <f>SUM(E8:E8)*SUM(C8:C8)</f>
        <v>13.333333333333334</v>
      </c>
      <c r="F9" s="248">
        <f>MIN(F8:F8)</f>
        <v>2970</v>
      </c>
      <c r="G9" s="249">
        <f>SUM(G8:G8)</f>
        <v>5.0000000000000001E-4</v>
      </c>
      <c r="H9" s="250">
        <f>1-G9</f>
        <v>0.99950000000000006</v>
      </c>
      <c r="I9" s="250"/>
      <c r="J9" s="245"/>
      <c r="K9" s="251"/>
      <c r="L9" s="251">
        <f>SUM(L8:L8)</f>
        <v>3000</v>
      </c>
      <c r="M9" s="251"/>
      <c r="N9" s="251">
        <f>SUM(N8:N8)</f>
        <v>1004719.5</v>
      </c>
      <c r="O9" s="252">
        <f>SUM(O8:O8)</f>
        <v>0</v>
      </c>
      <c r="P9" s="252">
        <f>SUM(P8:P8)</f>
        <v>0</v>
      </c>
    </row>
    <row r="10" spans="1:19" s="218" customFormat="1" ht="27" customHeight="1">
      <c r="A10" s="255" t="s">
        <v>192</v>
      </c>
      <c r="B10" s="256"/>
      <c r="C10" s="257" t="s">
        <v>193</v>
      </c>
      <c r="D10" s="258"/>
      <c r="E10" s="259"/>
      <c r="F10" s="259"/>
      <c r="G10" s="260"/>
      <c r="H10" s="259"/>
      <c r="I10" s="259"/>
      <c r="J10" s="261"/>
      <c r="K10" s="262" t="s">
        <v>194</v>
      </c>
      <c r="L10" s="262">
        <v>3000</v>
      </c>
      <c r="M10" s="262" t="s">
        <v>195</v>
      </c>
      <c r="N10" s="263">
        <f>IFERROR(SUM(N8:N8)/MIN(F8:F8),0)+IFERROR(SUM(#REF!)/MIN(#REF!),0)+IFERROR(#REF!/#REF!,0)</f>
        <v>338.28939393939396</v>
      </c>
      <c r="O10" s="264" t="s">
        <v>196</v>
      </c>
      <c r="P10" s="265">
        <f>O9+P9</f>
        <v>0</v>
      </c>
    </row>
    <row r="11" spans="1:19" ht="81" customHeight="1">
      <c r="A11" s="933" t="s">
        <v>197</v>
      </c>
      <c r="B11" s="934"/>
      <c r="C11" s="934"/>
      <c r="D11" s="934"/>
      <c r="E11" s="934"/>
      <c r="F11" s="934"/>
      <c r="G11" s="934"/>
      <c r="H11" s="934"/>
      <c r="I11" s="934"/>
      <c r="J11" s="934"/>
      <c r="K11" s="934"/>
      <c r="L11" s="934"/>
      <c r="M11" s="934"/>
      <c r="N11" s="934"/>
      <c r="O11" s="934"/>
      <c r="P11" s="935"/>
    </row>
    <row r="17" spans="6:12" ht="15.5">
      <c r="F17" s="266"/>
      <c r="L17" s="273" t="s">
        <v>1</v>
      </c>
    </row>
  </sheetData>
  <mergeCells count="13">
    <mergeCell ref="A11:P11"/>
    <mergeCell ref="A6:A7"/>
    <mergeCell ref="B6:B7"/>
    <mergeCell ref="D6:F6"/>
    <mergeCell ref="G6:H6"/>
    <mergeCell ref="J6:L6"/>
    <mergeCell ref="M6:N6"/>
    <mergeCell ref="A5:P5"/>
    <mergeCell ref="A1:P1"/>
    <mergeCell ref="A2:P2"/>
    <mergeCell ref="A3:D3"/>
    <mergeCell ref="I4:K4"/>
    <mergeCell ref="N4:P4"/>
  </mergeCells>
  <phoneticPr fontId="3" type="noConversion"/>
  <printOptions horizontalCentered="1"/>
  <pageMargins left="0" right="0" top="0.43307086614173229" bottom="0.31496062992125984" header="0.35433070866141736" footer="0.23622047244094491"/>
  <pageSetup paperSize="9" scale="3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22</vt:i4>
      </vt:variant>
      <vt:variant>
        <vt:lpstr>命名范围</vt:lpstr>
      </vt:variant>
      <vt:variant>
        <vt:i4>8</vt:i4>
      </vt:variant>
    </vt:vector>
  </HeadingPairs>
  <TitlesOfParts>
    <vt:vector size="30" baseType="lpstr">
      <vt:lpstr>Revision&amp;Assumption</vt:lpstr>
      <vt:lpstr>IDL MX 2 shifts1</vt:lpstr>
      <vt:lpstr>Main sheet_SMT and Assembly</vt:lpstr>
      <vt:lpstr>Solder paste</vt:lpstr>
      <vt:lpstr>P035 RFQ_ (B面) </vt:lpstr>
      <vt:lpstr>P035  RFQ（T面）</vt:lpstr>
      <vt:lpstr>P035 RFQ AXI</vt:lpstr>
      <vt:lpstr>P035  RFQ（ICT）</vt:lpstr>
      <vt:lpstr>P035  RFQ（Depanel) </vt:lpstr>
      <vt:lpstr>P035  RFQ（FVT)</vt:lpstr>
      <vt:lpstr>P035 Mar.4th  2026 EEBOM</vt:lpstr>
      <vt:lpstr>EEBOM Feb.2nd2026</vt:lpstr>
      <vt:lpstr>EEBOM 512 </vt:lpstr>
      <vt:lpstr>P035 Mar.4th  2026 EEBOM format</vt:lpstr>
      <vt:lpstr>Process Concept Jan31version</vt:lpstr>
      <vt:lpstr>Process Concept Oct09version</vt:lpstr>
      <vt:lpstr>tooling cost analysis</vt:lpstr>
      <vt:lpstr>P035 0131version</vt:lpstr>
      <vt:lpstr>P035 0903 version</vt:lpstr>
      <vt:lpstr>Packing</vt:lpstr>
      <vt:lpstr>Exchange Rate</vt:lpstr>
      <vt:lpstr>TLA Investment  </vt:lpstr>
      <vt:lpstr>Exchange</vt:lpstr>
      <vt:lpstr>'P035  RFQ（Depanel) '!Print_Area</vt:lpstr>
      <vt:lpstr>'P035  RFQ（FVT)'!Print_Area</vt:lpstr>
      <vt:lpstr>'P035  RFQ（ICT）'!Print_Area</vt:lpstr>
      <vt:lpstr>'P035  RFQ（T面）'!Print_Area</vt:lpstr>
      <vt:lpstr>'P035 RFQ AXI'!Print_Area</vt:lpstr>
      <vt:lpstr>'P035 RFQ_ (B面) '!Print_Area</vt:lpstr>
      <vt:lpstr>Packing!Print_Area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Wang</dc:creator>
  <cp:lastModifiedBy>Cecilia Wang</cp:lastModifiedBy>
  <dcterms:created xsi:type="dcterms:W3CDTF">2025-10-09T08:40:17Z</dcterms:created>
  <dcterms:modified xsi:type="dcterms:W3CDTF">2026-04-14T02:05:57Z</dcterms:modified>
</cp:coreProperties>
</file>